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4_Auxerre\2025\JOIGNY R2\"/>
    </mc:Choice>
  </mc:AlternateContent>
  <xr:revisionPtr revIDLastSave="0" documentId="13_ncr:1_{1D136031-72F6-45E4-92BC-CDD374992A9C}" xr6:coauthVersionLast="47" xr6:coauthVersionMax="47" xr10:uidLastSave="{00000000-0000-0000-0000-000000000000}"/>
  <bookViews>
    <workbookView xWindow="-120" yWindow="-120" windowWidth="29040" windowHeight="158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B198" i="1" l="1"/>
  <c r="D198" i="1" s="1"/>
  <c r="D157" i="1" l="1"/>
  <c r="B157" i="1"/>
  <c r="D156" i="1"/>
  <c r="B156" i="1"/>
  <c r="D155" i="1"/>
  <c r="B155" i="1"/>
  <c r="D154" i="1"/>
  <c r="B154" i="1"/>
  <c r="D153" i="1"/>
  <c r="B153" i="1"/>
  <c r="D152" i="1"/>
  <c r="B152" i="1"/>
  <c r="D151" i="1"/>
  <c r="B151" i="1"/>
  <c r="D150" i="1"/>
  <c r="B150" i="1"/>
  <c r="D149" i="1"/>
  <c r="B149" i="1"/>
  <c r="D148" i="1"/>
  <c r="B148" i="1"/>
  <c r="D147" i="1"/>
  <c r="B147" i="1"/>
  <c r="D146" i="1"/>
  <c r="B146" i="1"/>
  <c r="D145" i="1"/>
  <c r="B145" i="1"/>
  <c r="D144" i="1"/>
  <c r="B144" i="1"/>
  <c r="D143" i="1"/>
  <c r="B143" i="1"/>
  <c r="D142" i="1"/>
  <c r="B142" i="1"/>
  <c r="D141" i="1"/>
  <c r="B141" i="1"/>
  <c r="B140" i="1"/>
  <c r="D122" i="1"/>
  <c r="B122" i="1"/>
  <c r="D121" i="1"/>
  <c r="B121" i="1"/>
  <c r="D120" i="1"/>
  <c r="B120" i="1"/>
  <c r="D119" i="1"/>
  <c r="B119" i="1"/>
  <c r="D118" i="1"/>
  <c r="B118" i="1"/>
  <c r="D117" i="1"/>
  <c r="B117" i="1"/>
  <c r="D116" i="1"/>
  <c r="B116" i="1"/>
  <c r="D115" i="1"/>
  <c r="B115" i="1"/>
  <c r="B114" i="1"/>
  <c r="D96" i="1"/>
  <c r="B96" i="1"/>
  <c r="D95" i="1"/>
  <c r="B95" i="1"/>
  <c r="D94" i="1"/>
  <c r="B94" i="1"/>
  <c r="D93" i="1"/>
  <c r="B93" i="1"/>
  <c r="D92" i="1"/>
  <c r="B92" i="1"/>
  <c r="D91" i="1"/>
  <c r="B91" i="1"/>
  <c r="D90" i="1"/>
  <c r="B90" i="1"/>
  <c r="D89" i="1"/>
  <c r="B89" i="1"/>
  <c r="B88" i="1"/>
  <c r="B70" i="1"/>
  <c r="B69" i="1"/>
  <c r="B68" i="1"/>
  <c r="B67" i="1"/>
  <c r="B66" i="1"/>
  <c r="B65" i="1"/>
  <c r="B64" i="1"/>
  <c r="B63" i="1"/>
  <c r="B42" i="1"/>
  <c r="D42" i="1" s="1"/>
  <c r="D41" i="1"/>
  <c r="D40" i="1"/>
  <c r="D39" i="1"/>
  <c r="D38" i="1"/>
  <c r="D37" i="1"/>
  <c r="D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EC4" i="2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A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EA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155" i="2" l="1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<sst xmlns="http://schemas.openxmlformats.org/spreadsheetml/2006/main" count="1176" uniqueCount="324">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</sst>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2.5419361243387457</c:v>
                </c:pt>
                <c:pt idx="2">
                  <c:v>3.1655725638916965</c:v>
                </c:pt>
                <c:pt idx="3">
                  <c:v>3.9428035750244419</c:v>
                </c:pt>
                <c:pt idx="4">
                  <c:v>4.9115952921971058</c:v>
                </c:pt>
                <c:pt idx="5">
                  <c:v>6.1193302965732146</c:v>
                </c:pt>
                <c:pt idx="6">
                  <c:v>7.6251504406534805</c:v>
                </c:pt>
                <c:pt idx="7">
                  <c:v>9.5028842563757507</c:v>
                </c:pt>
                <c:pt idx="8">
                  <c:v>11.844705198464125</c:v>
                </c:pt>
                <c:pt idx="9">
                  <c:v>14.765703652419754</c:v>
                </c:pt>
                <c:pt idx="10">
                  <c:v>18.409601532395097</c:v>
                </c:pt>
                <c:pt idx="11">
                  <c:v>22.955895729680325</c:v>
                </c:pt>
                <c:pt idx="12">
                  <c:v>28.628788554676579</c:v>
                </c:pt>
                <c:pt idx="13">
                  <c:v>35.708353284652667</c:v>
                </c:pt>
                <c:pt idx="14">
                  <c:v>44.544495545902528</c:v>
                </c:pt>
                <c:pt idx="15">
                  <c:v>55.574412233109683</c:v>
                </c:pt>
                <c:pt idx="16">
                  <c:v>69.344426154250357</c:v>
                </c:pt>
                <c:pt idx="17">
                  <c:v>86.537295547085179</c:v>
                </c:pt>
                <c:pt idx="18">
                  <c:v>108.00637426873294</c:v>
                </c:pt>
                <c:pt idx="19">
                  <c:v>134.81834487636456</c:v>
                </c:pt>
                <c:pt idx="20">
                  <c:v>168.30668061428091</c:v>
                </c:pt>
                <c:pt idx="21">
                  <c:v>114.89636998864779</c:v>
                </c:pt>
                <c:pt idx="22">
                  <c:v>136.11149105418758</c:v>
                </c:pt>
                <c:pt idx="23">
                  <c:v>157.24688373565013</c:v>
                </c:pt>
                <c:pt idx="24">
                  <c:v>178.31479007290764</c:v>
                </c:pt>
                <c:pt idx="25">
                  <c:v>199.32431229219446</c:v>
                </c:pt>
                <c:pt idx="26">
                  <c:v>220.28247236407125</c:v>
                </c:pt>
                <c:pt idx="27">
                  <c:v>241.19484478237635</c:v>
                </c:pt>
                <c:pt idx="28">
                  <c:v>262.06595742232184</c:v>
                </c:pt>
                <c:pt idx="29">
                  <c:v>282.89955759178861</c:v>
                </c:pt>
                <c:pt idx="30">
                  <c:v>303.69879541443913</c:v>
                </c:pt>
                <c:pt idx="31">
                  <c:v>225.42891467822554</c:v>
                </c:pt>
                <c:pt idx="32">
                  <c:v>242.90708874646216</c:v>
                </c:pt>
                <c:pt idx="33">
                  <c:v>260.35666841385739</c:v>
                </c:pt>
                <c:pt idx="34">
                  <c:v>277.77983970169777</c:v>
                </c:pt>
                <c:pt idx="35">
                  <c:v>295.17849192957436</c:v>
                </c:pt>
                <c:pt idx="36">
                  <c:v>312.55427347160997</c:v>
                </c:pt>
                <c:pt idx="37">
                  <c:v>329.90863445331962</c:v>
                </c:pt>
                <c:pt idx="38">
                  <c:v>347.24285998792817</c:v>
                </c:pt>
                <c:pt idx="39">
                  <c:v>364.55809642552708</c:v>
                </c:pt>
                <c:pt idx="40">
                  <c:v>381.85537235272409</c:v>
                </c:pt>
                <c:pt idx="41">
                  <c:v>299.78012652729893</c:v>
                </c:pt>
                <c:pt idx="42">
                  <c:v>312.89475650137177</c:v>
                </c:pt>
                <c:pt idx="43">
                  <c:v>325.9971979435436</c:v>
                </c:pt>
                <c:pt idx="44">
                  <c:v>339.08800983656238</c:v>
                </c:pt>
                <c:pt idx="45">
                  <c:v>352.16770447084946</c:v>
                </c:pt>
                <c:pt idx="46">
                  <c:v>365.23675297080734</c:v>
                </c:pt>
                <c:pt idx="47">
                  <c:v>378.29558998861233</c:v>
                </c:pt>
                <c:pt idx="48">
                  <c:v>391.34461771590031</c:v>
                </c:pt>
                <c:pt idx="49">
                  <c:v>404.38420933237239</c:v>
                </c:pt>
                <c:pt idx="50">
                  <c:v>417.41471198632871</c:v>
                </c:pt>
                <c:pt idx="51">
                  <c:v>360.82499034748571</c:v>
                </c:pt>
                <c:pt idx="52">
                  <c:v>370.32580293370683</c:v>
                </c:pt>
                <c:pt idx="53">
                  <c:v>379.82129986564109</c:v>
                </c:pt>
                <c:pt idx="54">
                  <c:v>389.31163283661289</c:v>
                </c:pt>
                <c:pt idx="55">
                  <c:v>398.79694553728024</c:v>
                </c:pt>
                <c:pt idx="56">
                  <c:v>408.27737426224047</c:v>
                </c:pt>
                <c:pt idx="57">
                  <c:v>417.7530484573353</c:v>
                </c:pt>
                <c:pt idx="58">
                  <c:v>427.22409121469786</c:v>
                </c:pt>
                <c:pt idx="59">
                  <c:v>436.69061972160131</c:v>
                </c:pt>
                <c:pt idx="60">
                  <c:v>446.15274566834916</c:v>
                </c:pt>
                <c:pt idx="61">
                  <c:v>410.81596227236088</c:v>
                </c:pt>
                <c:pt idx="62">
                  <c:v>417.7530484573353</c:v>
                </c:pt>
                <c:pt idx="63">
                  <c:v>424.68765216037281</c:v>
                </c:pt>
                <c:pt idx="64">
                  <c:v>431.61981966331041</c:v>
                </c:pt>
                <c:pt idx="65">
                  <c:v>438.54959563904839</c:v>
                </c:pt>
                <c:pt idx="66">
                  <c:v>445.477023232585</c:v>
                </c:pt>
                <c:pt idx="67">
                  <c:v>452.40214413674408</c:v>
                </c:pt>
                <c:pt idx="68">
                  <c:v>459.32499866302322</c:v>
                </c:pt>
                <c:pt idx="69">
                  <c:v>466.24562580794571</c:v>
                </c:pt>
                <c:pt idx="70">
                  <c:v>473.16406331526701</c:v>
                </c:pt>
                <c:pt idx="71">
                  <c:v>442.94286825616126</c:v>
                </c:pt>
                <c:pt idx="72">
                  <c:v>448.17978162908167</c:v>
                </c:pt>
                <c:pt idx="73">
                  <c:v>453.41538541847422</c:v>
                </c:pt>
                <c:pt idx="74">
                  <c:v>458.64969689218088</c:v>
                </c:pt>
                <c:pt idx="75">
                  <c:v>463.88273289143444</c:v>
                </c:pt>
                <c:pt idx="76">
                  <c:v>469.11450984619825</c:v>
                </c:pt>
                <c:pt idx="77">
                  <c:v>474.3450437897875</c:v>
                </c:pt>
                <c:pt idx="78">
                  <c:v>479.5743503728101</c:v>
                </c:pt>
                <c:pt idx="79">
                  <c:v>484.80244487646905</c:v>
                </c:pt>
                <c:pt idx="80">
                  <c:v>490.02934222525914</c:v>
                </c:pt>
                <c:pt idx="81">
                  <c:v>1.3765621991510601E-12</c:v>
                </c:pt>
                <c:pt idx="82">
                  <c:v>1.3765621991510601E-12</c:v>
                </c:pt>
                <c:pt idx="83">
                  <c:v>1.3765621991510601E-12</c:v>
                </c:pt>
                <c:pt idx="84">
                  <c:v>1.3765621991510601E-12</c:v>
                </c:pt>
                <c:pt idx="85">
                  <c:v>1.3765621991510601E-12</c:v>
                </c:pt>
                <c:pt idx="86">
                  <c:v>1.3765621991510601E-12</c:v>
                </c:pt>
                <c:pt idx="87">
                  <c:v>1.3765621991510601E-12</c:v>
                </c:pt>
                <c:pt idx="88">
                  <c:v>1.3765621991510601E-12</c:v>
                </c:pt>
                <c:pt idx="89">
                  <c:v>1.3765621991510601E-12</c:v>
                </c:pt>
                <c:pt idx="90">
                  <c:v>1.3765621991510601E-12</c:v>
                </c:pt>
                <c:pt idx="91">
                  <c:v>1.3765621991510601E-12</c:v>
                </c:pt>
                <c:pt idx="92">
                  <c:v>1.3765621991510601E-12</c:v>
                </c:pt>
                <c:pt idx="93">
                  <c:v>1.3765621991510601E-12</c:v>
                </c:pt>
                <c:pt idx="94">
                  <c:v>1.3765621991510601E-12</c:v>
                </c:pt>
                <c:pt idx="95">
                  <c:v>1.3765621991510601E-12</c:v>
                </c:pt>
                <c:pt idx="96">
                  <c:v>1.3765621991510601E-12</c:v>
                </c:pt>
                <c:pt idx="97">
                  <c:v>1.3765621991510601E-12</c:v>
                </c:pt>
                <c:pt idx="98">
                  <c:v>1.3765621991510601E-12</c:v>
                </c:pt>
                <c:pt idx="99">
                  <c:v>1.3765621991510601E-12</c:v>
                </c:pt>
                <c:pt idx="100">
                  <c:v>1.3765621991510601E-12</c:v>
                </c:pt>
                <c:pt idx="101">
                  <c:v>1.3765621991510601E-12</c:v>
                </c:pt>
                <c:pt idx="102">
                  <c:v>1.3765621991510601E-12</c:v>
                </c:pt>
                <c:pt idx="103">
                  <c:v>1.3765621991510601E-12</c:v>
                </c:pt>
                <c:pt idx="104">
                  <c:v>1.3765621991510601E-12</c:v>
                </c:pt>
                <c:pt idx="105">
                  <c:v>1.3765621991510601E-12</c:v>
                </c:pt>
                <c:pt idx="106">
                  <c:v>1.3765621991510601E-12</c:v>
                </c:pt>
                <c:pt idx="107">
                  <c:v>1.3765621991510601E-12</c:v>
                </c:pt>
                <c:pt idx="108">
                  <c:v>1.3765621991510601E-12</c:v>
                </c:pt>
                <c:pt idx="109">
                  <c:v>1.3765621991510601E-12</c:v>
                </c:pt>
                <c:pt idx="110">
                  <c:v>1.3765621991510601E-12</c:v>
                </c:pt>
                <c:pt idx="111">
                  <c:v>1.3765621991510601E-12</c:v>
                </c:pt>
                <c:pt idx="112">
                  <c:v>1.3765621991510601E-12</c:v>
                </c:pt>
                <c:pt idx="113">
                  <c:v>1.3765621991510601E-12</c:v>
                </c:pt>
                <c:pt idx="114">
                  <c:v>1.3765621991510601E-12</c:v>
                </c:pt>
                <c:pt idx="115">
                  <c:v>1.3765621991510601E-12</c:v>
                </c:pt>
                <c:pt idx="116">
                  <c:v>1.3765621991510601E-12</c:v>
                </c:pt>
                <c:pt idx="117">
                  <c:v>1.3765621991510601E-12</c:v>
                </c:pt>
                <c:pt idx="118">
                  <c:v>1.3765621991510601E-12</c:v>
                </c:pt>
                <c:pt idx="119">
                  <c:v>1.3765621991510601E-12</c:v>
                </c:pt>
                <c:pt idx="120">
                  <c:v>1.3765621991510601E-12</c:v>
                </c:pt>
                <c:pt idx="121">
                  <c:v>1.3765621991510601E-12</c:v>
                </c:pt>
                <c:pt idx="122">
                  <c:v>1.3765621991510601E-12</c:v>
                </c:pt>
                <c:pt idx="123">
                  <c:v>1.3765621991510601E-12</c:v>
                </c:pt>
                <c:pt idx="124">
                  <c:v>1.3765621991510601E-12</c:v>
                </c:pt>
                <c:pt idx="125">
                  <c:v>1.3765621991510601E-12</c:v>
                </c:pt>
                <c:pt idx="126">
                  <c:v>1.3765621991510601E-12</c:v>
                </c:pt>
                <c:pt idx="127">
                  <c:v>1.3765621991510601E-12</c:v>
                </c:pt>
                <c:pt idx="128">
                  <c:v>1.3765621991510601E-12</c:v>
                </c:pt>
                <c:pt idx="129">
                  <c:v>1.3765621991510601E-12</c:v>
                </c:pt>
                <c:pt idx="130">
                  <c:v>1.3765621991510601E-12</c:v>
                </c:pt>
                <c:pt idx="131">
                  <c:v>1.3765621991510601E-12</c:v>
                </c:pt>
                <c:pt idx="132">
                  <c:v>1.3765621991510601E-12</c:v>
                </c:pt>
                <c:pt idx="133">
                  <c:v>1.3765621991510601E-12</c:v>
                </c:pt>
                <c:pt idx="134">
                  <c:v>1.3765621991510601E-12</c:v>
                </c:pt>
                <c:pt idx="135">
                  <c:v>1.3765621991510601E-12</c:v>
                </c:pt>
                <c:pt idx="136">
                  <c:v>1.3765621991510601E-12</c:v>
                </c:pt>
                <c:pt idx="137">
                  <c:v>1.3765621991510601E-12</c:v>
                </c:pt>
                <c:pt idx="138">
                  <c:v>1.3765621991510601E-12</c:v>
                </c:pt>
                <c:pt idx="139">
                  <c:v>1.3765621991510601E-12</c:v>
                </c:pt>
                <c:pt idx="140">
                  <c:v>1.3765621991510601E-12</c:v>
                </c:pt>
                <c:pt idx="141">
                  <c:v>1.3765621991510601E-12</c:v>
                </c:pt>
                <c:pt idx="142">
                  <c:v>1.3765621991510601E-12</c:v>
                </c:pt>
                <c:pt idx="143">
                  <c:v>1.3765621991510601E-12</c:v>
                </c:pt>
                <c:pt idx="144">
                  <c:v>1.3765621991510601E-12</c:v>
                </c:pt>
                <c:pt idx="145">
                  <c:v>1.3765621991510601E-12</c:v>
                </c:pt>
                <c:pt idx="146">
                  <c:v>1.3765621991510601E-12</c:v>
                </c:pt>
                <c:pt idx="147">
                  <c:v>1.3765621991510601E-12</c:v>
                </c:pt>
                <c:pt idx="148">
                  <c:v>1.3765621991510601E-12</c:v>
                </c:pt>
                <c:pt idx="149">
                  <c:v>1.3765621991510601E-12</c:v>
                </c:pt>
                <c:pt idx="150">
                  <c:v>1.3765621991510601E-12</c:v>
                </c:pt>
                <c:pt idx="151">
                  <c:v>1.3765621991510601E-12</c:v>
                </c:pt>
                <c:pt idx="152">
                  <c:v>1.3765621991510601E-12</c:v>
                </c:pt>
                <c:pt idx="153">
                  <c:v>1.3765621991510601E-12</c:v>
                </c:pt>
                <c:pt idx="154">
                  <c:v>1.3765621991510601E-12</c:v>
                </c:pt>
                <c:pt idx="155">
                  <c:v>1.3765621991510601E-12</c:v>
                </c:pt>
                <c:pt idx="156">
                  <c:v>1.3765621991510601E-12</c:v>
                </c:pt>
                <c:pt idx="157">
                  <c:v>1.3765621991510601E-12</c:v>
                </c:pt>
                <c:pt idx="158">
                  <c:v>1.3765621991510601E-12</c:v>
                </c:pt>
                <c:pt idx="159">
                  <c:v>1.3765621991510601E-12</c:v>
                </c:pt>
                <c:pt idx="160">
                  <c:v>1.3765621991510601E-12</c:v>
                </c:pt>
                <c:pt idx="161">
                  <c:v>1.3765621991510601E-12</c:v>
                </c:pt>
                <c:pt idx="162">
                  <c:v>1.3765621991510601E-12</c:v>
                </c:pt>
                <c:pt idx="163">
                  <c:v>1.3765621991510601E-12</c:v>
                </c:pt>
                <c:pt idx="164">
                  <c:v>1.3765621991510601E-12</c:v>
                </c:pt>
                <c:pt idx="165">
                  <c:v>1.3765621991510601E-12</c:v>
                </c:pt>
                <c:pt idx="166">
                  <c:v>1.3765621991510601E-12</c:v>
                </c:pt>
                <c:pt idx="167">
                  <c:v>1.3765621991510601E-12</c:v>
                </c:pt>
                <c:pt idx="168">
                  <c:v>1.3765621991510601E-12</c:v>
                </c:pt>
                <c:pt idx="169">
                  <c:v>1.3765621991510601E-12</c:v>
                </c:pt>
                <c:pt idx="170">
                  <c:v>1.3765621991510601E-12</c:v>
                </c:pt>
                <c:pt idx="171">
                  <c:v>1.3765621991510601E-12</c:v>
                </c:pt>
                <c:pt idx="172">
                  <c:v>1.3765621991510601E-12</c:v>
                </c:pt>
                <c:pt idx="173">
                  <c:v>1.3765621991510601E-12</c:v>
                </c:pt>
                <c:pt idx="174">
                  <c:v>1.3765621991510601E-12</c:v>
                </c:pt>
                <c:pt idx="175">
                  <c:v>1.3765621991510601E-12</c:v>
                </c:pt>
                <c:pt idx="176">
                  <c:v>1.3765621991510601E-12</c:v>
                </c:pt>
                <c:pt idx="177">
                  <c:v>1.3765621991510601E-12</c:v>
                </c:pt>
                <c:pt idx="178">
                  <c:v>1.3765621991510601E-12</c:v>
                </c:pt>
                <c:pt idx="179">
                  <c:v>1.3765621991510601E-12</c:v>
                </c:pt>
                <c:pt idx="180">
                  <c:v>1.3765621991510601E-12</c:v>
                </c:pt>
                <c:pt idx="181">
                  <c:v>1.3765621991510601E-12</c:v>
                </c:pt>
                <c:pt idx="182">
                  <c:v>1.3765621991510601E-12</c:v>
                </c:pt>
                <c:pt idx="183">
                  <c:v>1.3765621991510601E-12</c:v>
                </c:pt>
                <c:pt idx="184">
                  <c:v>1.3765621991510601E-12</c:v>
                </c:pt>
                <c:pt idx="185">
                  <c:v>1.3765621991510601E-12</c:v>
                </c:pt>
                <c:pt idx="186">
                  <c:v>1.3765621991510601E-12</c:v>
                </c:pt>
                <c:pt idx="187">
                  <c:v>1.3765621991510601E-12</c:v>
                </c:pt>
                <c:pt idx="188">
                  <c:v>1.3765621991510601E-12</c:v>
                </c:pt>
                <c:pt idx="189">
                  <c:v>1.3765621991510601E-12</c:v>
                </c:pt>
                <c:pt idx="190">
                  <c:v>1.3765621991510601E-12</c:v>
                </c:pt>
                <c:pt idx="191">
                  <c:v>1.3765621991510601E-12</c:v>
                </c:pt>
                <c:pt idx="192">
                  <c:v>1.3765621991510601E-12</c:v>
                </c:pt>
                <c:pt idx="193">
                  <c:v>1.3765621991510601E-12</c:v>
                </c:pt>
                <c:pt idx="194">
                  <c:v>1.3765621991510601E-12</c:v>
                </c:pt>
                <c:pt idx="195">
                  <c:v>1.3765621991510601E-12</c:v>
                </c:pt>
                <c:pt idx="196">
                  <c:v>1.3765621991510601E-12</c:v>
                </c:pt>
                <c:pt idx="197">
                  <c:v>1.3765621991510601E-12</c:v>
                </c:pt>
                <c:pt idx="198">
                  <c:v>1.3765621991510601E-12</c:v>
                </c:pt>
                <c:pt idx="199">
                  <c:v>1.3765621991510601E-12</c:v>
                </c:pt>
                <c:pt idx="200">
                  <c:v>1.3765621991510601E-12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1.8902463265972702</c:v>
                </c:pt>
                <c:pt idx="2">
                  <c:v>2.3038437239038307</c:v>
                </c:pt>
                <c:pt idx="3">
                  <c:v>2.8082873887182997</c:v>
                </c:pt>
                <c:pt idx="4">
                  <c:v>3.4236040283337115</c:v>
                </c:pt>
                <c:pt idx="5">
                  <c:v>4.1742501423872946</c:v>
                </c:pt>
                <c:pt idx="6">
                  <c:v>5.0900949561171993</c:v>
                </c:pt>
                <c:pt idx="7">
                  <c:v>6.2076220927476875</c:v>
                </c:pt>
                <c:pt idx="8">
                  <c:v>7.5713987925497506</c:v>
                </c:pt>
                <c:pt idx="9">
                  <c:v>9.2358724031584778</c:v>
                </c:pt>
                <c:pt idx="10">
                  <c:v>11.267567230038047</c:v>
                </c:pt>
                <c:pt idx="11">
                  <c:v>13.747771197274758</c:v>
                </c:pt>
                <c:pt idx="12">
                  <c:v>16.77582180055002</c:v>
                </c:pt>
                <c:pt idx="13">
                  <c:v>20.473125361176837</c:v>
                </c:pt>
                <c:pt idx="14">
                  <c:v>24.988073623203871</c:v>
                </c:pt>
                <c:pt idx="15">
                  <c:v>30.502058513165142</c:v>
                </c:pt>
                <c:pt idx="16">
                  <c:v>37.236830921432365</c:v>
                </c:pt>
                <c:pt idx="17">
                  <c:v>45.46350452458821</c:v>
                </c:pt>
                <c:pt idx="18">
                  <c:v>55.513573228159537</c:v>
                </c:pt>
                <c:pt idx="19">
                  <c:v>67.792393560500116</c:v>
                </c:pt>
                <c:pt idx="20">
                  <c:v>82.795684713351179</c:v>
                </c:pt>
                <c:pt idx="21">
                  <c:v>96.107606323431341</c:v>
                </c:pt>
                <c:pt idx="22">
                  <c:v>109.3735688244232</c:v>
                </c:pt>
                <c:pt idx="23">
                  <c:v>122.59994336564496</c:v>
                </c:pt>
                <c:pt idx="24">
                  <c:v>135.79160884863137</c:v>
                </c:pt>
                <c:pt idx="25">
                  <c:v>148.95241602484967</c:v>
                </c:pt>
                <c:pt idx="26">
                  <c:v>162.08547801854809</c:v>
                </c:pt>
                <c:pt idx="27">
                  <c:v>175.19336132219496</c:v>
                </c:pt>
                <c:pt idx="28">
                  <c:v>188.27821642357745</c:v>
                </c:pt>
                <c:pt idx="29">
                  <c:v>201.34187010689945</c:v>
                </c:pt>
                <c:pt idx="30">
                  <c:v>214.38589248354242</c:v>
                </c:pt>
                <c:pt idx="31">
                  <c:v>178.04542186423319</c:v>
                </c:pt>
                <c:pt idx="32">
                  <c:v>194.74791846795665</c:v>
                </c:pt>
                <c:pt idx="33">
                  <c:v>211.41712402835932</c:v>
                </c:pt>
                <c:pt idx="34">
                  <c:v>228.05603340567441</c:v>
                </c:pt>
                <c:pt idx="35">
                  <c:v>244.66716838975216</c:v>
                </c:pt>
                <c:pt idx="36">
                  <c:v>261.25268017016532</c:v>
                </c:pt>
                <c:pt idx="37">
                  <c:v>277.81442437561094</c:v>
                </c:pt>
                <c:pt idx="38">
                  <c:v>294.35401725720959</c:v>
                </c:pt>
                <c:pt idx="39">
                  <c:v>310.87287856901986</c:v>
                </c:pt>
                <c:pt idx="40">
                  <c:v>327.3722648494786</c:v>
                </c:pt>
                <c:pt idx="41">
                  <c:v>274.22156183845647</c:v>
                </c:pt>
                <c:pt idx="42">
                  <c:v>292.81634557312492</c:v>
                </c:pt>
                <c:pt idx="43">
                  <c:v>311.38477391760023</c:v>
                </c:pt>
                <c:pt idx="44">
                  <c:v>329.92863915898073</c:v>
                </c:pt>
                <c:pt idx="45">
                  <c:v>348.44951567887932</c:v>
                </c:pt>
                <c:pt idx="46">
                  <c:v>366.94879686196288</c:v>
                </c:pt>
                <c:pt idx="47">
                  <c:v>385.42772416937305</c:v>
                </c:pt>
                <c:pt idx="48">
                  <c:v>403.88741034371878</c:v>
                </c:pt>
                <c:pt idx="49">
                  <c:v>422.32885814959474</c:v>
                </c:pt>
                <c:pt idx="50">
                  <c:v>440.75297566986904</c:v>
                </c:pt>
                <c:pt idx="51">
                  <c:v>368.98882872292899</c:v>
                </c:pt>
                <c:pt idx="52">
                  <c:v>388.86647144917634</c:v>
                </c:pt>
                <c:pt idx="53">
                  <c:v>408.7220665379632</c:v>
                </c:pt>
                <c:pt idx="54">
                  <c:v>428.5568351254658</c:v>
                </c:pt>
                <c:pt idx="55">
                  <c:v>448.3718761488156</c:v>
                </c:pt>
                <c:pt idx="56">
                  <c:v>468.16818354504352</c:v>
                </c:pt>
                <c:pt idx="57">
                  <c:v>487.94666038986742</c:v>
                </c:pt>
                <c:pt idx="58">
                  <c:v>507.70813062521802</c:v>
                </c:pt>
                <c:pt idx="59">
                  <c:v>527.45334886640978</c:v>
                </c:pt>
                <c:pt idx="60">
                  <c:v>547.18300866493507</c:v>
                </c:pt>
                <c:pt idx="61">
                  <c:v>460.68326207464094</c:v>
                </c:pt>
                <c:pt idx="62">
                  <c:v>480.59515258650276</c:v>
                </c:pt>
                <c:pt idx="63">
                  <c:v>500.48951609357982</c:v>
                </c:pt>
                <c:pt idx="64">
                  <c:v>520.36714682175841</c:v>
                </c:pt>
                <c:pt idx="65">
                  <c:v>540.2287734152543</c:v>
                </c:pt>
                <c:pt idx="66">
                  <c:v>560.07506661288232</c:v>
                </c:pt>
                <c:pt idx="67">
                  <c:v>579.90664578024189</c:v>
                </c:pt>
                <c:pt idx="68">
                  <c:v>599.72408450238811</c:v>
                </c:pt>
                <c:pt idx="69">
                  <c:v>619.52791539930706</c:v>
                </c:pt>
                <c:pt idx="70">
                  <c:v>639.3186342940686</c:v>
                </c:pt>
                <c:pt idx="71">
                  <c:v>543.8957847153207</c:v>
                </c:pt>
                <c:pt idx="72">
                  <c:v>563.36027783496149</c:v>
                </c:pt>
                <c:pt idx="73">
                  <c:v>582.81070831118393</c:v>
                </c:pt>
                <c:pt idx="74">
                  <c:v>602.24761113610145</c:v>
                </c:pt>
                <c:pt idx="75">
                  <c:v>621.67148398309348</c:v>
                </c:pt>
                <c:pt idx="76">
                  <c:v>641.08279091829218</c:v>
                </c:pt>
                <c:pt idx="77">
                  <c:v>660.4819656395108</c:v>
                </c:pt>
                <c:pt idx="78">
                  <c:v>679.86941431516573</c:v>
                </c:pt>
                <c:pt idx="79">
                  <c:v>699.24551808280955</c:v>
                </c:pt>
                <c:pt idx="80">
                  <c:v>718.61063525657812</c:v>
                </c:pt>
                <c:pt idx="81">
                  <c:v>618.7713251159729</c:v>
                </c:pt>
                <c:pt idx="82">
                  <c:v>637.3023321375839</c:v>
                </c:pt>
                <c:pt idx="83">
                  <c:v>655.82221005903568</c:v>
                </c:pt>
                <c:pt idx="84">
                  <c:v>674.33131713083992</c:v>
                </c:pt>
                <c:pt idx="85">
                  <c:v>692.82999035151443</c:v>
                </c:pt>
                <c:pt idx="86">
                  <c:v>711.31854727356267</c:v>
                </c:pt>
                <c:pt idx="87">
                  <c:v>729.79728761209674</c:v>
                </c:pt>
                <c:pt idx="88">
                  <c:v>748.26649468221933</c:v>
                </c:pt>
                <c:pt idx="89">
                  <c:v>766.72643668724868</c:v>
                </c:pt>
                <c:pt idx="90">
                  <c:v>785.17736787656111</c:v>
                </c:pt>
                <c:pt idx="91">
                  <c:v>684.52573351166177</c:v>
                </c:pt>
                <c:pt idx="92">
                  <c:v>702.01262795401738</c:v>
                </c:pt>
                <c:pt idx="93">
                  <c:v>719.49061235343299</c:v>
                </c:pt>
                <c:pt idx="94">
                  <c:v>736.95993343985526</c:v>
                </c:pt>
                <c:pt idx="95">
                  <c:v>754.42082530340758</c:v>
                </c:pt>
                <c:pt idx="96">
                  <c:v>771.87351032542722</c:v>
                </c:pt>
                <c:pt idx="97">
                  <c:v>789.3182000209996</c:v>
                </c:pt>
                <c:pt idx="98">
                  <c:v>806.75509580321352</c:v>
                </c:pt>
                <c:pt idx="99">
                  <c:v>824.18438967797772</c:v>
                </c:pt>
                <c:pt idx="100">
                  <c:v>841.60626487707179</c:v>
                </c:pt>
                <c:pt idx="101">
                  <c:v>727.4094213074269</c:v>
                </c:pt>
                <c:pt idx="102">
                  <c:v>727.4094213074269</c:v>
                </c:pt>
                <c:pt idx="103">
                  <c:v>727.4094213074269</c:v>
                </c:pt>
                <c:pt idx="104">
                  <c:v>727.4094213074269</c:v>
                </c:pt>
                <c:pt idx="105">
                  <c:v>727.4094213074269</c:v>
                </c:pt>
                <c:pt idx="106">
                  <c:v>727.4094213074269</c:v>
                </c:pt>
                <c:pt idx="107">
                  <c:v>727.4094213074269</c:v>
                </c:pt>
                <c:pt idx="108">
                  <c:v>727.4094213074269</c:v>
                </c:pt>
                <c:pt idx="109">
                  <c:v>727.4094213074269</c:v>
                </c:pt>
                <c:pt idx="110">
                  <c:v>727.4094213074269</c:v>
                </c:pt>
                <c:pt idx="111">
                  <c:v>727.4094213074269</c:v>
                </c:pt>
                <c:pt idx="112">
                  <c:v>727.4094213074269</c:v>
                </c:pt>
                <c:pt idx="113">
                  <c:v>727.4094213074269</c:v>
                </c:pt>
                <c:pt idx="114">
                  <c:v>727.4094213074269</c:v>
                </c:pt>
                <c:pt idx="115">
                  <c:v>727.4094213074269</c:v>
                </c:pt>
                <c:pt idx="116">
                  <c:v>727.4094213074269</c:v>
                </c:pt>
                <c:pt idx="117">
                  <c:v>727.4094213074269</c:v>
                </c:pt>
                <c:pt idx="118">
                  <c:v>727.4094213074269</c:v>
                </c:pt>
                <c:pt idx="119">
                  <c:v>727.4094213074269</c:v>
                </c:pt>
                <c:pt idx="120">
                  <c:v>727.4094213074269</c:v>
                </c:pt>
                <c:pt idx="121">
                  <c:v>727.4094213074269</c:v>
                </c:pt>
                <c:pt idx="122">
                  <c:v>727.4094213074269</c:v>
                </c:pt>
                <c:pt idx="123">
                  <c:v>727.4094213074269</c:v>
                </c:pt>
                <c:pt idx="124">
                  <c:v>727.4094213074269</c:v>
                </c:pt>
                <c:pt idx="125">
                  <c:v>727.4094213074269</c:v>
                </c:pt>
                <c:pt idx="126">
                  <c:v>727.4094213074269</c:v>
                </c:pt>
                <c:pt idx="127">
                  <c:v>727.4094213074269</c:v>
                </c:pt>
                <c:pt idx="128">
                  <c:v>727.4094213074269</c:v>
                </c:pt>
                <c:pt idx="129">
                  <c:v>727.4094213074269</c:v>
                </c:pt>
                <c:pt idx="130">
                  <c:v>727.4094213074269</c:v>
                </c:pt>
                <c:pt idx="131">
                  <c:v>727.4094213074269</c:v>
                </c:pt>
                <c:pt idx="132">
                  <c:v>727.4094213074269</c:v>
                </c:pt>
                <c:pt idx="133">
                  <c:v>727.4094213074269</c:v>
                </c:pt>
                <c:pt idx="134">
                  <c:v>727.4094213074269</c:v>
                </c:pt>
                <c:pt idx="135">
                  <c:v>727.4094213074269</c:v>
                </c:pt>
                <c:pt idx="136">
                  <c:v>727.4094213074269</c:v>
                </c:pt>
                <c:pt idx="137">
                  <c:v>727.4094213074269</c:v>
                </c:pt>
                <c:pt idx="138">
                  <c:v>727.4094213074269</c:v>
                </c:pt>
                <c:pt idx="139">
                  <c:v>727.4094213074269</c:v>
                </c:pt>
                <c:pt idx="140">
                  <c:v>727.4094213074269</c:v>
                </c:pt>
                <c:pt idx="141">
                  <c:v>727.4094213074269</c:v>
                </c:pt>
                <c:pt idx="142">
                  <c:v>727.4094213074269</c:v>
                </c:pt>
                <c:pt idx="143">
                  <c:v>727.4094213074269</c:v>
                </c:pt>
                <c:pt idx="144">
                  <c:v>727.4094213074269</c:v>
                </c:pt>
                <c:pt idx="145">
                  <c:v>727.4094213074269</c:v>
                </c:pt>
                <c:pt idx="146">
                  <c:v>727.4094213074269</c:v>
                </c:pt>
                <c:pt idx="147">
                  <c:v>727.4094213074269</c:v>
                </c:pt>
                <c:pt idx="148">
                  <c:v>727.4094213074269</c:v>
                </c:pt>
                <c:pt idx="149">
                  <c:v>727.4094213074269</c:v>
                </c:pt>
                <c:pt idx="150">
                  <c:v>727.4094213074269</c:v>
                </c:pt>
                <c:pt idx="151">
                  <c:v>727.4094213074269</c:v>
                </c:pt>
                <c:pt idx="152">
                  <c:v>727.4094213074269</c:v>
                </c:pt>
                <c:pt idx="153">
                  <c:v>727.4094213074269</c:v>
                </c:pt>
                <c:pt idx="154">
                  <c:v>727.4094213074269</c:v>
                </c:pt>
                <c:pt idx="155">
                  <c:v>727.4094213074269</c:v>
                </c:pt>
                <c:pt idx="156">
                  <c:v>727.4094213074269</c:v>
                </c:pt>
                <c:pt idx="157">
                  <c:v>727.4094213074269</c:v>
                </c:pt>
                <c:pt idx="158">
                  <c:v>727.4094213074269</c:v>
                </c:pt>
                <c:pt idx="159">
                  <c:v>727.4094213074269</c:v>
                </c:pt>
                <c:pt idx="160">
                  <c:v>727.4094213074269</c:v>
                </c:pt>
                <c:pt idx="161">
                  <c:v>727.4094213074269</c:v>
                </c:pt>
                <c:pt idx="162">
                  <c:v>727.4094213074269</c:v>
                </c:pt>
                <c:pt idx="163">
                  <c:v>727.4094213074269</c:v>
                </c:pt>
                <c:pt idx="164">
                  <c:v>727.4094213074269</c:v>
                </c:pt>
                <c:pt idx="165">
                  <c:v>727.4094213074269</c:v>
                </c:pt>
                <c:pt idx="166">
                  <c:v>727.4094213074269</c:v>
                </c:pt>
                <c:pt idx="167">
                  <c:v>727.4094213074269</c:v>
                </c:pt>
                <c:pt idx="168">
                  <c:v>727.4094213074269</c:v>
                </c:pt>
                <c:pt idx="169">
                  <c:v>727.4094213074269</c:v>
                </c:pt>
                <c:pt idx="170">
                  <c:v>727.4094213074269</c:v>
                </c:pt>
                <c:pt idx="171">
                  <c:v>727.4094213074269</c:v>
                </c:pt>
                <c:pt idx="172">
                  <c:v>727.4094213074269</c:v>
                </c:pt>
                <c:pt idx="173">
                  <c:v>727.4094213074269</c:v>
                </c:pt>
                <c:pt idx="174">
                  <c:v>727.4094213074269</c:v>
                </c:pt>
                <c:pt idx="175">
                  <c:v>727.4094213074269</c:v>
                </c:pt>
                <c:pt idx="176">
                  <c:v>727.4094213074269</c:v>
                </c:pt>
                <c:pt idx="177">
                  <c:v>727.4094213074269</c:v>
                </c:pt>
                <c:pt idx="178">
                  <c:v>727.4094213074269</c:v>
                </c:pt>
                <c:pt idx="179">
                  <c:v>727.4094213074269</c:v>
                </c:pt>
                <c:pt idx="180">
                  <c:v>727.4094213074269</c:v>
                </c:pt>
                <c:pt idx="181">
                  <c:v>727.4094213074269</c:v>
                </c:pt>
                <c:pt idx="182">
                  <c:v>727.4094213074269</c:v>
                </c:pt>
                <c:pt idx="183">
                  <c:v>727.4094213074269</c:v>
                </c:pt>
                <c:pt idx="184">
                  <c:v>727.4094213074269</c:v>
                </c:pt>
                <c:pt idx="185">
                  <c:v>727.4094213074269</c:v>
                </c:pt>
                <c:pt idx="186">
                  <c:v>727.4094213074269</c:v>
                </c:pt>
                <c:pt idx="187">
                  <c:v>727.4094213074269</c:v>
                </c:pt>
                <c:pt idx="188">
                  <c:v>727.4094213074269</c:v>
                </c:pt>
                <c:pt idx="189">
                  <c:v>727.4094213074269</c:v>
                </c:pt>
                <c:pt idx="190">
                  <c:v>727.4094213074269</c:v>
                </c:pt>
                <c:pt idx="191">
                  <c:v>727.4094213074269</c:v>
                </c:pt>
                <c:pt idx="192">
                  <c:v>727.4094213074269</c:v>
                </c:pt>
                <c:pt idx="193">
                  <c:v>727.4094213074269</c:v>
                </c:pt>
                <c:pt idx="194">
                  <c:v>727.4094213074269</c:v>
                </c:pt>
                <c:pt idx="195">
                  <c:v>727.4094213074269</c:v>
                </c:pt>
                <c:pt idx="196">
                  <c:v>727.4094213074269</c:v>
                </c:pt>
                <c:pt idx="197">
                  <c:v>727.4094213074269</c:v>
                </c:pt>
                <c:pt idx="198">
                  <c:v>727.4094213074269</c:v>
                </c:pt>
                <c:pt idx="199">
                  <c:v>727.4094213074269</c:v>
                </c:pt>
                <c:pt idx="200">
                  <c:v>727.4094213074269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2.0167076568044338</c:v>
                </c:pt>
                <c:pt idx="2">
                  <c:v>2.6226677194045069</c:v>
                </c:pt>
                <c:pt idx="3">
                  <c:v>3.4114424335686557</c:v>
                </c:pt>
                <c:pt idx="4">
                  <c:v>4.438397050085193</c:v>
                </c:pt>
                <c:pt idx="5">
                  <c:v>5.7757239763457333</c:v>
                </c:pt>
                <c:pt idx="6">
                  <c:v>7.5175739491929692</c:v>
                </c:pt>
                <c:pt idx="7">
                  <c:v>9.786756630854283</c:v>
                </c:pt>
                <c:pt idx="8">
                  <c:v>12.743491985577675</c:v>
                </c:pt>
                <c:pt idx="9">
                  <c:v>16.596841804437762</c:v>
                </c:pt>
                <c:pt idx="10">
                  <c:v>21.619644370227132</c:v>
                </c:pt>
                <c:pt idx="11">
                  <c:v>28.168028580079078</c:v>
                </c:pt>
                <c:pt idx="12">
                  <c:v>36.706915315433839</c:v>
                </c:pt>
                <c:pt idx="13">
                  <c:v>47.843347620996155</c:v>
                </c:pt>
                <c:pt idx="14">
                  <c:v>62.370058958944064</c:v>
                </c:pt>
                <c:pt idx="15">
                  <c:v>81.322431872226531</c:v>
                </c:pt>
                <c:pt idx="16">
                  <c:v>103.74347865389876</c:v>
                </c:pt>
                <c:pt idx="17">
                  <c:v>126.04420374404106</c:v>
                </c:pt>
                <c:pt idx="18">
                  <c:v>148.24899529439116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334.11294094960181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1.9508946107432275</c:v>
                </c:pt>
                <c:pt idx="2">
                  <c:v>2.4541577777849692</c:v>
                </c:pt>
                <c:pt idx="3">
                  <c:v>3.0877594432242415</c:v>
                </c:pt>
                <c:pt idx="4">
                  <c:v>3.8855812951691147</c:v>
                </c:pt>
                <c:pt idx="5">
                  <c:v>4.8903432539889566</c:v>
                </c:pt>
                <c:pt idx="6">
                  <c:v>6.1559164125763592</c:v>
                </c:pt>
                <c:pt idx="7">
                  <c:v>7.7502430654644883</c:v>
                </c:pt>
                <c:pt idx="8">
                  <c:v>9.759023606181179</c:v>
                </c:pt>
                <c:pt idx="9">
                  <c:v>12.290372228750266</c:v>
                </c:pt>
                <c:pt idx="10">
                  <c:v>15.480696673450021</c:v>
                </c:pt>
                <c:pt idx="11">
                  <c:v>19.502124662623089</c:v>
                </c:pt>
                <c:pt idx="12">
                  <c:v>24.571884917422917</c:v>
                </c:pt>
                <c:pt idx="13">
                  <c:v>30.964158461385495</c:v>
                </c:pt>
                <c:pt idx="14">
                  <c:v>39.025052288726734</c:v>
                </c:pt>
                <c:pt idx="15">
                  <c:v>49.1915199822785</c:v>
                </c:pt>
                <c:pt idx="16">
                  <c:v>67.141068601994363</c:v>
                </c:pt>
                <c:pt idx="17">
                  <c:v>84.965895845508868</c:v>
                </c:pt>
                <c:pt idx="18">
                  <c:v>102.69609677832152</c:v>
                </c:pt>
                <c:pt idx="19">
                  <c:v>120.35039026570223</c:v>
                </c:pt>
                <c:pt idx="20">
                  <c:v>137.94151075020798</c:v>
                </c:pt>
                <c:pt idx="21">
                  <c:v>155.47866232925674</c:v>
                </c:pt>
                <c:pt idx="22">
                  <c:v>172.96879566591463</c:v>
                </c:pt>
                <c:pt idx="23">
                  <c:v>120.81303316585546</c:v>
                </c:pt>
                <c:pt idx="24">
                  <c:v>137.39493931950179</c:v>
                </c:pt>
                <c:pt idx="25">
                  <c:v>153.92869031769388</c:v>
                </c:pt>
                <c:pt idx="26">
                  <c:v>170.42019183619729</c:v>
                </c:pt>
                <c:pt idx="27">
                  <c:v>186.8741105331159</c:v>
                </c:pt>
                <c:pt idx="28">
                  <c:v>158.76051047616974</c:v>
                </c:pt>
                <c:pt idx="29">
                  <c:v>175.59896515661083</c:v>
                </c:pt>
                <c:pt idx="30">
                  <c:v>192.39950654022337</c:v>
                </c:pt>
                <c:pt idx="31">
                  <c:v>209.16591247422164</c:v>
                </c:pt>
                <c:pt idx="32">
                  <c:v>225.90130495746598</c:v>
                </c:pt>
                <c:pt idx="33">
                  <c:v>242.60830522574886</c:v>
                </c:pt>
                <c:pt idx="34">
                  <c:v>203.58097513744312</c:v>
                </c:pt>
                <c:pt idx="35">
                  <c:v>220.02792534458789</c:v>
                </c:pt>
                <c:pt idx="36">
                  <c:v>236.44664825214033</c:v>
                </c:pt>
                <c:pt idx="37">
                  <c:v>252.83938003643598</c:v>
                </c:pt>
                <c:pt idx="38">
                  <c:v>269.20804307840729</c:v>
                </c:pt>
                <c:pt idx="39">
                  <c:v>285.55430680854636</c:v>
                </c:pt>
                <c:pt idx="40">
                  <c:v>301.87963387321702</c:v>
                </c:pt>
                <c:pt idx="41">
                  <c:v>318.18531578207222</c:v>
                </c:pt>
                <c:pt idx="42">
                  <c:v>258.41598708702207</c:v>
                </c:pt>
                <c:pt idx="43">
                  <c:v>273.64897539352847</c:v>
                </c:pt>
                <c:pt idx="44">
                  <c:v>288.86291050410301</c:v>
                </c:pt>
                <c:pt idx="45">
                  <c:v>304.05893725366747</c:v>
                </c:pt>
                <c:pt idx="46">
                  <c:v>319.23807668113341</c:v>
                </c:pt>
                <c:pt idx="47">
                  <c:v>334.40124478994881</c:v>
                </c:pt>
                <c:pt idx="48">
                  <c:v>349.54926772624776</c:v>
                </c:pt>
                <c:pt idx="49">
                  <c:v>364.68289418741483</c:v>
                </c:pt>
                <c:pt idx="50">
                  <c:v>379.80280566271313</c:v>
                </c:pt>
                <c:pt idx="51">
                  <c:v>322.84049712168786</c:v>
                </c:pt>
                <c:pt idx="52">
                  <c:v>336.46900936276592</c:v>
                </c:pt>
                <c:pt idx="53">
                  <c:v>350.08536930552197</c:v>
                </c:pt>
                <c:pt idx="54">
                  <c:v>363.69011622210314</c:v>
                </c:pt>
                <c:pt idx="55">
                  <c:v>377.28374574247255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431.55573603859699</c:v>
                </c:pt>
                <c:pt idx="60">
                  <c:v>445.09999862375906</c:v>
                </c:pt>
                <c:pt idx="61">
                  <c:v>387.77711671492489</c:v>
                </c:pt>
                <c:pt idx="62">
                  <c:v>399.46857547560211</c:v>
                </c:pt>
                <c:pt idx="63">
                  <c:v>411.15262834415722</c:v>
                </c:pt>
                <c:pt idx="64">
                  <c:v>422.82951547202788</c:v>
                </c:pt>
                <c:pt idx="65">
                  <c:v>434.4994626626833</c:v>
                </c:pt>
                <c:pt idx="66">
                  <c:v>446.16268259938084</c:v>
                </c:pt>
                <c:pt idx="67">
                  <c:v>457.81937593784551</c:v>
                </c:pt>
                <c:pt idx="68">
                  <c:v>469.46973228186403</c:v>
                </c:pt>
                <c:pt idx="69">
                  <c:v>481.11393105699329</c:v>
                </c:pt>
                <c:pt idx="70">
                  <c:v>492.75214229528314</c:v>
                </c:pt>
                <c:pt idx="71">
                  <c:v>435.52165251525486</c:v>
                </c:pt>
                <c:pt idx="72">
                  <c:v>445.12148725674388</c:v>
                </c:pt>
                <c:pt idx="73">
                  <c:v>454.71688879830623</c:v>
                </c:pt>
                <c:pt idx="74">
                  <c:v>464.30796390444101</c:v>
                </c:pt>
                <c:pt idx="75">
                  <c:v>473.8948145679185</c:v>
                </c:pt>
                <c:pt idx="76">
                  <c:v>483.47753831734195</c:v>
                </c:pt>
                <c:pt idx="77">
                  <c:v>493.05622849905507</c:v>
                </c:pt>
                <c:pt idx="78">
                  <c:v>502.63097453599829</c:v>
                </c:pt>
                <c:pt idx="79">
                  <c:v>512.20186216581487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2.6857443894652788</c:v>
                </c:pt>
                <c:pt idx="2">
                  <c:v>3.1220341302776515</c:v>
                </c:pt>
                <c:pt idx="3">
                  <c:v>3.6294543059658344</c:v>
                </c:pt>
                <c:pt idx="4">
                  <c:v>4.2196411947233265</c:v>
                </c:pt>
                <c:pt idx="5">
                  <c:v>4.9061407295843642</c:v>
                </c:pt>
                <c:pt idx="6">
                  <c:v>5.7047228240822028</c:v>
                </c:pt>
                <c:pt idx="7">
                  <c:v>6.6337475768236276</c:v>
                </c:pt>
                <c:pt idx="8">
                  <c:v>7.7145919390154418</c:v>
                </c:pt>
                <c:pt idx="9">
                  <c:v>8.9721468525785806</c:v>
                </c:pt>
                <c:pt idx="10">
                  <c:v>10.435396526672468</c:v>
                </c:pt>
                <c:pt idx="11">
                  <c:v>12.138093456618288</c:v>
                </c:pt>
                <c:pt idx="12">
                  <c:v>14.119545047318164</c:v>
                </c:pt>
                <c:pt idx="13">
                  <c:v>16.42553033694788</c:v>
                </c:pt>
                <c:pt idx="14">
                  <c:v>19.109368388533348</c:v>
                </c:pt>
                <c:pt idx="15">
                  <c:v>22.233163500028613</c:v>
                </c:pt>
                <c:pt idx="16">
                  <c:v>25.869256562909538</c:v>
                </c:pt>
                <c:pt idx="17">
                  <c:v>30.101916774523115</c:v>
                </c:pt>
                <c:pt idx="18">
                  <c:v>35.029313596535836</c:v>
                </c:pt>
                <c:pt idx="19">
                  <c:v>40.765815486236747</c:v>
                </c:pt>
                <c:pt idx="20">
                  <c:v>47.444669667229327</c:v>
                </c:pt>
                <c:pt idx="21">
                  <c:v>55.221126235661643</c:v>
                </c:pt>
                <c:pt idx="22">
                  <c:v>64.276080432892542</c:v>
                </c:pt>
                <c:pt idx="23">
                  <c:v>74.820319206666056</c:v>
                </c:pt>
                <c:pt idx="24">
                  <c:v>87.099472523768256</c:v>
                </c:pt>
                <c:pt idx="25">
                  <c:v>101.39978663012171</c:v>
                </c:pt>
                <c:pt idx="26">
                  <c:v>118.05485597894473</c:v>
                </c:pt>
                <c:pt idx="27">
                  <c:v>137.45347333042426</c:v>
                </c:pt>
                <c:pt idx="28">
                  <c:v>160.04878411183111</c:v>
                </c:pt>
                <c:pt idx="29">
                  <c:v>186.36896215076243</c:v>
                </c:pt>
                <c:pt idx="30">
                  <c:v>217.02966009824979</c:v>
                </c:pt>
                <c:pt idx="31">
                  <c:v>233.29934918161189</c:v>
                </c:pt>
                <c:pt idx="32">
                  <c:v>249.54313827544206</c:v>
                </c:pt>
                <c:pt idx="33">
                  <c:v>265.76295073470305</c:v>
                </c:pt>
                <c:pt idx="34">
                  <c:v>281.96045587897055</c:v>
                </c:pt>
                <c:pt idx="35">
                  <c:v>239.57200365874317</c:v>
                </c:pt>
                <c:pt idx="36">
                  <c:v>258.66397322459017</c:v>
                </c:pt>
                <c:pt idx="37">
                  <c:v>277.72410067515142</c:v>
                </c:pt>
                <c:pt idx="38">
                  <c:v>296.75487826703966</c:v>
                </c:pt>
                <c:pt idx="39">
                  <c:v>315.75845245576846</c:v>
                </c:pt>
                <c:pt idx="40">
                  <c:v>334.73669023881172</c:v>
                </c:pt>
                <c:pt idx="41">
                  <c:v>353.69122965293923</c:v>
                </c:pt>
                <c:pt idx="42">
                  <c:v>372.62351887402855</c:v>
                </c:pt>
                <c:pt idx="43">
                  <c:v>304.4811604279688</c:v>
                </c:pt>
                <c:pt idx="44">
                  <c:v>323.72845473353181</c:v>
                </c:pt>
                <c:pt idx="45">
                  <c:v>342.95046115732583</c:v>
                </c:pt>
                <c:pt idx="46">
                  <c:v>362.14879588268133</c:v>
                </c:pt>
                <c:pt idx="47">
                  <c:v>381.3248897952999</c:v>
                </c:pt>
                <c:pt idx="48">
                  <c:v>400.48001817068416</c:v>
                </c:pt>
                <c:pt idx="49">
                  <c:v>419.6153243839251</c:v>
                </c:pt>
                <c:pt idx="50">
                  <c:v>438.73183906857093</c:v>
                </c:pt>
                <c:pt idx="51">
                  <c:v>356.63981068825109</c:v>
                </c:pt>
                <c:pt idx="52">
                  <c:v>375.2751819801511</c:v>
                </c:pt>
                <c:pt idx="53">
                  <c:v>393.89040213906009</c:v>
                </c:pt>
                <c:pt idx="54">
                  <c:v>412.48655707987967</c:v>
                </c:pt>
                <c:pt idx="55">
                  <c:v>431.06462685517272</c:v>
                </c:pt>
                <c:pt idx="56">
                  <c:v>449.62550018688563</c:v>
                </c:pt>
                <c:pt idx="57">
                  <c:v>468.16998647367103</c:v>
                </c:pt>
                <c:pt idx="58">
                  <c:v>486.69882579693893</c:v>
                </c:pt>
                <c:pt idx="59">
                  <c:v>413.23439994638017</c:v>
                </c:pt>
                <c:pt idx="60">
                  <c:v>430.97219592837968</c:v>
                </c:pt>
                <c:pt idx="61">
                  <c:v>448.69431201217094</c:v>
                </c:pt>
                <c:pt idx="62">
                  <c:v>466.40145438313789</c:v>
                </c:pt>
                <c:pt idx="63">
                  <c:v>484.09427125729331</c:v>
                </c:pt>
                <c:pt idx="64">
                  <c:v>501.77335962815204</c:v>
                </c:pt>
                <c:pt idx="65">
                  <c:v>519.4392710135229</c:v>
                </c:pt>
                <c:pt idx="66">
                  <c:v>537.09251638010244</c:v>
                </c:pt>
                <c:pt idx="67">
                  <c:v>449.95486925959204</c:v>
                </c:pt>
                <c:pt idx="68">
                  <c:v>466.6352163771781</c:v>
                </c:pt>
                <c:pt idx="69">
                  <c:v>483.30285804649662</c:v>
                </c:pt>
                <c:pt idx="70">
                  <c:v>499.95829393317217</c:v>
                </c:pt>
                <c:pt idx="71">
                  <c:v>516.60198771211776</c:v>
                </c:pt>
                <c:pt idx="72">
                  <c:v>533.23437075982554</c:v>
                </c:pt>
                <c:pt idx="73">
                  <c:v>549.85584536218471</c:v>
                </c:pt>
                <c:pt idx="74">
                  <c:v>566.46678751441152</c:v>
                </c:pt>
                <c:pt idx="75">
                  <c:v>481.14515659638232</c:v>
                </c:pt>
                <c:pt idx="76">
                  <c:v>496.8192212898191</c:v>
                </c:pt>
                <c:pt idx="77">
                  <c:v>512.4828143853855</c:v>
                </c:pt>
                <c:pt idx="78">
                  <c:v>528.13630087550121</c:v>
                </c:pt>
                <c:pt idx="79">
                  <c:v>543.78002236188331</c:v>
                </c:pt>
                <c:pt idx="80">
                  <c:v>559.41429919824748</c:v>
                </c:pt>
                <c:pt idx="81">
                  <c:v>575.03943238111356</c:v>
                </c:pt>
                <c:pt idx="82">
                  <c:v>590.65570522450832</c:v>
                </c:pt>
                <c:pt idx="83">
                  <c:v>528.50902868707601</c:v>
                </c:pt>
                <c:pt idx="84">
                  <c:v>543.56541133325175</c:v>
                </c:pt>
                <c:pt idx="85">
                  <c:v>558.61304131693703</c:v>
                </c:pt>
                <c:pt idx="86">
                  <c:v>573.65218751421037</c:v>
                </c:pt>
                <c:pt idx="87">
                  <c:v>588.68310356054678</c:v>
                </c:pt>
                <c:pt idx="88">
                  <c:v>603.70602908982733</c:v>
                </c:pt>
                <c:pt idx="89">
                  <c:v>618.72119084367489</c:v>
                </c:pt>
                <c:pt idx="90">
                  <c:v>633.72880366755624</c:v>
                </c:pt>
                <c:pt idx="91">
                  <c:v>557.88346206307892</c:v>
                </c:pt>
                <c:pt idx="92">
                  <c:v>572.38676311297058</c:v>
                </c:pt>
                <c:pt idx="93">
                  <c:v>586.88239135079641</c:v>
                </c:pt>
                <c:pt idx="94">
                  <c:v>601.37056289851682</c:v>
                </c:pt>
                <c:pt idx="95">
                  <c:v>615.85148262061796</c:v>
                </c:pt>
                <c:pt idx="96">
                  <c:v>630.32534496689959</c:v>
                </c:pt>
                <c:pt idx="97">
                  <c:v>644.79233473387114</c:v>
                </c:pt>
                <c:pt idx="98">
                  <c:v>659.25262775429837</c:v>
                </c:pt>
                <c:pt idx="99">
                  <c:v>673.70639152314664</c:v>
                </c:pt>
                <c:pt idx="100">
                  <c:v>688.15378576704654</c:v>
                </c:pt>
                <c:pt idx="101">
                  <c:v>580.3495169316717</c:v>
                </c:pt>
                <c:pt idx="102">
                  <c:v>594.23756277685459</c:v>
                </c:pt>
                <c:pt idx="103">
                  <c:v>608.11885699251968</c:v>
                </c:pt>
                <c:pt idx="104">
                  <c:v>621.99357533785758</c:v>
                </c:pt>
                <c:pt idx="105">
                  <c:v>635.86188509529109</c:v>
                </c:pt>
                <c:pt idx="106">
                  <c:v>649.72394565911247</c:v>
                </c:pt>
                <c:pt idx="107">
                  <c:v>663.57990907129715</c:v>
                </c:pt>
                <c:pt idx="108">
                  <c:v>677.42992051026795</c:v>
                </c:pt>
                <c:pt idx="109">
                  <c:v>691.27411873763378</c:v>
                </c:pt>
                <c:pt idx="110">
                  <c:v>705.11263650730291</c:v>
                </c:pt>
                <c:pt idx="111">
                  <c:v>623.42557076354058</c:v>
                </c:pt>
                <c:pt idx="112">
                  <c:v>637.10988303719455</c:v>
                </c:pt>
                <c:pt idx="113">
                  <c:v>650.78812393060309</c:v>
                </c:pt>
                <c:pt idx="114">
                  <c:v>664.46043896444064</c:v>
                </c:pt>
                <c:pt idx="115">
                  <c:v>678.12696718579889</c:v>
                </c:pt>
                <c:pt idx="116">
                  <c:v>691.78784158353881</c:v>
                </c:pt>
                <c:pt idx="117">
                  <c:v>705.44318946914564</c:v>
                </c:pt>
                <c:pt idx="118">
                  <c:v>719.09313282658798</c:v>
                </c:pt>
                <c:pt idx="119">
                  <c:v>732.73778863424411</c:v>
                </c:pt>
                <c:pt idx="120">
                  <c:v>746.3772691616241</c:v>
                </c:pt>
                <c:pt idx="121">
                  <c:v>674.5439171068449</c:v>
                </c:pt>
                <c:pt idx="122">
                  <c:v>688.20260040166215</c:v>
                </c:pt>
                <c:pt idx="123">
                  <c:v>701.85572727628733</c:v>
                </c:pt>
                <c:pt idx="124">
                  <c:v>715.50342098236149</c:v>
                </c:pt>
                <c:pt idx="125">
                  <c:v>729.14579968934993</c:v>
                </c:pt>
                <c:pt idx="126">
                  <c:v>742.782976787238</c:v>
                </c:pt>
                <c:pt idx="127">
                  <c:v>756.41506116585845</c:v>
                </c:pt>
                <c:pt idx="128">
                  <c:v>770.04215747305261</c:v>
                </c:pt>
                <c:pt idx="129">
                  <c:v>783.66436635362095</c:v>
                </c:pt>
                <c:pt idx="130">
                  <c:v>797.28178467080909</c:v>
                </c:pt>
                <c:pt idx="131">
                  <c:v>713.37917246490554</c:v>
                </c:pt>
                <c:pt idx="132">
                  <c:v>727.11745261066346</c:v>
                </c:pt>
                <c:pt idx="133">
                  <c:v>740.85044157147502</c:v>
                </c:pt>
                <c:pt idx="134">
                  <c:v>754.57825118102039</c:v>
                </c:pt>
                <c:pt idx="135">
                  <c:v>768.30098887504801</c:v>
                </c:pt>
                <c:pt idx="136">
                  <c:v>782.01875794141324</c:v>
                </c:pt>
                <c:pt idx="137">
                  <c:v>795.73165775167456</c:v>
                </c:pt>
                <c:pt idx="138">
                  <c:v>809.43978397591002</c:v>
                </c:pt>
                <c:pt idx="139">
                  <c:v>823.14322878223766</c:v>
                </c:pt>
                <c:pt idx="140">
                  <c:v>836.84208102237096</c:v>
                </c:pt>
                <c:pt idx="141">
                  <c:v>754.77192441771376</c:v>
                </c:pt>
                <c:pt idx="142">
                  <c:v>768.51042037633067</c:v>
                </c:pt>
                <c:pt idx="143">
                  <c:v>782.24393778449996</c:v>
                </c:pt>
                <c:pt idx="144">
                  <c:v>795.97257629769945</c:v>
                </c:pt>
                <c:pt idx="145">
                  <c:v>809.69643185621999</c:v>
                </c:pt>
                <c:pt idx="146">
                  <c:v>823.41559688559244</c:v>
                </c:pt>
                <c:pt idx="147">
                  <c:v>837.13016048297004</c:v>
                </c:pt>
                <c:pt idx="148">
                  <c:v>850.84020859067994</c:v>
                </c:pt>
                <c:pt idx="149">
                  <c:v>864.54582415801235</c:v>
                </c:pt>
                <c:pt idx="150">
                  <c:v>878.24708729223005</c:v>
                </c:pt>
                <c:pt idx="151">
                  <c:v>549.64639299167777</c:v>
                </c:pt>
                <c:pt idx="152">
                  <c:v>561.16482880194019</c:v>
                </c:pt>
                <c:pt idx="153">
                  <c:v>572.67831815051125</c:v>
                </c:pt>
                <c:pt idx="154">
                  <c:v>375.91176747689912</c:v>
                </c:pt>
                <c:pt idx="155">
                  <c:v>381.16425054600518</c:v>
                </c:pt>
                <c:pt idx="156">
                  <c:v>386.41515941560237</c:v>
                </c:pt>
                <c:pt idx="157">
                  <c:v>263.62343412107509</c:v>
                </c:pt>
                <c:pt idx="158">
                  <c:v>266.73759424597955</c:v>
                </c:pt>
                <c:pt idx="159">
                  <c:v>269.85093503021159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3.0215418478863434</c:v>
                </c:pt>
                <c:pt idx="2">
                  <c:v>4.0882142365615106</c:v>
                </c:pt>
                <c:pt idx="3">
                  <c:v>5.5330029449878415</c:v>
                </c:pt>
                <c:pt idx="4">
                  <c:v>7.4904619536777686</c:v>
                </c:pt>
                <c:pt idx="5">
                  <c:v>10.143198697027399</c:v>
                </c:pt>
                <c:pt idx="6">
                  <c:v>13.739092273584617</c:v>
                </c:pt>
                <c:pt idx="7">
                  <c:v>18.614699878988485</c:v>
                </c:pt>
                <c:pt idx="8">
                  <c:v>25.227081644422793</c:v>
                </c:pt>
                <c:pt idx="9">
                  <c:v>34.197079809673824</c:v>
                </c:pt>
                <c:pt idx="10">
                  <c:v>46.368185670270002</c:v>
                </c:pt>
                <c:pt idx="11">
                  <c:v>60.806387369363868</c:v>
                </c:pt>
                <c:pt idx="12">
                  <c:v>75.154841693095705</c:v>
                </c:pt>
                <c:pt idx="13">
                  <c:v>89.433224652663043</c:v>
                </c:pt>
                <c:pt idx="14">
                  <c:v>103.65434792362198</c:v>
                </c:pt>
                <c:pt idx="15">
                  <c:v>117.82719554138386</c:v>
                </c:pt>
                <c:pt idx="16">
                  <c:v>136.15232577620694</c:v>
                </c:pt>
                <c:pt idx="17">
                  <c:v>154.41803223213648</c:v>
                </c:pt>
                <c:pt idx="18">
                  <c:v>172.63234168697639</c:v>
                </c:pt>
                <c:pt idx="19">
                  <c:v>190.80144399249434</c:v>
                </c:pt>
                <c:pt idx="20">
                  <c:v>208.9302515139897</c:v>
                </c:pt>
                <c:pt idx="21">
                  <c:v>148.52569303609548</c:v>
                </c:pt>
                <c:pt idx="22">
                  <c:v>165.80757333279709</c:v>
                </c:pt>
                <c:pt idx="23">
                  <c:v>183.04691447762266</c:v>
                </c:pt>
                <c:pt idx="24">
                  <c:v>200.24828861934861</c:v>
                </c:pt>
                <c:pt idx="25">
                  <c:v>217.41541708927375</c:v>
                </c:pt>
                <c:pt idx="26">
                  <c:v>234.55138491384025</c:v>
                </c:pt>
                <c:pt idx="27">
                  <c:v>251.65878917766895</c:v>
                </c:pt>
                <c:pt idx="28">
                  <c:v>268.73984484198542</c:v>
                </c:pt>
                <c:pt idx="29">
                  <c:v>285.79646220412945</c:v>
                </c:pt>
                <c:pt idx="30">
                  <c:v>302.83030487228262</c:v>
                </c:pt>
                <c:pt idx="31">
                  <c:v>229.84664931859365</c:v>
                </c:pt>
                <c:pt idx="32">
                  <c:v>245.08225003541085</c:v>
                </c:pt>
                <c:pt idx="33">
                  <c:v>260.29633594452849</c:v>
                </c:pt>
                <c:pt idx="34">
                  <c:v>275.49034176419678</c:v>
                </c:pt>
                <c:pt idx="35">
                  <c:v>290.66553097703087</c:v>
                </c:pt>
                <c:pt idx="36">
                  <c:v>305.82302433005196</c:v>
                </c:pt>
                <c:pt idx="37">
                  <c:v>320.9638223844147</c:v>
                </c:pt>
                <c:pt idx="38">
                  <c:v>336.08882358493878</c:v>
                </c:pt>
                <c:pt idx="39">
                  <c:v>351.19883890522402</c:v>
                </c:pt>
                <c:pt idx="40">
                  <c:v>366.29460383970832</c:v>
                </c:pt>
                <c:pt idx="41">
                  <c:v>291.22722867703129</c:v>
                </c:pt>
                <c:pt idx="42">
                  <c:v>303.95265143464206</c:v>
                </c:pt>
                <c:pt idx="43">
                  <c:v>316.66622670451289</c:v>
                </c:pt>
                <c:pt idx="44">
                  <c:v>329.36849727470786</c:v>
                </c:pt>
                <c:pt idx="45">
                  <c:v>342.05996063814382</c:v>
                </c:pt>
                <c:pt idx="46">
                  <c:v>354.74107434847832</c:v>
                </c:pt>
                <c:pt idx="47">
                  <c:v>367.41226056988802</c:v>
                </c:pt>
                <c:pt idx="48">
                  <c:v>380.07390996625026</c:v>
                </c:pt>
                <c:pt idx="49">
                  <c:v>392.72638504489856</c:v>
                </c:pt>
                <c:pt idx="50">
                  <c:v>405.37002304691242</c:v>
                </c:pt>
                <c:pt idx="51">
                  <c:v>335.90218812523602</c:v>
                </c:pt>
                <c:pt idx="52">
                  <c:v>346.53680717558655</c:v>
                </c:pt>
                <c:pt idx="53">
                  <c:v>357.16426213426638</c:v>
                </c:pt>
                <c:pt idx="54">
                  <c:v>367.78479630486135</c:v>
                </c:pt>
                <c:pt idx="55">
                  <c:v>378.39863778692774</c:v>
                </c:pt>
                <c:pt idx="56">
                  <c:v>389.00600083506555</c:v>
                </c:pt>
                <c:pt idx="57">
                  <c:v>399.60708706197852</c:v>
                </c:pt>
                <c:pt idx="58">
                  <c:v>410.20208650717768</c:v>
                </c:pt>
                <c:pt idx="59">
                  <c:v>420.79117858949138</c:v>
                </c:pt>
                <c:pt idx="60">
                  <c:v>431.37453295867721</c:v>
                </c:pt>
                <c:pt idx="61">
                  <c:v>369.64735159591146</c:v>
                </c:pt>
                <c:pt idx="62">
                  <c:v>378.58478709988776</c:v>
                </c:pt>
                <c:pt idx="63">
                  <c:v>387.5176312788663</c:v>
                </c:pt>
                <c:pt idx="64">
                  <c:v>396.44600495131073</c:v>
                </c:pt>
                <c:pt idx="65">
                  <c:v>405.37002304691231</c:v>
                </c:pt>
                <c:pt idx="66">
                  <c:v>414.28979501974965</c:v>
                </c:pt>
                <c:pt idx="67">
                  <c:v>423.20542522399984</c:v>
                </c:pt>
                <c:pt idx="68">
                  <c:v>432.11701325632811</c:v>
                </c:pt>
                <c:pt idx="69">
                  <c:v>441.02465426855321</c:v>
                </c:pt>
                <c:pt idx="70">
                  <c:v>449.92843925372944</c:v>
                </c:pt>
                <c:pt idx="71">
                  <c:v>395.51617117728159</c:v>
                </c:pt>
                <c:pt idx="72">
                  <c:v>402.39582743654256</c:v>
                </c:pt>
                <c:pt idx="73">
                  <c:v>409.27293949098544</c:v>
                </c:pt>
                <c:pt idx="74">
                  <c:v>416.14755615430437</c:v>
                </c:pt>
                <c:pt idx="75">
                  <c:v>423.01972449465916</c:v>
                </c:pt>
                <c:pt idx="76">
                  <c:v>429.88948992506403</c:v>
                </c:pt>
                <c:pt idx="77">
                  <c:v>436.75689628769379</c:v>
                </c:pt>
                <c:pt idx="78">
                  <c:v>443.62198593261002</c:v>
                </c:pt>
                <c:pt idx="79">
                  <c:v>450.48479979135647</c:v>
                </c:pt>
                <c:pt idx="80">
                  <c:v>457.34537744583599</c:v>
                </c:pt>
                <c:pt idx="81">
                  <c:v>412.98925533052557</c:v>
                </c:pt>
                <c:pt idx="82">
                  <c:v>418.7481215104533</c:v>
                </c:pt>
                <c:pt idx="83">
                  <c:v>424.5052812594501</c:v>
                </c:pt>
                <c:pt idx="84">
                  <c:v>430.26076100517776</c:v>
                </c:pt>
                <c:pt idx="85">
                  <c:v>436.01458640998993</c:v>
                </c:pt>
                <c:pt idx="86">
                  <c:v>441.76678240312714</c:v>
                </c:pt>
                <c:pt idx="87">
                  <c:v>447.5173732111453</c:v>
                </c:pt>
                <c:pt idx="88">
                  <c:v>453.26638238669875</c:v>
                </c:pt>
                <c:pt idx="89">
                  <c:v>459.01383283578645</c:v>
                </c:pt>
                <c:pt idx="90">
                  <c:v>464.7597468435597</c:v>
                </c:pt>
                <c:pt idx="91">
                  <c:v>427.47605959569478</c:v>
                </c:pt>
                <c:pt idx="92">
                  <c:v>432.8594661465051</c:v>
                </c:pt>
                <c:pt idx="93">
                  <c:v>438.24143487072706</c:v>
                </c:pt>
                <c:pt idx="94">
                  <c:v>443.62198593261002</c:v>
                </c:pt>
                <c:pt idx="95">
                  <c:v>449.00113896695365</c:v>
                </c:pt>
                <c:pt idx="96">
                  <c:v>454.37891309932837</c:v>
                </c:pt>
                <c:pt idx="97">
                  <c:v>459.75532696528722</c:v>
                </c:pt>
                <c:pt idx="98">
                  <c:v>465.13039872863186</c:v>
                </c:pt>
                <c:pt idx="99">
                  <c:v>470.50414609878999</c:v>
                </c:pt>
                <c:pt idx="100">
                  <c:v>475.87658634735823</c:v>
                </c:pt>
                <c:pt idx="101">
                  <c:v>433.23068233058694</c:v>
                </c:pt>
                <c:pt idx="102">
                  <c:v>433.23068233058694</c:v>
                </c:pt>
                <c:pt idx="103">
                  <c:v>433.23068233058694</c:v>
                </c:pt>
                <c:pt idx="104">
                  <c:v>433.23068233058694</c:v>
                </c:pt>
                <c:pt idx="105">
                  <c:v>433.23068233058694</c:v>
                </c:pt>
                <c:pt idx="106">
                  <c:v>433.23068233058694</c:v>
                </c:pt>
                <c:pt idx="107">
                  <c:v>433.23068233058694</c:v>
                </c:pt>
                <c:pt idx="108">
                  <c:v>433.23068233058694</c:v>
                </c:pt>
                <c:pt idx="109">
                  <c:v>433.23068233058694</c:v>
                </c:pt>
                <c:pt idx="110">
                  <c:v>433.23068233058694</c:v>
                </c:pt>
                <c:pt idx="111">
                  <c:v>433.23068233058694</c:v>
                </c:pt>
                <c:pt idx="112">
                  <c:v>433.23068233058694</c:v>
                </c:pt>
                <c:pt idx="113">
                  <c:v>433.23068233058694</c:v>
                </c:pt>
                <c:pt idx="114">
                  <c:v>433.23068233058694</c:v>
                </c:pt>
                <c:pt idx="115">
                  <c:v>433.23068233058694</c:v>
                </c:pt>
                <c:pt idx="116">
                  <c:v>433.23068233058694</c:v>
                </c:pt>
                <c:pt idx="117">
                  <c:v>433.23068233058694</c:v>
                </c:pt>
                <c:pt idx="118">
                  <c:v>433.23068233058694</c:v>
                </c:pt>
                <c:pt idx="119">
                  <c:v>433.23068233058694</c:v>
                </c:pt>
                <c:pt idx="120">
                  <c:v>433.23068233058694</c:v>
                </c:pt>
                <c:pt idx="121">
                  <c:v>433.23068233058694</c:v>
                </c:pt>
                <c:pt idx="122">
                  <c:v>433.23068233058694</c:v>
                </c:pt>
                <c:pt idx="123">
                  <c:v>433.23068233058694</c:v>
                </c:pt>
                <c:pt idx="124">
                  <c:v>433.23068233058694</c:v>
                </c:pt>
                <c:pt idx="125">
                  <c:v>433.23068233058694</c:v>
                </c:pt>
                <c:pt idx="126">
                  <c:v>433.23068233058694</c:v>
                </c:pt>
                <c:pt idx="127">
                  <c:v>433.23068233058694</c:v>
                </c:pt>
                <c:pt idx="128">
                  <c:v>433.23068233058694</c:v>
                </c:pt>
                <c:pt idx="129">
                  <c:v>433.23068233058694</c:v>
                </c:pt>
                <c:pt idx="130">
                  <c:v>433.23068233058694</c:v>
                </c:pt>
                <c:pt idx="131">
                  <c:v>433.23068233058694</c:v>
                </c:pt>
                <c:pt idx="132">
                  <c:v>433.23068233058694</c:v>
                </c:pt>
                <c:pt idx="133">
                  <c:v>433.23068233058694</c:v>
                </c:pt>
                <c:pt idx="134">
                  <c:v>433.23068233058694</c:v>
                </c:pt>
                <c:pt idx="135">
                  <c:v>433.23068233058694</c:v>
                </c:pt>
                <c:pt idx="136">
                  <c:v>433.23068233058694</c:v>
                </c:pt>
                <c:pt idx="137">
                  <c:v>433.23068233058694</c:v>
                </c:pt>
                <c:pt idx="138">
                  <c:v>433.23068233058694</c:v>
                </c:pt>
                <c:pt idx="139">
                  <c:v>433.23068233058694</c:v>
                </c:pt>
                <c:pt idx="140">
                  <c:v>433.23068233058694</c:v>
                </c:pt>
                <c:pt idx="141">
                  <c:v>433.23068233058694</c:v>
                </c:pt>
                <c:pt idx="142">
                  <c:v>433.23068233058694</c:v>
                </c:pt>
                <c:pt idx="143">
                  <c:v>433.23068233058694</c:v>
                </c:pt>
                <c:pt idx="144">
                  <c:v>433.23068233058694</c:v>
                </c:pt>
                <c:pt idx="145">
                  <c:v>433.23068233058694</c:v>
                </c:pt>
                <c:pt idx="146">
                  <c:v>433.23068233058694</c:v>
                </c:pt>
                <c:pt idx="147">
                  <c:v>433.23068233058694</c:v>
                </c:pt>
                <c:pt idx="148">
                  <c:v>433.23068233058694</c:v>
                </c:pt>
                <c:pt idx="149">
                  <c:v>433.23068233058694</c:v>
                </c:pt>
                <c:pt idx="150">
                  <c:v>433.23068233058694</c:v>
                </c:pt>
                <c:pt idx="151">
                  <c:v>433.23068233058694</c:v>
                </c:pt>
                <c:pt idx="152">
                  <c:v>433.23068233058694</c:v>
                </c:pt>
                <c:pt idx="153">
                  <c:v>433.23068233058694</c:v>
                </c:pt>
                <c:pt idx="154">
                  <c:v>433.23068233058694</c:v>
                </c:pt>
                <c:pt idx="155">
                  <c:v>433.23068233058694</c:v>
                </c:pt>
                <c:pt idx="156">
                  <c:v>433.23068233058694</c:v>
                </c:pt>
                <c:pt idx="157">
                  <c:v>433.23068233058694</c:v>
                </c:pt>
                <c:pt idx="158">
                  <c:v>433.23068233058694</c:v>
                </c:pt>
                <c:pt idx="159">
                  <c:v>433.23068233058694</c:v>
                </c:pt>
                <c:pt idx="160">
                  <c:v>433.23068233058694</c:v>
                </c:pt>
                <c:pt idx="161">
                  <c:v>433.23068233058694</c:v>
                </c:pt>
                <c:pt idx="162">
                  <c:v>433.23068233058694</c:v>
                </c:pt>
                <c:pt idx="163">
                  <c:v>433.23068233058694</c:v>
                </c:pt>
                <c:pt idx="164">
                  <c:v>433.23068233058694</c:v>
                </c:pt>
                <c:pt idx="165">
                  <c:v>433.23068233058694</c:v>
                </c:pt>
                <c:pt idx="166">
                  <c:v>433.23068233058694</c:v>
                </c:pt>
                <c:pt idx="167">
                  <c:v>433.23068233058694</c:v>
                </c:pt>
                <c:pt idx="168">
                  <c:v>433.23068233058694</c:v>
                </c:pt>
                <c:pt idx="169">
                  <c:v>433.23068233058694</c:v>
                </c:pt>
                <c:pt idx="170">
                  <c:v>433.23068233058694</c:v>
                </c:pt>
                <c:pt idx="171">
                  <c:v>433.23068233058694</c:v>
                </c:pt>
                <c:pt idx="172">
                  <c:v>433.23068233058694</c:v>
                </c:pt>
                <c:pt idx="173">
                  <c:v>433.23068233058694</c:v>
                </c:pt>
                <c:pt idx="174">
                  <c:v>433.23068233058694</c:v>
                </c:pt>
                <c:pt idx="175">
                  <c:v>433.23068233058694</c:v>
                </c:pt>
                <c:pt idx="176">
                  <c:v>433.23068233058694</c:v>
                </c:pt>
                <c:pt idx="177">
                  <c:v>433.23068233058694</c:v>
                </c:pt>
                <c:pt idx="178">
                  <c:v>433.23068233058694</c:v>
                </c:pt>
                <c:pt idx="179">
                  <c:v>433.23068233058694</c:v>
                </c:pt>
                <c:pt idx="180">
                  <c:v>433.23068233058694</c:v>
                </c:pt>
                <c:pt idx="181">
                  <c:v>433.23068233058694</c:v>
                </c:pt>
                <c:pt idx="182">
                  <c:v>433.23068233058694</c:v>
                </c:pt>
                <c:pt idx="183">
                  <c:v>433.23068233058694</c:v>
                </c:pt>
                <c:pt idx="184">
                  <c:v>433.23068233058694</c:v>
                </c:pt>
                <c:pt idx="185">
                  <c:v>433.23068233058694</c:v>
                </c:pt>
                <c:pt idx="186">
                  <c:v>433.23068233058694</c:v>
                </c:pt>
                <c:pt idx="187">
                  <c:v>433.23068233058694</c:v>
                </c:pt>
                <c:pt idx="188">
                  <c:v>433.23068233058694</c:v>
                </c:pt>
                <c:pt idx="189">
                  <c:v>433.23068233058694</c:v>
                </c:pt>
                <c:pt idx="190">
                  <c:v>433.23068233058694</c:v>
                </c:pt>
                <c:pt idx="191">
                  <c:v>433.23068233058694</c:v>
                </c:pt>
                <c:pt idx="192">
                  <c:v>433.23068233058694</c:v>
                </c:pt>
                <c:pt idx="193">
                  <c:v>433.23068233058694</c:v>
                </c:pt>
                <c:pt idx="194">
                  <c:v>433.23068233058694</c:v>
                </c:pt>
                <c:pt idx="195">
                  <c:v>433.23068233058694</c:v>
                </c:pt>
                <c:pt idx="196">
                  <c:v>433.23068233058694</c:v>
                </c:pt>
                <c:pt idx="197">
                  <c:v>433.23068233058694</c:v>
                </c:pt>
                <c:pt idx="198">
                  <c:v>433.23068233058694</c:v>
                </c:pt>
                <c:pt idx="199">
                  <c:v>433.23068233058694</c:v>
                </c:pt>
                <c:pt idx="200">
                  <c:v>433.23068233058694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2.0328177627816819</c:v>
                </c:pt>
                <c:pt idx="2">
                  <c:v>2.5577257227440273</c:v>
                </c:pt>
                <c:pt idx="3">
                  <c:v>3.2187094631022588</c:v>
                </c:pt>
                <c:pt idx="4">
                  <c:v>4.0511760336466702</c:v>
                </c:pt>
                <c:pt idx="5">
                  <c:v>5.0997774008014733</c:v>
                </c:pt>
                <c:pt idx="6">
                  <c:v>6.4208320962061336</c:v>
                </c:pt>
                <c:pt idx="7">
                  <c:v>8.0853830808869755</c:v>
                </c:pt>
                <c:pt idx="8">
                  <c:v>10.183059425174006</c:v>
                </c:pt>
                <c:pt idx="9">
                  <c:v>12.826953665044144</c:v>
                </c:pt>
                <c:pt idx="10">
                  <c:v>16.159782670778661</c:v>
                </c:pt>
                <c:pt idx="11">
                  <c:v>20.361670660565185</c:v>
                </c:pt>
                <c:pt idx="12">
                  <c:v>25.659982542276879</c:v>
                </c:pt>
                <c:pt idx="13">
                  <c:v>32.341749048589733</c:v>
                </c:pt>
                <c:pt idx="14">
                  <c:v>40.76936844468792</c:v>
                </c:pt>
                <c:pt idx="15">
                  <c:v>51.400450910649454</c:v>
                </c:pt>
                <c:pt idx="16">
                  <c:v>64.812901130910859</c:v>
                </c:pt>
                <c:pt idx="17">
                  <c:v>81.736624947223348</c:v>
                </c:pt>
                <c:pt idx="18">
                  <c:v>103.09361333926567</c:v>
                </c:pt>
                <c:pt idx="19">
                  <c:v>130.04862198979387</c:v>
                </c:pt>
                <c:pt idx="20">
                  <c:v>164.07325323089393</c:v>
                </c:pt>
                <c:pt idx="21">
                  <c:v>132.69393085556803</c:v>
                </c:pt>
                <c:pt idx="22">
                  <c:v>151.59473555620181</c:v>
                </c:pt>
                <c:pt idx="23">
                  <c:v>170.4393719593314</c:v>
                </c:pt>
                <c:pt idx="24">
                  <c:v>189.2349292745572</c:v>
                </c:pt>
                <c:pt idx="25">
                  <c:v>207.9869703071802</c:v>
                </c:pt>
                <c:pt idx="26">
                  <c:v>226.69997130248001</c:v>
                </c:pt>
                <c:pt idx="27">
                  <c:v>245.37760837408052</c:v>
                </c:pt>
                <c:pt idx="28">
                  <c:v>264.0229518894086</c:v>
                </c:pt>
                <c:pt idx="29">
                  <c:v>282.63860294103654</c:v>
                </c:pt>
                <c:pt idx="30">
                  <c:v>301.22679191692964</c:v>
                </c:pt>
                <c:pt idx="31">
                  <c:v>225.22041883707629</c:v>
                </c:pt>
                <c:pt idx="32">
                  <c:v>243.09508307999488</c:v>
                </c:pt>
                <c:pt idx="33">
                  <c:v>260.9398660103613</c:v>
                </c:pt>
                <c:pt idx="34">
                  <c:v>278.7570984695862</c:v>
                </c:pt>
                <c:pt idx="35">
                  <c:v>296.54878892259609</c:v>
                </c:pt>
                <c:pt idx="36">
                  <c:v>314.31668512200895</c:v>
                </c:pt>
                <c:pt idx="37">
                  <c:v>332.06232108561727</c:v>
                </c:pt>
                <c:pt idx="38">
                  <c:v>349.78705349902822</c:v>
                </c:pt>
                <c:pt idx="39">
                  <c:v>367.49209034996051</c:v>
                </c:pt>
                <c:pt idx="40">
                  <c:v>385.1785137538775</c:v>
                </c:pt>
                <c:pt idx="41">
                  <c:v>306.57110217476543</c:v>
                </c:pt>
                <c:pt idx="42">
                  <c:v>321.25740024962471</c:v>
                </c:pt>
                <c:pt idx="43">
                  <c:v>335.92885047360363</c:v>
                </c:pt>
                <c:pt idx="44">
                  <c:v>350.58619263421946</c:v>
                </c:pt>
                <c:pt idx="45">
                  <c:v>365.23009960908388</c:v>
                </c:pt>
                <c:pt idx="46">
                  <c:v>379.86118591400549</c:v>
                </c:pt>
                <c:pt idx="47">
                  <c:v>394.48001486506854</c:v>
                </c:pt>
                <c:pt idx="48">
                  <c:v>409.08710462349342</c:v>
                </c:pt>
                <c:pt idx="49">
                  <c:v>423.68293333202706</c:v>
                </c:pt>
                <c:pt idx="50">
                  <c:v>438.26794350661703</c:v>
                </c:pt>
                <c:pt idx="51">
                  <c:v>370.28589478268333</c:v>
                </c:pt>
                <c:pt idx="52">
                  <c:v>381.98831004710291</c:v>
                </c:pt>
                <c:pt idx="53">
                  <c:v>393.68293140308919</c:v>
                </c:pt>
                <c:pt idx="54">
                  <c:v>405.37002304691276</c:v>
                </c:pt>
                <c:pt idx="55">
                  <c:v>417.04983269531681</c:v>
                </c:pt>
                <c:pt idx="56">
                  <c:v>428.72259305599874</c:v>
                </c:pt>
                <c:pt idx="57">
                  <c:v>440.38852312957806</c:v>
                </c:pt>
                <c:pt idx="58">
                  <c:v>452.04782936640748</c:v>
                </c:pt>
                <c:pt idx="59">
                  <c:v>463.70070669781438</c:v>
                </c:pt>
                <c:pt idx="60">
                  <c:v>475.34733945827901</c:v>
                </c:pt>
                <c:pt idx="61">
                  <c:v>422.09119450330462</c:v>
                </c:pt>
                <c:pt idx="62">
                  <c:v>431.10935477142363</c:v>
                </c:pt>
                <c:pt idx="63">
                  <c:v>440.12346267465938</c:v>
                </c:pt>
                <c:pt idx="64">
                  <c:v>449.13361294375437</c:v>
                </c:pt>
                <c:pt idx="65">
                  <c:v>458.13989619719604</c:v>
                </c:pt>
                <c:pt idx="66">
                  <c:v>467.14239919881032</c:v>
                </c:pt>
                <c:pt idx="67">
                  <c:v>476.14120509446002</c:v>
                </c:pt>
                <c:pt idx="68">
                  <c:v>485.13639362991461</c:v>
                </c:pt>
                <c:pt idx="69">
                  <c:v>494.12804135171729</c:v>
                </c:pt>
                <c:pt idx="70">
                  <c:v>503.11622179266897</c:v>
                </c:pt>
                <c:pt idx="71">
                  <c:v>462.24444221453541</c:v>
                </c:pt>
                <c:pt idx="72">
                  <c:v>468.99539408994292</c:v>
                </c:pt>
                <c:pt idx="73">
                  <c:v>475.74427579982193</c:v>
                </c:pt>
                <c:pt idx="74">
                  <c:v>482.49112087009553</c:v>
                </c:pt>
                <c:pt idx="75">
                  <c:v>489.23596181209018</c:v>
                </c:pt>
                <c:pt idx="76">
                  <c:v>495.97883016711211</c:v>
                </c:pt>
                <c:pt idx="77">
                  <c:v>502.71975654847284</c:v>
                </c:pt>
                <c:pt idx="78">
                  <c:v>509.45877068114413</c:v>
                </c:pt>
                <c:pt idx="79">
                  <c:v>516.19590143920186</c:v>
                </c:pt>
                <c:pt idx="80">
                  <c:v>522.93117688121595</c:v>
                </c:pt>
                <c:pt idx="81">
                  <c:v>9.3922404915174053E-12</c:v>
                </c:pt>
                <c:pt idx="82">
                  <c:v>9.3922404915174053E-12</c:v>
                </c:pt>
                <c:pt idx="83">
                  <c:v>9.3922404915174053E-12</c:v>
                </c:pt>
                <c:pt idx="84">
                  <c:v>9.3922404915174053E-12</c:v>
                </c:pt>
                <c:pt idx="85">
                  <c:v>9.3922404915174053E-12</c:v>
                </c:pt>
                <c:pt idx="86">
                  <c:v>9.3922404915174053E-12</c:v>
                </c:pt>
                <c:pt idx="87">
                  <c:v>9.3922404915174053E-12</c:v>
                </c:pt>
                <c:pt idx="88">
                  <c:v>9.3922404915174053E-12</c:v>
                </c:pt>
                <c:pt idx="89">
                  <c:v>9.3922404915174053E-12</c:v>
                </c:pt>
                <c:pt idx="90">
                  <c:v>9.3922404915174053E-12</c:v>
                </c:pt>
                <c:pt idx="91">
                  <c:v>9.3922404915174053E-12</c:v>
                </c:pt>
                <c:pt idx="92">
                  <c:v>9.3922404915174053E-12</c:v>
                </c:pt>
                <c:pt idx="93">
                  <c:v>9.3922404915174053E-12</c:v>
                </c:pt>
                <c:pt idx="94">
                  <c:v>9.3922404915174053E-12</c:v>
                </c:pt>
                <c:pt idx="95">
                  <c:v>9.3922404915174053E-12</c:v>
                </c:pt>
                <c:pt idx="96">
                  <c:v>9.3922404915174053E-12</c:v>
                </c:pt>
                <c:pt idx="97">
                  <c:v>9.3922404915174053E-12</c:v>
                </c:pt>
                <c:pt idx="98">
                  <c:v>9.3922404915174053E-12</c:v>
                </c:pt>
                <c:pt idx="99">
                  <c:v>9.3922404915174053E-12</c:v>
                </c:pt>
                <c:pt idx="100">
                  <c:v>9.3922404915174053E-12</c:v>
                </c:pt>
                <c:pt idx="101">
                  <c:v>9.3922404915174053E-12</c:v>
                </c:pt>
                <c:pt idx="102">
                  <c:v>9.3922404915174053E-12</c:v>
                </c:pt>
                <c:pt idx="103">
                  <c:v>9.3922404915174053E-12</c:v>
                </c:pt>
                <c:pt idx="104">
                  <c:v>9.3922404915174053E-12</c:v>
                </c:pt>
                <c:pt idx="105">
                  <c:v>9.3922404915174053E-12</c:v>
                </c:pt>
                <c:pt idx="106">
                  <c:v>9.3922404915174053E-12</c:v>
                </c:pt>
                <c:pt idx="107">
                  <c:v>9.3922404915174053E-12</c:v>
                </c:pt>
                <c:pt idx="108">
                  <c:v>9.3922404915174053E-12</c:v>
                </c:pt>
                <c:pt idx="109">
                  <c:v>9.3922404915174053E-12</c:v>
                </c:pt>
                <c:pt idx="110">
                  <c:v>9.3922404915174053E-12</c:v>
                </c:pt>
                <c:pt idx="111">
                  <c:v>9.3922404915174053E-12</c:v>
                </c:pt>
                <c:pt idx="112">
                  <c:v>9.3922404915174053E-12</c:v>
                </c:pt>
                <c:pt idx="113">
                  <c:v>9.3922404915174053E-12</c:v>
                </c:pt>
                <c:pt idx="114">
                  <c:v>9.3922404915174053E-12</c:v>
                </c:pt>
                <c:pt idx="115">
                  <c:v>9.3922404915174053E-12</c:v>
                </c:pt>
                <c:pt idx="116">
                  <c:v>9.3922404915174053E-12</c:v>
                </c:pt>
                <c:pt idx="117">
                  <c:v>9.3922404915174053E-12</c:v>
                </c:pt>
                <c:pt idx="118">
                  <c:v>9.3922404915174053E-12</c:v>
                </c:pt>
                <c:pt idx="119">
                  <c:v>9.3922404915174053E-12</c:v>
                </c:pt>
                <c:pt idx="120">
                  <c:v>9.3922404915174053E-12</c:v>
                </c:pt>
                <c:pt idx="121">
                  <c:v>9.3922404915174053E-12</c:v>
                </c:pt>
                <c:pt idx="122">
                  <c:v>9.3922404915174053E-12</c:v>
                </c:pt>
                <c:pt idx="123">
                  <c:v>9.3922404915174053E-12</c:v>
                </c:pt>
                <c:pt idx="124">
                  <c:v>9.3922404915174053E-12</c:v>
                </c:pt>
                <c:pt idx="125">
                  <c:v>9.3922404915174053E-12</c:v>
                </c:pt>
                <c:pt idx="126">
                  <c:v>9.3922404915174053E-12</c:v>
                </c:pt>
                <c:pt idx="127">
                  <c:v>9.3922404915174053E-12</c:v>
                </c:pt>
                <c:pt idx="128">
                  <c:v>9.3922404915174053E-12</c:v>
                </c:pt>
                <c:pt idx="129">
                  <c:v>9.3922404915174053E-12</c:v>
                </c:pt>
                <c:pt idx="130">
                  <c:v>9.3922404915174053E-12</c:v>
                </c:pt>
                <c:pt idx="131">
                  <c:v>9.3922404915174053E-12</c:v>
                </c:pt>
                <c:pt idx="132">
                  <c:v>9.3922404915174053E-12</c:v>
                </c:pt>
                <c:pt idx="133">
                  <c:v>9.3922404915174053E-12</c:v>
                </c:pt>
                <c:pt idx="134">
                  <c:v>9.3922404915174053E-12</c:v>
                </c:pt>
                <c:pt idx="135">
                  <c:v>9.3922404915174053E-12</c:v>
                </c:pt>
                <c:pt idx="136">
                  <c:v>9.3922404915174053E-12</c:v>
                </c:pt>
                <c:pt idx="137">
                  <c:v>9.3922404915174053E-12</c:v>
                </c:pt>
                <c:pt idx="138">
                  <c:v>9.3922404915174053E-12</c:v>
                </c:pt>
                <c:pt idx="139">
                  <c:v>9.3922404915174053E-12</c:v>
                </c:pt>
                <c:pt idx="140">
                  <c:v>9.3922404915174053E-12</c:v>
                </c:pt>
                <c:pt idx="141">
                  <c:v>9.3922404915174053E-12</c:v>
                </c:pt>
                <c:pt idx="142">
                  <c:v>9.3922404915174053E-12</c:v>
                </c:pt>
                <c:pt idx="143">
                  <c:v>9.3922404915174053E-12</c:v>
                </c:pt>
                <c:pt idx="144">
                  <c:v>9.3922404915174053E-12</c:v>
                </c:pt>
                <c:pt idx="145">
                  <c:v>9.3922404915174053E-12</c:v>
                </c:pt>
                <c:pt idx="146">
                  <c:v>9.3922404915174053E-12</c:v>
                </c:pt>
                <c:pt idx="147">
                  <c:v>9.3922404915174053E-12</c:v>
                </c:pt>
                <c:pt idx="148">
                  <c:v>9.3922404915174053E-12</c:v>
                </c:pt>
                <c:pt idx="149">
                  <c:v>9.3922404915174053E-12</c:v>
                </c:pt>
                <c:pt idx="150">
                  <c:v>9.3922404915174053E-12</c:v>
                </c:pt>
                <c:pt idx="151">
                  <c:v>9.3922404915174053E-12</c:v>
                </c:pt>
                <c:pt idx="152">
                  <c:v>9.3922404915174053E-12</c:v>
                </c:pt>
                <c:pt idx="153">
                  <c:v>9.3922404915174053E-12</c:v>
                </c:pt>
                <c:pt idx="154">
                  <c:v>9.3922404915174053E-12</c:v>
                </c:pt>
                <c:pt idx="155">
                  <c:v>9.3922404915174053E-12</c:v>
                </c:pt>
                <c:pt idx="156">
                  <c:v>9.3922404915174053E-12</c:v>
                </c:pt>
                <c:pt idx="157">
                  <c:v>9.3922404915174053E-12</c:v>
                </c:pt>
                <c:pt idx="158">
                  <c:v>9.3922404915174053E-12</c:v>
                </c:pt>
                <c:pt idx="159">
                  <c:v>9.3922404915174053E-12</c:v>
                </c:pt>
                <c:pt idx="160">
                  <c:v>9.3922404915174053E-12</c:v>
                </c:pt>
                <c:pt idx="161">
                  <c:v>9.3922404915174053E-12</c:v>
                </c:pt>
                <c:pt idx="162">
                  <c:v>9.3922404915174053E-12</c:v>
                </c:pt>
                <c:pt idx="163">
                  <c:v>9.3922404915174053E-12</c:v>
                </c:pt>
                <c:pt idx="164">
                  <c:v>9.3922404915174053E-12</c:v>
                </c:pt>
                <c:pt idx="165">
                  <c:v>9.3922404915174053E-12</c:v>
                </c:pt>
                <c:pt idx="166">
                  <c:v>9.3922404915174053E-12</c:v>
                </c:pt>
                <c:pt idx="167">
                  <c:v>9.3922404915174053E-12</c:v>
                </c:pt>
                <c:pt idx="168">
                  <c:v>9.3922404915174053E-12</c:v>
                </c:pt>
                <c:pt idx="169">
                  <c:v>9.3922404915174053E-12</c:v>
                </c:pt>
                <c:pt idx="170">
                  <c:v>9.3922404915174053E-12</c:v>
                </c:pt>
                <c:pt idx="171">
                  <c:v>9.3922404915174053E-12</c:v>
                </c:pt>
                <c:pt idx="172">
                  <c:v>9.3922404915174053E-12</c:v>
                </c:pt>
                <c:pt idx="173">
                  <c:v>9.3922404915174053E-12</c:v>
                </c:pt>
                <c:pt idx="174">
                  <c:v>9.3922404915174053E-12</c:v>
                </c:pt>
                <c:pt idx="175">
                  <c:v>9.3922404915174053E-12</c:v>
                </c:pt>
                <c:pt idx="176">
                  <c:v>9.3922404915174053E-12</c:v>
                </c:pt>
                <c:pt idx="177">
                  <c:v>9.3922404915174053E-12</c:v>
                </c:pt>
                <c:pt idx="178">
                  <c:v>9.3922404915174053E-12</c:v>
                </c:pt>
                <c:pt idx="179">
                  <c:v>9.3922404915174053E-12</c:v>
                </c:pt>
                <c:pt idx="180">
                  <c:v>9.3922404915174053E-12</c:v>
                </c:pt>
                <c:pt idx="181">
                  <c:v>9.3922404915174053E-12</c:v>
                </c:pt>
                <c:pt idx="182">
                  <c:v>9.3922404915174053E-12</c:v>
                </c:pt>
                <c:pt idx="183">
                  <c:v>9.3922404915174053E-12</c:v>
                </c:pt>
                <c:pt idx="184">
                  <c:v>9.3922404915174053E-12</c:v>
                </c:pt>
                <c:pt idx="185">
                  <c:v>9.3922404915174053E-12</c:v>
                </c:pt>
                <c:pt idx="186">
                  <c:v>9.3922404915174053E-12</c:v>
                </c:pt>
                <c:pt idx="187">
                  <c:v>9.3922404915174053E-12</c:v>
                </c:pt>
                <c:pt idx="188">
                  <c:v>9.3922404915174053E-12</c:v>
                </c:pt>
                <c:pt idx="189">
                  <c:v>9.3922404915174053E-12</c:v>
                </c:pt>
                <c:pt idx="190">
                  <c:v>9.3922404915174053E-12</c:v>
                </c:pt>
                <c:pt idx="191">
                  <c:v>9.3922404915174053E-12</c:v>
                </c:pt>
                <c:pt idx="192">
                  <c:v>9.3922404915174053E-12</c:v>
                </c:pt>
                <c:pt idx="193">
                  <c:v>9.3922404915174053E-12</c:v>
                </c:pt>
                <c:pt idx="194">
                  <c:v>9.3922404915174053E-12</c:v>
                </c:pt>
                <c:pt idx="195">
                  <c:v>9.3922404915174053E-12</c:v>
                </c:pt>
                <c:pt idx="196">
                  <c:v>9.3922404915174053E-12</c:v>
                </c:pt>
                <c:pt idx="197">
                  <c:v>9.3922404915174053E-12</c:v>
                </c:pt>
                <c:pt idx="198">
                  <c:v>9.3922404915174053E-12</c:v>
                </c:pt>
                <c:pt idx="199">
                  <c:v>9.3922404915174053E-12</c:v>
                </c:pt>
                <c:pt idx="200">
                  <c:v>9.3922404915174053E-12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K26" sqref="K26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13.27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23</v>
      </c>
      <c r="C9" s="32">
        <v>0.09</v>
      </c>
      <c r="D9" s="33">
        <f t="shared" ref="D9:D18" si="0">C9*$C$5</f>
        <v>1.1942999999999999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40</v>
      </c>
      <c r="C10" s="32">
        <v>0.16</v>
      </c>
      <c r="D10" s="33">
        <f t="shared" si="0"/>
        <v>2.1231999999999998</v>
      </c>
      <c r="E10" s="34">
        <v>100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35</v>
      </c>
      <c r="C11" s="32">
        <v>0.16</v>
      </c>
      <c r="D11" s="33">
        <f t="shared" si="0"/>
        <v>2.1231999999999998</v>
      </c>
      <c r="E11" s="34">
        <v>76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35</v>
      </c>
      <c r="C12" s="32">
        <v>0.19</v>
      </c>
      <c r="D12" s="33">
        <f t="shared" si="0"/>
        <v>2.5213000000000001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14</v>
      </c>
      <c r="C13" s="32">
        <v>0.28999999999999998</v>
      </c>
      <c r="D13" s="33">
        <f t="shared" si="0"/>
        <v>3.8482999999999996</v>
      </c>
      <c r="E13" s="34">
        <v>159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13</v>
      </c>
      <c r="C14" s="32">
        <v>0.05</v>
      </c>
      <c r="D14" s="33">
        <f t="shared" si="0"/>
        <v>0.66349999999999998</v>
      </c>
      <c r="E14" s="34">
        <v>100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27</v>
      </c>
      <c r="C15" s="32">
        <v>0.06</v>
      </c>
      <c r="D15" s="33">
        <f t="shared" si="0"/>
        <v>0.79619999999999991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1.0000000000000002</v>
      </c>
      <c r="D19" s="38">
        <f>SUM(D9:D18)</f>
        <v>13.270000000000001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Erable sycomore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20</v>
      </c>
      <c r="B36" s="60">
        <v>95</v>
      </c>
      <c r="C36" s="60">
        <v>1</v>
      </c>
      <c r="D36" s="60">
        <f>15+28</f>
        <v>43</v>
      </c>
      <c r="E36" s="51"/>
      <c r="F36" s="51">
        <v>0.25</v>
      </c>
      <c r="G36" s="51">
        <v>0.25</v>
      </c>
      <c r="H36" s="51">
        <v>0.5</v>
      </c>
      <c r="I36" s="49">
        <f>IFERROR(B36/A36,"")</f>
        <v>4.75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30</v>
      </c>
      <c r="B37" s="60">
        <v>174</v>
      </c>
      <c r="C37" s="60">
        <v>2</v>
      </c>
      <c r="D37" s="60">
        <f>28+28</f>
        <v>56</v>
      </c>
      <c r="E37" s="51"/>
      <c r="F37" s="51">
        <v>0.25</v>
      </c>
      <c r="G37" s="51">
        <v>0.25</v>
      </c>
      <c r="H37" s="51">
        <v>0.5</v>
      </c>
      <c r="I37" s="53">
        <f t="shared" ref="I37:I55" si="1">IF(A37&lt;&gt;0,(B37-(B36-D36))/(A37-A36),"")</f>
        <v>12.2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40</v>
      </c>
      <c r="B38" s="60">
        <v>220</v>
      </c>
      <c r="C38" s="60">
        <v>3</v>
      </c>
      <c r="D38" s="60">
        <f>28+28</f>
        <v>56</v>
      </c>
      <c r="E38" s="51"/>
      <c r="F38" s="51"/>
      <c r="G38" s="51"/>
      <c r="H38" s="51"/>
      <c r="I38" s="53">
        <f t="shared" si="1"/>
        <v>10.199999999999999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50</v>
      </c>
      <c r="B39" s="60">
        <v>241</v>
      </c>
      <c r="C39" s="60">
        <v>4</v>
      </c>
      <c r="D39" s="60">
        <f>22+17</f>
        <v>39</v>
      </c>
      <c r="E39" s="51"/>
      <c r="F39" s="51"/>
      <c r="G39" s="51"/>
      <c r="H39" s="51"/>
      <c r="I39" s="49">
        <f t="shared" si="1"/>
        <v>7.7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60</v>
      </c>
      <c r="B40" s="60">
        <v>258</v>
      </c>
      <c r="C40" s="60">
        <v>5</v>
      </c>
      <c r="D40" s="60">
        <f>13+12</f>
        <v>25</v>
      </c>
      <c r="E40" s="51"/>
      <c r="F40" s="51"/>
      <c r="G40" s="51"/>
      <c r="H40" s="51"/>
      <c r="I40" s="49">
        <f t="shared" si="1"/>
        <v>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70</v>
      </c>
      <c r="B41" s="60">
        <v>274</v>
      </c>
      <c r="C41" s="60">
        <v>6</v>
      </c>
      <c r="D41" s="60">
        <f>11+10</f>
        <v>21</v>
      </c>
      <c r="E41" s="51"/>
      <c r="F41" s="51"/>
      <c r="G41" s="51"/>
      <c r="H41" s="51"/>
      <c r="I41" s="53">
        <f t="shared" si="1"/>
        <v>4.0999999999999996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80</v>
      </c>
      <c r="B42" s="60">
        <f>267+9+8</f>
        <v>284</v>
      </c>
      <c r="C42" s="60">
        <v>7</v>
      </c>
      <c r="D42" s="60">
        <f>B42</f>
        <v>284</v>
      </c>
      <c r="E42" s="51"/>
      <c r="F42" s="51"/>
      <c r="G42" s="51"/>
      <c r="H42" s="51"/>
      <c r="I42" s="53">
        <f t="shared" si="1"/>
        <v>3.1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Pin de Salzmann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61</v>
      </c>
      <c r="C62" s="60"/>
      <c r="D62" s="60"/>
      <c r="E62" s="51"/>
      <c r="F62" s="51"/>
      <c r="G62" s="51"/>
      <c r="H62" s="51"/>
      <c r="I62" s="53">
        <f>IFERROR(B62/A62,"")</f>
        <v>3.05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f>121+41</f>
        <v>162</v>
      </c>
      <c r="C63" s="60">
        <v>1</v>
      </c>
      <c r="D63" s="60">
        <v>41</v>
      </c>
      <c r="E63" s="51">
        <v>0.2</v>
      </c>
      <c r="F63" s="51">
        <v>0.4</v>
      </c>
      <c r="G63" s="51">
        <v>0.4</v>
      </c>
      <c r="H63" s="51"/>
      <c r="I63" s="49">
        <f>IF(A63&lt;&gt;0,(B63-(B62-D62))/(A63-A62),"")</f>
        <v>10.1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f>194+56</f>
        <v>250</v>
      </c>
      <c r="C64" s="60">
        <v>2</v>
      </c>
      <c r="D64" s="60">
        <v>56</v>
      </c>
      <c r="E64" s="51"/>
      <c r="F64" s="51"/>
      <c r="G64" s="51"/>
      <c r="H64" s="51"/>
      <c r="I64" s="49">
        <f>IF(A64&lt;&gt;0,(B64-(B63-D63))/(A64-A63),"")</f>
        <v>12.9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f>267+72</f>
        <v>339</v>
      </c>
      <c r="C65" s="60">
        <v>3</v>
      </c>
      <c r="D65" s="60">
        <v>72</v>
      </c>
      <c r="E65" s="51"/>
      <c r="F65" s="51"/>
      <c r="G65" s="51"/>
      <c r="H65" s="51"/>
      <c r="I65" s="49">
        <f>IF(A65&lt;&gt;0,(B65-(B64-D64))/(A65-A64),"")</f>
        <v>14.5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f>339+84</f>
        <v>423</v>
      </c>
      <c r="C66" s="60">
        <v>4</v>
      </c>
      <c r="D66" s="60">
        <v>84</v>
      </c>
      <c r="E66" s="51"/>
      <c r="F66" s="51"/>
      <c r="G66" s="51"/>
      <c r="H66" s="51"/>
      <c r="I66" s="49">
        <f t="shared" ref="I66:I81" si="2">IF(A66&lt;&gt;0,(B66-(B65-D65))/(A66-A65),"")</f>
        <v>15.6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f>405+91</f>
        <v>496</v>
      </c>
      <c r="C67" s="60">
        <v>5</v>
      </c>
      <c r="D67" s="60">
        <v>91</v>
      </c>
      <c r="E67" s="51"/>
      <c r="F67" s="51"/>
      <c r="G67" s="51"/>
      <c r="H67" s="51"/>
      <c r="I67" s="49">
        <f t="shared" si="2"/>
        <v>15.7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465+94</f>
        <v>559</v>
      </c>
      <c r="C68" s="60">
        <v>6</v>
      </c>
      <c r="D68" s="60">
        <v>94</v>
      </c>
      <c r="E68" s="51"/>
      <c r="F68" s="51"/>
      <c r="G68" s="51"/>
      <c r="H68" s="51"/>
      <c r="I68" s="49">
        <f t="shared" si="2"/>
        <v>15.4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f>518+94</f>
        <v>612</v>
      </c>
      <c r="C69" s="50">
        <v>7</v>
      </c>
      <c r="D69" s="50">
        <v>94</v>
      </c>
      <c r="E69" s="51"/>
      <c r="F69" s="51"/>
      <c r="G69" s="51"/>
      <c r="H69" s="51"/>
      <c r="I69" s="49">
        <f t="shared" si="2"/>
        <v>14.7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f>566+91</f>
        <v>657</v>
      </c>
      <c r="C70" s="50">
        <v>8</v>
      </c>
      <c r="D70" s="50">
        <v>91</v>
      </c>
      <c r="E70" s="51"/>
      <c r="F70" s="51"/>
      <c r="G70" s="51"/>
      <c r="H70" s="51"/>
      <c r="I70" s="49">
        <f t="shared" si="2"/>
        <v>13.9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15</v>
      </c>
      <c r="B88" s="60">
        <f>77.85/1.3</f>
        <v>59.88461538461538</v>
      </c>
      <c r="C88" s="60"/>
      <c r="D88" s="60"/>
      <c r="E88" s="51"/>
      <c r="F88" s="51"/>
      <c r="G88" s="51"/>
      <c r="H88" s="87"/>
      <c r="I88" s="53">
        <f>IFERROR(B88/A88,"")</f>
        <v>3.9923076923076919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19</v>
      </c>
      <c r="B89" s="60">
        <f>166.38/1.3</f>
        <v>127.98461538461538</v>
      </c>
      <c r="C89" s="60">
        <v>1</v>
      </c>
      <c r="D89" s="60">
        <f>60.5/1.3</f>
        <v>46.53846153846154</v>
      </c>
      <c r="E89" s="51"/>
      <c r="F89" s="51">
        <v>0.5</v>
      </c>
      <c r="G89" s="51">
        <v>0.5</v>
      </c>
      <c r="H89" s="87"/>
      <c r="I89" s="53">
        <f t="shared" ref="I89:I107" si="3">IF(A89&lt;&gt;0,(B89-(B88-D88))/(A89-A88),"")</f>
        <v>17.024999999999999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24</v>
      </c>
      <c r="B90" s="60">
        <f>207.93/1.3</f>
        <v>159.94615384615383</v>
      </c>
      <c r="C90" s="60">
        <v>2</v>
      </c>
      <c r="D90" s="60">
        <f>52.54/1.3</f>
        <v>40.41538461538461</v>
      </c>
      <c r="E90" s="87">
        <v>0.1</v>
      </c>
      <c r="F90" s="87">
        <v>0.45</v>
      </c>
      <c r="G90" s="87">
        <v>0.45</v>
      </c>
      <c r="H90" s="87"/>
      <c r="I90" s="53">
        <f t="shared" si="3"/>
        <v>15.7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30</v>
      </c>
      <c r="B91" s="60">
        <f>280.35/1.3</f>
        <v>215.65384615384616</v>
      </c>
      <c r="C91" s="60">
        <v>3</v>
      </c>
      <c r="D91" s="60">
        <f>72.63/1.3</f>
        <v>55.869230769230761</v>
      </c>
      <c r="E91" s="87"/>
      <c r="F91" s="87"/>
      <c r="G91" s="87"/>
      <c r="H91" s="87"/>
      <c r="I91" s="53">
        <f t="shared" si="3"/>
        <v>16.020512820512824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37</v>
      </c>
      <c r="B92" s="60">
        <f>348.62/1.3</f>
        <v>268.16923076923075</v>
      </c>
      <c r="C92" s="60">
        <v>4</v>
      </c>
      <c r="D92" s="60">
        <f>56.71/1.3</f>
        <v>43.623076923076923</v>
      </c>
      <c r="E92" s="87"/>
      <c r="F92" s="87"/>
      <c r="G92" s="87"/>
      <c r="H92" s="87"/>
      <c r="I92" s="53">
        <f t="shared" si="3"/>
        <v>15.48351648351648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46</v>
      </c>
      <c r="B93" s="60">
        <f>471.67/1.3</f>
        <v>362.82307692307694</v>
      </c>
      <c r="C93" s="60">
        <v>5</v>
      </c>
      <c r="D93" s="60">
        <f>94.33/1.3</f>
        <v>72.561538461538461</v>
      </c>
      <c r="E93" s="87"/>
      <c r="F93" s="87"/>
      <c r="G93" s="87"/>
      <c r="H93" s="87"/>
      <c r="I93" s="53">
        <f t="shared" si="3"/>
        <v>15.364102564102568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56</v>
      </c>
      <c r="B94" s="60">
        <f>556.66/1.3</f>
        <v>428.2</v>
      </c>
      <c r="C94" s="60">
        <v>6</v>
      </c>
      <c r="D94" s="60">
        <f>78.12/1.3</f>
        <v>60.092307692307692</v>
      </c>
      <c r="E94" s="87"/>
      <c r="F94" s="87"/>
      <c r="G94" s="87"/>
      <c r="H94" s="87"/>
      <c r="I94" s="53">
        <f t="shared" si="3"/>
        <v>13.793846153846152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66</v>
      </c>
      <c r="B95" s="60">
        <f>635.25/1.3</f>
        <v>488.65384615384613</v>
      </c>
      <c r="C95" s="60">
        <v>7</v>
      </c>
      <c r="D95" s="60">
        <f>88.59/1.3</f>
        <v>68.146153846153851</v>
      </c>
      <c r="E95" s="87"/>
      <c r="F95" s="87"/>
      <c r="G95" s="87"/>
      <c r="H95" s="87"/>
      <c r="I95" s="53">
        <f t="shared" si="3"/>
        <v>12.054615384615385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76</v>
      </c>
      <c r="B96" s="60">
        <f>676.29/1.3</f>
        <v>520.22307692307686</v>
      </c>
      <c r="C96" s="60">
        <v>8</v>
      </c>
      <c r="D96" s="60">
        <f>676.29/1.3</f>
        <v>520.22307692307686</v>
      </c>
      <c r="E96" s="87"/>
      <c r="F96" s="87"/>
      <c r="G96" s="87"/>
      <c r="H96" s="87"/>
      <c r="I96" s="53">
        <f t="shared" si="3"/>
        <v>9.9715384615384544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Pin laricio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15</v>
      </c>
      <c r="B114" s="60">
        <f>46.42/1.3</f>
        <v>35.707692307692305</v>
      </c>
      <c r="C114" s="50"/>
      <c r="D114" s="60"/>
      <c r="E114" s="51"/>
      <c r="F114" s="51"/>
      <c r="G114" s="51"/>
      <c r="H114" s="51"/>
      <c r="I114" s="53">
        <f>IFERROR(B114/A114,"")</f>
        <v>2.3805128205128203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22</v>
      </c>
      <c r="B115" s="60">
        <f>168.98/1.3</f>
        <v>129.98461538461538</v>
      </c>
      <c r="C115" s="50">
        <v>1</v>
      </c>
      <c r="D115" s="60">
        <f>68.57/1.3</f>
        <v>52.746153846153838</v>
      </c>
      <c r="E115" s="51"/>
      <c r="F115" s="51">
        <v>0.5</v>
      </c>
      <c r="G115" s="51">
        <v>0.5</v>
      </c>
      <c r="H115" s="51"/>
      <c r="I115" s="53">
        <f t="shared" ref="I115:I133" si="4">IF(A115&lt;&gt;0,(B115-(B114-D114))/(A115-A114),"")</f>
        <v>13.468131868131868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27</v>
      </c>
      <c r="B116" s="60">
        <f>182.93/1.3</f>
        <v>140.71538461538461</v>
      </c>
      <c r="C116" s="50">
        <v>2</v>
      </c>
      <c r="D116" s="60">
        <f>45.04/1.3</f>
        <v>34.646153846153844</v>
      </c>
      <c r="E116" s="51"/>
      <c r="F116" s="51">
        <v>0.5</v>
      </c>
      <c r="G116" s="51">
        <v>0.5</v>
      </c>
      <c r="H116" s="51"/>
      <c r="I116" s="53">
        <f t="shared" si="4"/>
        <v>12.695384615384615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33</v>
      </c>
      <c r="B117" s="60">
        <f>239.07/1.3</f>
        <v>183.89999999999998</v>
      </c>
      <c r="C117" s="50">
        <v>3</v>
      </c>
      <c r="D117" s="60">
        <f>55.91/1.3</f>
        <v>43.007692307692302</v>
      </c>
      <c r="E117" s="51"/>
      <c r="F117" s="51"/>
      <c r="G117" s="51"/>
      <c r="H117" s="51"/>
      <c r="I117" s="53">
        <f t="shared" si="4"/>
        <v>12.97179487179487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41</v>
      </c>
      <c r="B118" s="60">
        <f>315.66/1.3</f>
        <v>242.81538461538463</v>
      </c>
      <c r="C118" s="50">
        <v>4</v>
      </c>
      <c r="D118" s="60">
        <f>76.03/1.3</f>
        <v>58.484615384615381</v>
      </c>
      <c r="E118" s="51"/>
      <c r="F118" s="51"/>
      <c r="G118" s="51"/>
      <c r="H118" s="51"/>
      <c r="I118" s="53">
        <f t="shared" si="4"/>
        <v>12.74038461538462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50</v>
      </c>
      <c r="B119" s="60">
        <f>378.41/1.3</f>
        <v>291.0846153846154</v>
      </c>
      <c r="C119" s="50">
        <v>5</v>
      </c>
      <c r="D119" s="60">
        <f>71.88/1.3</f>
        <v>55.292307692307688</v>
      </c>
      <c r="E119" s="51"/>
      <c r="F119" s="51"/>
      <c r="G119" s="51"/>
      <c r="H119" s="51"/>
      <c r="I119" s="53">
        <f t="shared" si="4"/>
        <v>11.861538461538462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60</v>
      </c>
      <c r="B120" s="60">
        <f>445.15/1.3</f>
        <v>342.42307692307691</v>
      </c>
      <c r="C120" s="60">
        <v>6</v>
      </c>
      <c r="D120" s="60">
        <f>70.54/1.3</f>
        <v>54.261538461538464</v>
      </c>
      <c r="E120" s="87"/>
      <c r="F120" s="87"/>
      <c r="G120" s="87"/>
      <c r="H120" s="87"/>
      <c r="I120" s="53">
        <f t="shared" si="4"/>
        <v>10.66307692307692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70</v>
      </c>
      <c r="B121" s="60">
        <f>493.99/1.3</f>
        <v>379.99230769230769</v>
      </c>
      <c r="C121" s="60">
        <v>7</v>
      </c>
      <c r="D121" s="60">
        <f>68.47/1.3</f>
        <v>52.669230769230765</v>
      </c>
      <c r="E121" s="87"/>
      <c r="F121" s="87"/>
      <c r="G121" s="87"/>
      <c r="H121" s="87"/>
      <c r="I121" s="53">
        <f t="shared" si="4"/>
        <v>9.1830769230769249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80</v>
      </c>
      <c r="B122" s="60">
        <f>523.78/1.3</f>
        <v>402.90769230769229</v>
      </c>
      <c r="C122" s="60">
        <v>8</v>
      </c>
      <c r="D122" s="60">
        <f>523.78/1.3</f>
        <v>402.90769230769229</v>
      </c>
      <c r="E122" s="87"/>
      <c r="F122" s="87"/>
      <c r="G122" s="87"/>
      <c r="H122" s="87"/>
      <c r="I122" s="53">
        <f t="shared" si="4"/>
        <v>7.5584615384615343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Chêne sessile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30</v>
      </c>
      <c r="B140" s="60">
        <f>169.14/1.56</f>
        <v>108.42307692307691</v>
      </c>
      <c r="C140" s="50"/>
      <c r="D140" s="60"/>
      <c r="E140" s="51"/>
      <c r="F140" s="51"/>
      <c r="G140" s="51"/>
      <c r="H140" s="51"/>
      <c r="I140" s="57">
        <f>IFERROR(B140/A140,"")</f>
        <v>3.6141025641025637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34</v>
      </c>
      <c r="B141" s="60">
        <f>221.19/1.56</f>
        <v>141.78846153846152</v>
      </c>
      <c r="C141" s="50">
        <v>1</v>
      </c>
      <c r="D141" s="60">
        <f>49.32/1.56</f>
        <v>31.615384615384613</v>
      </c>
      <c r="E141" s="51"/>
      <c r="F141" s="51"/>
      <c r="G141" s="51"/>
      <c r="H141" s="51"/>
      <c r="I141" s="57">
        <f t="shared" ref="I141:I159" si="5">IF(A141&lt;&gt;0,(B141-(B140-D140))/(A141-A140),"")</f>
        <v>8.3413461538461533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42</v>
      </c>
      <c r="B142" s="60">
        <f>294.31/1.56</f>
        <v>188.66025641025641</v>
      </c>
      <c r="C142" s="50">
        <v>2</v>
      </c>
      <c r="D142" s="60">
        <f>70.51/1.56</f>
        <v>45.198717948717949</v>
      </c>
      <c r="E142" s="51"/>
      <c r="F142" s="51"/>
      <c r="G142" s="51"/>
      <c r="H142" s="51"/>
      <c r="I142" s="57">
        <f t="shared" si="5"/>
        <v>9.8108974358974379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50</v>
      </c>
      <c r="B143" s="60">
        <f>347.88/1.56</f>
        <v>223</v>
      </c>
      <c r="C143" s="50">
        <v>3</v>
      </c>
      <c r="D143" s="60">
        <f>81.56/1.56</f>
        <v>52.282051282051285</v>
      </c>
      <c r="E143" s="51"/>
      <c r="F143" s="51"/>
      <c r="G143" s="51"/>
      <c r="H143" s="51"/>
      <c r="I143" s="57">
        <f t="shared" si="5"/>
        <v>9.9423076923076934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58</v>
      </c>
      <c r="B144" s="60">
        <f>386.86/1.56</f>
        <v>247.98717948717947</v>
      </c>
      <c r="C144" s="50">
        <v>4</v>
      </c>
      <c r="D144" s="60">
        <f>74.05/1.56</f>
        <v>47.467948717948715</v>
      </c>
      <c r="E144" s="51"/>
      <c r="F144" s="51"/>
      <c r="G144" s="51"/>
      <c r="H144" s="51"/>
      <c r="I144" s="57">
        <f t="shared" si="5"/>
        <v>9.6586538461538431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66</v>
      </c>
      <c r="B145" s="60">
        <f>427.9/1.56</f>
        <v>274.29487179487177</v>
      </c>
      <c r="C145" s="50">
        <v>5</v>
      </c>
      <c r="D145" s="60">
        <f>84.46/1.56</f>
        <v>54.141025641025635</v>
      </c>
      <c r="E145" s="51"/>
      <c r="F145" s="51"/>
      <c r="G145" s="51"/>
      <c r="H145" s="51"/>
      <c r="I145" s="57">
        <f t="shared" si="5"/>
        <v>9.2219551282051242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74</v>
      </c>
      <c r="B146" s="60">
        <f>451.86/1.56</f>
        <v>289.65384615384613</v>
      </c>
      <c r="C146" s="50">
        <v>6</v>
      </c>
      <c r="D146" s="60">
        <f>82.27/1.56</f>
        <v>52.737179487179482</v>
      </c>
      <c r="E146" s="51"/>
      <c r="F146" s="51"/>
      <c r="G146" s="51"/>
      <c r="H146" s="51"/>
      <c r="I146" s="57">
        <f t="shared" si="5"/>
        <v>8.6875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82</v>
      </c>
      <c r="B147" s="60">
        <f>471.61/1.56</f>
        <v>302.31410256410254</v>
      </c>
      <c r="C147" s="50">
        <v>7</v>
      </c>
      <c r="D147" s="60">
        <f>62.98/1.56</f>
        <v>40.371794871794869</v>
      </c>
      <c r="E147" s="51"/>
      <c r="F147" s="51"/>
      <c r="G147" s="51"/>
      <c r="H147" s="51"/>
      <c r="I147" s="57">
        <f>IF(A147&lt;&gt;0,(B147-(B146-D146))/(A147-A146),"")</f>
        <v>8.1746794871794854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90</v>
      </c>
      <c r="B148" s="60">
        <f>506.82/1.56</f>
        <v>324.88461538461536</v>
      </c>
      <c r="C148" s="50">
        <v>8</v>
      </c>
      <c r="D148" s="60">
        <f>73.8/1.56</f>
        <v>47.307692307692307</v>
      </c>
      <c r="E148" s="51"/>
      <c r="F148" s="51"/>
      <c r="G148" s="51"/>
      <c r="H148" s="51"/>
      <c r="I148" s="57">
        <f t="shared" si="5"/>
        <v>7.8677884615384599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>
        <v>100</v>
      </c>
      <c r="B149" s="60">
        <f>551.38/1.56</f>
        <v>353.44871794871796</v>
      </c>
      <c r="C149" s="50">
        <v>9</v>
      </c>
      <c r="D149" s="60">
        <f>99.53/1.56</f>
        <v>63.801282051282051</v>
      </c>
      <c r="E149" s="51"/>
      <c r="F149" s="51"/>
      <c r="G149" s="51"/>
      <c r="H149" s="51"/>
      <c r="I149" s="57">
        <f t="shared" si="5"/>
        <v>7.5871794871794922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>
        <v>110</v>
      </c>
      <c r="B150" s="60">
        <f>565.28/1.56</f>
        <v>362.35897435897431</v>
      </c>
      <c r="C150" s="50">
        <v>10</v>
      </c>
      <c r="D150" s="60">
        <f>78.08/1.56</f>
        <v>50.051282051282051</v>
      </c>
      <c r="E150" s="51"/>
      <c r="F150" s="51"/>
      <c r="G150" s="51"/>
      <c r="H150" s="51"/>
      <c r="I150" s="57">
        <f t="shared" si="5"/>
        <v>7.2711538461538394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>
        <v>120</v>
      </c>
      <c r="B151" s="60">
        <f>599.13/1.56</f>
        <v>384.05769230769226</v>
      </c>
      <c r="C151" s="50">
        <v>11</v>
      </c>
      <c r="D151" s="60">
        <f>70.09/1.56</f>
        <v>44.929487179487182</v>
      </c>
      <c r="E151" s="51"/>
      <c r="F151" s="51"/>
      <c r="G151" s="51"/>
      <c r="H151" s="51"/>
      <c r="I151" s="57">
        <f t="shared" si="5"/>
        <v>7.1749999999999998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>
        <v>130</v>
      </c>
      <c r="B152" s="60">
        <f>640.94/1.56</f>
        <v>410.85897435897436</v>
      </c>
      <c r="C152" s="50">
        <v>12</v>
      </c>
      <c r="D152" s="60">
        <f>80.15/1.56</f>
        <v>51.378205128205131</v>
      </c>
      <c r="E152" s="54"/>
      <c r="F152" s="54"/>
      <c r="G152" s="54"/>
      <c r="H152" s="54"/>
      <c r="I152" s="57">
        <f t="shared" si="5"/>
        <v>7.1730769230769287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>
        <v>140</v>
      </c>
      <c r="B153" s="60">
        <f>673.47/1.56</f>
        <v>431.71153846153845</v>
      </c>
      <c r="C153" s="50">
        <v>13</v>
      </c>
      <c r="D153" s="60">
        <f>78.73/1.56</f>
        <v>50.467948717948715</v>
      </c>
      <c r="E153" s="54"/>
      <c r="F153" s="54"/>
      <c r="G153" s="54"/>
      <c r="H153" s="54"/>
      <c r="I153" s="57">
        <f t="shared" si="5"/>
        <v>7.2230769230769223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>
        <v>150</v>
      </c>
      <c r="B154" s="56">
        <f>707.55/1.56</f>
        <v>453.55769230769226</v>
      </c>
      <c r="C154" s="50">
        <v>14</v>
      </c>
      <c r="D154" s="50">
        <f>278.81/1.56</f>
        <v>178.72435897435898</v>
      </c>
      <c r="E154" s="54"/>
      <c r="F154" s="54"/>
      <c r="G154" s="54"/>
      <c r="H154" s="54"/>
      <c r="I154" s="57">
        <f t="shared" si="5"/>
        <v>7.2314102564102543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>
        <v>153</v>
      </c>
      <c r="B155" s="56">
        <f>456.93/1.56</f>
        <v>292.90384615384613</v>
      </c>
      <c r="C155" s="50">
        <v>15</v>
      </c>
      <c r="D155" s="50">
        <f>164.21/1.56</f>
        <v>105.26282051282051</v>
      </c>
      <c r="E155" s="54"/>
      <c r="F155" s="54"/>
      <c r="G155" s="54"/>
      <c r="H155" s="54"/>
      <c r="I155" s="57">
        <f t="shared" si="5"/>
        <v>6.0235042735042912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>
        <v>156</v>
      </c>
      <c r="B156" s="56">
        <f>305.47/1.56</f>
        <v>195.81410256410257</v>
      </c>
      <c r="C156" s="50">
        <v>16</v>
      </c>
      <c r="D156" s="50">
        <f>101.51/1.56</f>
        <v>65.070512820512818</v>
      </c>
      <c r="E156" s="54"/>
      <c r="F156" s="54"/>
      <c r="G156" s="54"/>
      <c r="H156" s="54"/>
      <c r="I156" s="57">
        <f t="shared" si="5"/>
        <v>2.724358974358978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>
        <v>159</v>
      </c>
      <c r="B157" s="56">
        <f>211.46/1.56</f>
        <v>135.55128205128204</v>
      </c>
      <c r="C157" s="50">
        <v>17</v>
      </c>
      <c r="D157" s="50">
        <f>211.46/1.56</f>
        <v>135.55128205128204</v>
      </c>
      <c r="E157" s="54"/>
      <c r="F157" s="54"/>
      <c r="G157" s="54"/>
      <c r="H157" s="54"/>
      <c r="I157" s="57">
        <f t="shared" si="5"/>
        <v>1.6025641025640975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Chêne rouge d'Amérique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10</v>
      </c>
      <c r="B166" s="60">
        <v>23</v>
      </c>
      <c r="C166" s="60"/>
      <c r="D166" s="60"/>
      <c r="E166" s="51"/>
      <c r="F166" s="51"/>
      <c r="G166" s="51"/>
      <c r="H166" s="51"/>
      <c r="I166" s="49">
        <f>IFERROR(B166/A166,"")</f>
        <v>2.2999999999999998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15</v>
      </c>
      <c r="B167" s="60">
        <v>60</v>
      </c>
      <c r="C167" s="60"/>
      <c r="D167" s="60"/>
      <c r="E167" s="51"/>
      <c r="F167" s="51"/>
      <c r="G167" s="51"/>
      <c r="H167" s="51"/>
      <c r="I167" s="49">
        <f t="shared" ref="I167:I185" si="6">IF(A167&lt;&gt;0,(B167-(B166-D166))/(A167-A166),"")</f>
        <v>7.4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20</v>
      </c>
      <c r="B168" s="60">
        <v>108</v>
      </c>
      <c r="C168" s="60">
        <v>1</v>
      </c>
      <c r="D168" s="60">
        <v>41</v>
      </c>
      <c r="E168" s="51">
        <v>0.1</v>
      </c>
      <c r="F168" s="51">
        <v>0.45</v>
      </c>
      <c r="G168" s="51">
        <v>0.45</v>
      </c>
      <c r="H168" s="51"/>
      <c r="I168" s="49">
        <f t="shared" si="6"/>
        <v>9.6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30</v>
      </c>
      <c r="B169" s="60">
        <v>158</v>
      </c>
      <c r="C169" s="60">
        <v>2</v>
      </c>
      <c r="D169" s="60">
        <v>47</v>
      </c>
      <c r="E169" s="51">
        <v>0.2</v>
      </c>
      <c r="F169" s="51">
        <v>0.4</v>
      </c>
      <c r="G169" s="51">
        <v>0.4</v>
      </c>
      <c r="H169" s="51"/>
      <c r="I169" s="49">
        <f t="shared" si="6"/>
        <v>9.1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40</v>
      </c>
      <c r="B170" s="60">
        <v>192</v>
      </c>
      <c r="C170" s="60">
        <v>3</v>
      </c>
      <c r="D170" s="60">
        <v>47</v>
      </c>
      <c r="E170" s="51"/>
      <c r="F170" s="51"/>
      <c r="G170" s="51"/>
      <c r="H170" s="51"/>
      <c r="I170" s="49">
        <f t="shared" si="6"/>
        <v>8.1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50</v>
      </c>
      <c r="B171" s="60">
        <v>213</v>
      </c>
      <c r="C171" s="60">
        <v>4</v>
      </c>
      <c r="D171" s="60">
        <v>43</v>
      </c>
      <c r="E171" s="51"/>
      <c r="F171" s="51"/>
      <c r="G171" s="51"/>
      <c r="H171" s="51"/>
      <c r="I171" s="49">
        <f t="shared" si="6"/>
        <v>6.8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60</v>
      </c>
      <c r="B172" s="60">
        <v>227</v>
      </c>
      <c r="C172" s="60">
        <v>5</v>
      </c>
      <c r="D172" s="60">
        <v>38</v>
      </c>
      <c r="E172" s="51"/>
      <c r="F172" s="51"/>
      <c r="G172" s="51"/>
      <c r="H172" s="51"/>
      <c r="I172" s="49">
        <f t="shared" si="6"/>
        <v>5.7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70</v>
      </c>
      <c r="B173" s="50">
        <v>237</v>
      </c>
      <c r="C173" s="50">
        <v>6</v>
      </c>
      <c r="D173" s="50">
        <v>33</v>
      </c>
      <c r="E173" s="51"/>
      <c r="F173" s="51"/>
      <c r="G173" s="51"/>
      <c r="H173" s="51"/>
      <c r="I173" s="49">
        <f t="shared" si="6"/>
        <v>4.8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80</v>
      </c>
      <c r="B174" s="50">
        <v>241</v>
      </c>
      <c r="C174" s="50">
        <v>7</v>
      </c>
      <c r="D174" s="50">
        <v>27</v>
      </c>
      <c r="E174" s="51"/>
      <c r="F174" s="51"/>
      <c r="G174" s="51"/>
      <c r="H174" s="51"/>
      <c r="I174" s="49">
        <f t="shared" si="6"/>
        <v>3.7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>
        <v>90</v>
      </c>
      <c r="B175" s="50">
        <v>245</v>
      </c>
      <c r="C175" s="50">
        <v>8</v>
      </c>
      <c r="D175" s="50">
        <v>23</v>
      </c>
      <c r="E175" s="51"/>
      <c r="F175" s="51"/>
      <c r="G175" s="51"/>
      <c r="H175" s="51"/>
      <c r="I175" s="49">
        <f t="shared" si="6"/>
        <v>3.1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>
        <v>100</v>
      </c>
      <c r="B176" s="50">
        <v>251</v>
      </c>
      <c r="C176" s="50">
        <v>9</v>
      </c>
      <c r="D176" s="50">
        <v>23</v>
      </c>
      <c r="E176" s="51"/>
      <c r="F176" s="51"/>
      <c r="G176" s="51"/>
      <c r="H176" s="51"/>
      <c r="I176" s="49">
        <f t="shared" si="6"/>
        <v>2.9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Mélèze d'Europe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20</v>
      </c>
      <c r="B192" s="60">
        <v>118</v>
      </c>
      <c r="C192" s="60">
        <v>1</v>
      </c>
      <c r="D192" s="60">
        <v>37</v>
      </c>
      <c r="E192" s="51"/>
      <c r="F192" s="51">
        <v>0.5</v>
      </c>
      <c r="G192" s="51">
        <v>0.5</v>
      </c>
      <c r="H192" s="51"/>
      <c r="I192" s="49">
        <f>IFERROR(B192/A192,"")</f>
        <v>5.9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30</v>
      </c>
      <c r="B193" s="60">
        <v>220</v>
      </c>
      <c r="C193" s="60">
        <v>2</v>
      </c>
      <c r="D193" s="60">
        <v>70</v>
      </c>
      <c r="E193" s="51">
        <v>0.2</v>
      </c>
      <c r="F193" s="51">
        <v>0.4</v>
      </c>
      <c r="G193" s="51">
        <v>0.4</v>
      </c>
      <c r="H193" s="51"/>
      <c r="I193" s="49">
        <f t="shared" ref="I193:I211" si="7">IF(A193&lt;&gt;0,(B193-(B192-D192))/(A193-A192),"")</f>
        <v>13.9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40</v>
      </c>
      <c r="B194" s="60">
        <v>283</v>
      </c>
      <c r="C194" s="60">
        <v>3</v>
      </c>
      <c r="D194" s="60">
        <v>70</v>
      </c>
      <c r="E194" s="51"/>
      <c r="F194" s="51"/>
      <c r="G194" s="51"/>
      <c r="H194" s="51"/>
      <c r="I194" s="49">
        <f t="shared" si="7"/>
        <v>13.3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50</v>
      </c>
      <c r="B195" s="60">
        <v>323</v>
      </c>
      <c r="C195" s="60">
        <v>4</v>
      </c>
      <c r="D195" s="60">
        <v>60</v>
      </c>
      <c r="E195" s="51"/>
      <c r="F195" s="51"/>
      <c r="G195" s="51"/>
      <c r="H195" s="51"/>
      <c r="I195" s="49">
        <f t="shared" si="7"/>
        <v>11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60</v>
      </c>
      <c r="B196" s="60">
        <v>351</v>
      </c>
      <c r="C196" s="60">
        <v>5</v>
      </c>
      <c r="D196" s="60">
        <v>47</v>
      </c>
      <c r="E196" s="51"/>
      <c r="F196" s="51"/>
      <c r="G196" s="51"/>
      <c r="H196" s="51"/>
      <c r="I196" s="49">
        <f t="shared" si="7"/>
        <v>8.8000000000000007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70</v>
      </c>
      <c r="B197" s="60">
        <v>372</v>
      </c>
      <c r="C197" s="60">
        <v>6</v>
      </c>
      <c r="D197" s="60">
        <v>36</v>
      </c>
      <c r="E197" s="51"/>
      <c r="F197" s="51"/>
      <c r="G197" s="51"/>
      <c r="H197" s="51"/>
      <c r="I197" s="49">
        <f t="shared" si="7"/>
        <v>6.8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80</v>
      </c>
      <c r="B198" s="60">
        <f>358+29</f>
        <v>387</v>
      </c>
      <c r="C198" s="60">
        <v>7</v>
      </c>
      <c r="D198" s="60">
        <f>B198</f>
        <v>387</v>
      </c>
      <c r="E198" s="51"/>
      <c r="F198" s="51"/>
      <c r="G198" s="51"/>
      <c r="H198" s="51"/>
      <c r="I198" s="49">
        <f t="shared" si="7"/>
        <v>5.0999999999999996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25" sqref="F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Erable sycomore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de Salzmann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Pin laricio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sessile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Chêne rouge d'Amérique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Mélèze d'Europe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199.58763537752952</v>
      </c>
      <c r="T3" s="59">
        <f>IF('Données projet'!E9&gt;30,$R$33-$H$33,LOOKUP('Données projet'!$E$9,$A$3:$A$203,R3:R203)-LOOKUP('Données projet'!$E$9,$A$3:$A$203,$H$3:$H$203))</f>
        <v>242.62852778451929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287.78657453117694</v>
      </c>
      <c r="AO3" s="59">
        <f>IF('Données projet'!E10&gt;30,$AM$33-$H$33,LOOKUP('Données projet'!$E$10,$A$3:$A$203,AM3:AM203)-LOOKUP('Données projet'!$E$10,$A$3:$A$203,$H$3:$H$203))</f>
        <v>153.31562485362252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250.93905519128998</v>
      </c>
      <c r="BJ3" s="59">
        <f>IF('Données projet'!E11&gt;30,$BH$33-$H$33,LOOKUP('Données projet'!$E$11,$A$3:$A$203,BH3:BH203)-LOOKUP('Données projet'!$E$11,$A$3:$A$203,$H$3:$H$203))</f>
        <v>222.32879462265032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179.32848817523677</v>
      </c>
      <c r="CE3" s="59">
        <f>IF('Données projet'!E12&gt;30,$CC$33-$H$33,LOOKUP('Données projet'!$E$12,$A$3:$A$203,CC3:CC203)-LOOKUP('Données projet'!$E$12,$A$3:$A$203,$H$3:$H$203))</f>
        <v>131.3292389103035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309.07357540707869</v>
      </c>
      <c r="CZ3" s="59">
        <f>IF('Données projet'!E13&gt;30,$CX$33-$H$33,LOOKUP('Données projet'!$E$13,$A$3:$A$203,CX3:CX203)-LOOKUP('Données projet'!$E$13,$A$3:$A$203,$H$3:$H$203))</f>
        <v>155.9593924683299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210.07838338464626</v>
      </c>
      <c r="DU3" s="59">
        <f>IF('Données projet'!E14&gt;30,$DS$33-$H$33,LOOKUP('Données projet'!$E$14,$A$3:$A$203,DS3:DS203)-LOOKUP('Données projet'!$E$14,$A$3:$A$203,$H$3:$H$203))</f>
        <v>241.76003724236273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209.93608079129638</v>
      </c>
      <c r="EP3" s="59">
        <f>IF('Données projet'!E15&gt;30,$EN$33-$H$33,LOOKUP('Données projet'!$E$15,$A$3:$A$203,EN3:EN203)-LOOKUP('Données projet'!$E$15,$A$3:$A$203,$H$3:$H$203))</f>
        <v>240.15652428700969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4.75</v>
      </c>
      <c r="N4" s="13">
        <f>IF('Données projet'!$A$36&gt;35,N3+M4-V3,IF(A4&lt;'Données projet'!$A$36,$K$205^A4,IF(A4='Données projet'!$A$36,'Données projet'!$B$36,N3+M4-V3)))</f>
        <v>1.2557008269631629</v>
      </c>
      <c r="O4" s="13">
        <f>N4*VLOOKUP('Données projet'!$B$9,Paramètres!$A$1:$I$89,3,0)*VLOOKUP('Données projet'!$B$9,Paramètres!$A$1:$I$89,5,0)</f>
        <v>0.99903557793189246</v>
      </c>
      <c r="P4" s="13">
        <f>EXP(-1.0587+0.8836*LN(O4)+0.284)</f>
        <v>0.46044927814777026</v>
      </c>
      <c r="Q4" s="20">
        <f t="shared" ref="Q4:Q34" si="2">(O4+P4)*0.475*44/12</f>
        <v>2.5419361243387457</v>
      </c>
      <c r="R4" s="59">
        <f t="shared" si="0"/>
        <v>295.87526945767206</v>
      </c>
      <c r="S4" s="59">
        <f ca="1">AVERAGE(OFFSET($R$3,0,0,'Données projet'!$E$9+1,1))-AVERAGE(OFFSET($H$3,0,0,'Données projet'!$E$9+1,1))</f>
        <v>199.58763537752952</v>
      </c>
      <c r="T4" s="59">
        <f>$T$3</f>
        <v>242.62852778451929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3.05</v>
      </c>
      <c r="AI4" s="13">
        <f>IF('Données projet'!$A$62&gt;35,AI3+AH4-AQ3,IF(A4&lt;'Données projet'!$A$62,$AF$205^A4,IF(A4='Données projet'!$A$62,'Données projet'!$B$62,AI3+AH4-AQ3)))</f>
        <v>1.2281926434669694</v>
      </c>
      <c r="AJ4" s="13">
        <f>AI4*VLOOKUP('Données projet'!$B$10,Paramètres!$A$1:$I$89,3,0)*VLOOKUP('Données projet'!$B$10,Paramètres!$A$1:$I$89,5,0)</f>
        <v>0.73445920079324778</v>
      </c>
      <c r="AK4" s="13">
        <f>EXP(-1.0587+0.8836*LN(AJ4)+0.284)</f>
        <v>0.35084969486068746</v>
      </c>
      <c r="AL4" s="20">
        <f t="shared" ref="AL4:AL67" si="4">(AJ4+AK4)*0.475*44/12</f>
        <v>1.8902463265972702</v>
      </c>
      <c r="AM4" s="59">
        <f t="shared" ref="AM4:AM67" si="5">AL4+(AD4+AE4)*44/12</f>
        <v>295.22357965993058</v>
      </c>
      <c r="AN4" s="59">
        <f ca="1">AVERAGE(OFFSET($AM$3,0,0,'Données projet'!$E$10+1,1))-AVERAGE(OFFSET($H$3,0,0,'Données projet'!$E$10+1,1))</f>
        <v>287.78657453117694</v>
      </c>
      <c r="AO4" s="59">
        <f>$AO$3</f>
        <v>153.31562485362252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3.9923076923076919</v>
      </c>
      <c r="BD4" s="12">
        <f>IF('Données projet'!$A$88&gt;35,BD3+BC4-BL3,IF(A4&lt;'Données projet'!$A$88,$BA$205^A4,IF(A4='Données projet'!$A$88,'Données projet'!$B$88,BD3+BC4-BL3)))</f>
        <v>1.3136742413466562</v>
      </c>
      <c r="BE4" s="13">
        <f>BD4*VLOOKUP('Données projet'!$B$11,Paramètres!$A$1:$I$89,3,0)*VLOOKUP('Données projet'!$B$11,Paramètres!$A$1:$I$89,5,0)</f>
        <v>0.78557719632530054</v>
      </c>
      <c r="BF4" s="13">
        <f>EXP(-1.0587+0.8836*LN(BE4)+0.284)</f>
        <v>0.37234107552413531</v>
      </c>
      <c r="BG4" s="20">
        <f t="shared" ref="BG4:BG67" si="7">(BE4+BF4)*0.475*44/12</f>
        <v>2.0167076568044338</v>
      </c>
      <c r="BH4" s="59">
        <f t="shared" ref="BH4:BH67" si="8">BG4+(AY4+AZ4)*44/12</f>
        <v>295.35004099013776</v>
      </c>
      <c r="BI4" s="59">
        <f ca="1">AVERAGE(OFFSET($BH$3,0,0,'Données projet'!$E$11+1,1))-AVERAGE(OFFSET($H$3,0,0,'Données projet'!$E$11+1,1))</f>
        <v>250.93905519128998</v>
      </c>
      <c r="BJ4" s="59">
        <f>$BJ$3</f>
        <v>222.32879462265032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2.3805128205128203</v>
      </c>
      <c r="BY4" s="12">
        <f>IF('Données projet'!$A$114&gt;35,BY3+BX4-CG3,IF(A4&lt;'Données projet'!$A$114,$BV$205^A4,IF(A4='Données projet'!$A$114,'Données projet'!$B$114,BY3+BX4-CG3)))</f>
        <v>1.2691631451226497</v>
      </c>
      <c r="BZ4" s="13">
        <f>BY4*VLOOKUP('Données projet'!$B$12,Paramètres!$A$1:$I$89,3,0)*VLOOKUP('Données projet'!$B$12,Paramètres!$A$1:$I$89,5,0)</f>
        <v>0.75895956078334459</v>
      </c>
      <c r="CA4" s="13">
        <f>EXP(-1.0587+0.8836*LN(BZ4)+0.284)</f>
        <v>0.36117131619841292</v>
      </c>
      <c r="CB4" s="20">
        <f t="shared" ref="CB4:CB67" si="10">(BZ4+CA4)*0.475*44/12</f>
        <v>1.9508946107432275</v>
      </c>
      <c r="CC4" s="59">
        <f t="shared" ref="CC4:CC67" si="11">CB4+(BT4+BU4)*44/12</f>
        <v>295.28422794407652</v>
      </c>
      <c r="CD4" s="59">
        <f ca="1">AVERAGE(OFFSET($CC$3,0,0,'Données projet'!$E$12+1,1))-AVERAGE(OFFSET($H$3,0,0,'Données projet'!$E$12+1,1))</f>
        <v>179.32848817523677</v>
      </c>
      <c r="CE4" s="59">
        <f>$CE$3</f>
        <v>131.3292389103035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3.6141025641025637</v>
      </c>
      <c r="CT4" s="12">
        <f>IF('Données projet'!$A$140&gt;35,CT3+CS4-DB3,IF(A4&lt;'Données projet'!$A$140,$CQ$205^A4,IF(A4='Données projet'!$A$140,'Données projet'!$B$140,CT3+CS4-DB3)))</f>
        <v>1.1690615875970631</v>
      </c>
      <c r="CU4" s="17">
        <f>CT4*VLOOKUP('Données projet'!$B$13,Paramètres!$A$1:$I$89,3,0)*VLOOKUP('Données projet'!$B$13,Paramètres!$A$1:$I$89,5,0)</f>
        <v>1.0577669244578227</v>
      </c>
      <c r="CV4" s="13">
        <f>EXP(-1.0587+0.8836*LN(CU4)+0.284)</f>
        <v>0.48428727045047132</v>
      </c>
      <c r="CW4" s="20">
        <f t="shared" ref="CW4:CW67" si="13">(CU4+CV4)*0.475*44/12</f>
        <v>2.6857443894652788</v>
      </c>
      <c r="CX4" s="59">
        <f t="shared" ref="CX4:CX67" si="14">CW4+(CO4+CP4)*44/12</f>
        <v>296.01907772279861</v>
      </c>
      <c r="CY4" s="59">
        <f ca="1">AVERAGE(OFFSET($CX$3,0,0,'Données projet'!$E$13+1,1))-AVERAGE(OFFSET($H$3,0,0,'Données projet'!$E$13+1,1))</f>
        <v>309.07357540707869</v>
      </c>
      <c r="CZ4" s="59">
        <f>$CZ$3</f>
        <v>155.9593924683299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2.2999999999999998</v>
      </c>
      <c r="DO4" s="12">
        <f>IF('Données projet'!$A$166&gt;35,DO3+DN4-DW3,IF(A4&lt;'Données projet'!$A$166,$DL$205^A4,IF(A4='Données projet'!$A$166,'Données projet'!$B$166,DO3+DN4-DW3)))</f>
        <v>1.3682730833261529</v>
      </c>
      <c r="DP4" s="17">
        <f>DO4*VLOOKUP('Données projet'!$B$14,Paramètres!$A$1:$I$89,3,0)*VLOOKUP('Données projet'!$B$14,Paramètres!$A$1:$I$89,5,0)</f>
        <v>1.1953233655937274</v>
      </c>
      <c r="DQ4" s="13">
        <f>EXP(-1.0587+0.8836*LN(DP4)+0.284)</f>
        <v>0.53953319778599107</v>
      </c>
      <c r="DR4" s="20">
        <f t="shared" ref="DR4:DR67" si="16">(DP4+DQ4)*0.475*44/12</f>
        <v>3.0215418478863434</v>
      </c>
      <c r="DS4" s="59">
        <f t="shared" ref="DS4:DS67" si="17">DR4+(DJ4+DK4)*44/12</f>
        <v>296.35487518121965</v>
      </c>
      <c r="DT4" s="59">
        <f ca="1">AVERAGE(OFFSET($DS$3,0,0,'Données projet'!$E$14+1,1))-AVERAGE(OFFSET($H$3,0,0,'Données projet'!$E$14+1,1))</f>
        <v>210.07838338464626</v>
      </c>
      <c r="DU4" s="59">
        <f>$DU$3</f>
        <v>241.76003724236273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5.9</v>
      </c>
      <c r="EJ4" s="12">
        <f>IF('Données projet'!$A$192&gt;35,EJ3+EI4-ER3,IF(A4&lt;'Données projet'!$A$192,$EG$205^A4,IF(A4='Données projet'!$A$192,'Données projet'!$B$192,EJ3+EI4-ER3)))</f>
        <v>1.2693871579679339</v>
      </c>
      <c r="EK4" s="17">
        <f>EJ4*VLOOKUP('Données projet'!$B$15,Paramètres!$A$1:$I$89,3,0)*VLOOKUP('Données projet'!$B$15,Paramètres!$A$1:$I$89,5,0)</f>
        <v>0.79209758657199081</v>
      </c>
      <c r="EL4" s="13">
        <f>EXP(-1.0587+0.8836*LN(EK4)+0.284)</f>
        <v>0.37507050689117594</v>
      </c>
      <c r="EM4" s="20">
        <f t="shared" ref="EM4:EM67" si="19">(EK4+EL4)*0.475*44/12</f>
        <v>2.0328177627816819</v>
      </c>
      <c r="EN4" s="59">
        <f t="shared" ref="EN4:EN67" si="20">EM4+(EE4+EF4)*44/12</f>
        <v>295.366151096115</v>
      </c>
      <c r="EO4" s="59">
        <f ca="1">AVERAGE(OFFSET($EN$3,0,0,'Données projet'!$E$15+1,1))-AVERAGE(OFFSET($H$3,0,0,'Données projet'!$E$15+1,1))</f>
        <v>209.93608079129638</v>
      </c>
      <c r="EP4" s="59">
        <f>$EP$3</f>
        <v>240.15652428700969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4.75</v>
      </c>
      <c r="N5" s="13">
        <f>IF('Données projet'!$A$36&gt;35,N4+M5-V4,IF(A5&lt;'Données projet'!$A$36,$K$205^A5,IF(A5='Données projet'!$A$36,'Données projet'!$B$36,N4+M5-V4)))</f>
        <v>1.576784566835971</v>
      </c>
      <c r="O5" s="13">
        <f>N5*VLOOKUP('Données projet'!$B$9,Paramètres!$A$1:$I$89,3,0)*VLOOKUP('Données projet'!$B$9,Paramètres!$A$1:$I$89,5,0)</f>
        <v>1.2544898013746986</v>
      </c>
      <c r="P5" s="13">
        <f t="shared" ref="P5:P68" si="33">EXP(-1.0587+0.8836*LN(O5)+0.284)</f>
        <v>0.56306382382627529</v>
      </c>
      <c r="Q5" s="20">
        <f t="shared" si="2"/>
        <v>3.1655725638916965</v>
      </c>
      <c r="R5" s="59">
        <f t="shared" si="0"/>
        <v>296.49890589722503</v>
      </c>
      <c r="S5" s="59">
        <f ca="1">AVERAGE(OFFSET($R$3,0,0,'Données projet'!$E$9+1,1))-AVERAGE(OFFSET($H$3,0,0,'Données projet'!$E$9+1,1))</f>
        <v>199.58763537752952</v>
      </c>
      <c r="T5" s="59">
        <f t="shared" ref="T5:T68" si="34">$T$3</f>
        <v>242.62852778451929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3.05</v>
      </c>
      <c r="AI5" s="13">
        <f>IF('Données projet'!$A$62&gt;35,AI4+AH5-AQ4,IF(A5&lt;'Données projet'!$A$62,$AF$205^A5,IF(A5='Données projet'!$A$62,'Données projet'!$B$62,AI4+AH5-AQ4)))</f>
        <v>1.5084571694663822</v>
      </c>
      <c r="AJ5" s="13">
        <f>AI5*VLOOKUP('Données projet'!$B$10,Paramètres!$A$1:$I$89,3,0)*VLOOKUP('Données projet'!$B$10,Paramètres!$A$1:$I$89,5,0)</f>
        <v>0.90205738734089658</v>
      </c>
      <c r="AK5" s="13">
        <f t="shared" ref="AK5:AK68" si="35">EXP(-1.0587+0.8836*LN(AJ5)+0.284)</f>
        <v>0.4207236981541258</v>
      </c>
      <c r="AL5" s="20">
        <f t="shared" si="4"/>
        <v>2.3038437239038307</v>
      </c>
      <c r="AM5" s="59">
        <f t="shared" si="5"/>
        <v>295.63717705723712</v>
      </c>
      <c r="AN5" s="59">
        <f ca="1">AVERAGE(OFFSET($AM$3,0,0,'Données projet'!$E$10+1,1))-AVERAGE(OFFSET($H$3,0,0,'Données projet'!$E$10+1,1))</f>
        <v>287.78657453117694</v>
      </c>
      <c r="AO5" s="59">
        <f t="shared" ref="AO5:AO68" si="36">$AO$3</f>
        <v>153.31562485362252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3.9923076923076919</v>
      </c>
      <c r="BD5" s="12">
        <f>IF('Données projet'!$A$88&gt;35,BD4+BC5-BL4,IF(A5&lt;'Données projet'!$A$88,$BA$205^A5,IF(A5='Données projet'!$A$88,'Données projet'!$B$88,BD4+BC5-BL4)))</f>
        <v>1.7257400123777127</v>
      </c>
      <c r="BE5" s="13">
        <f>BD5*VLOOKUP('Données projet'!$B$11,Paramètres!$A$1:$I$89,3,0)*VLOOKUP('Données projet'!$B$11,Paramètres!$A$1:$I$89,5,0)</f>
        <v>1.0319925274018724</v>
      </c>
      <c r="BF5" s="13">
        <f t="shared" ref="BF5:BF68" si="37">EXP(-1.0587+0.8836*LN(BE5)+0.284)</f>
        <v>0.47384539761506927</v>
      </c>
      <c r="BG5" s="20">
        <f t="shared" si="7"/>
        <v>2.6226677194045069</v>
      </c>
      <c r="BH5" s="59">
        <f t="shared" si="8"/>
        <v>295.9560010527378</v>
      </c>
      <c r="BI5" s="59">
        <f ca="1">AVERAGE(OFFSET($BH$3,0,0,'Données projet'!$E$11+1,1))-AVERAGE(OFFSET($H$3,0,0,'Données projet'!$E$11+1,1))</f>
        <v>250.93905519128998</v>
      </c>
      <c r="BJ5" s="59">
        <f t="shared" ref="BJ5:BJ68" si="38">$BJ$3</f>
        <v>222.32879462265032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2.3805128205128203</v>
      </c>
      <c r="BY5" s="12">
        <f>IF('Données projet'!$A$114&gt;35,BY4+BX5-CG4,IF(A5&lt;'Données projet'!$A$114,$BV$205^A5,IF(A5='Données projet'!$A$114,'Données projet'!$B$114,BY4+BX5-CG4)))</f>
        <v>1.610775088937616</v>
      </c>
      <c r="BZ5" s="13">
        <f>BY5*VLOOKUP('Données projet'!$B$12,Paramètres!$A$1:$I$89,3,0)*VLOOKUP('Données projet'!$B$12,Paramètres!$A$1:$I$89,5,0)</f>
        <v>0.96324350318469443</v>
      </c>
      <c r="CA5" s="13">
        <f t="shared" ref="CA5:CA68" si="39">EXP(-1.0587+0.8836*LN(BZ5)+0.284)</f>
        <v>0.44584230224208238</v>
      </c>
      <c r="CB5" s="20">
        <f t="shared" si="10"/>
        <v>2.4541577777849692</v>
      </c>
      <c r="CC5" s="59">
        <f t="shared" si="11"/>
        <v>295.7874911111183</v>
      </c>
      <c r="CD5" s="59">
        <f ca="1">AVERAGE(OFFSET($CC$3,0,0,'Données projet'!$E$12+1,1))-AVERAGE(OFFSET($H$3,0,0,'Données projet'!$E$12+1,1))</f>
        <v>179.32848817523677</v>
      </c>
      <c r="CE5" s="59">
        <f t="shared" ref="CE5:CE68" si="40">$CE$3</f>
        <v>131.3292389103035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3.6141025641025637</v>
      </c>
      <c r="CT5" s="12">
        <f>IF('Données projet'!$A$140&gt;35,CT4+CS5-DB4,IF(A5&lt;'Données projet'!$A$140,$CQ$205^A5,IF(A5='Données projet'!$A$140,'Données projet'!$B$140,CT4+CS5-DB4)))</f>
        <v>1.3667049955949657</v>
      </c>
      <c r="CU5" s="17">
        <f>CT5*VLOOKUP('Données projet'!$B$13,Paramètres!$A$1:$I$89,3,0)*VLOOKUP('Données projet'!$B$13,Paramètres!$A$1:$I$89,5,0)</f>
        <v>1.236594680014325</v>
      </c>
      <c r="CV5" s="13">
        <f t="shared" ref="CV5:CV68" si="41">EXP(-1.0587+0.8836*LN(CU5)+0.284)</f>
        <v>0.55596080148480498</v>
      </c>
      <c r="CW5" s="20">
        <f t="shared" si="13"/>
        <v>3.1220341302776515</v>
      </c>
      <c r="CX5" s="59">
        <f t="shared" si="14"/>
        <v>296.45536746361097</v>
      </c>
      <c r="CY5" s="59">
        <f ca="1">AVERAGE(OFFSET($CX$3,0,0,'Données projet'!$E$13+1,1))-AVERAGE(OFFSET($H$3,0,0,'Données projet'!$E$13+1,1))</f>
        <v>309.07357540707869</v>
      </c>
      <c r="CZ5" s="59">
        <f t="shared" ref="CZ5:CZ68" si="42">$CZ$3</f>
        <v>155.9593924683299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2.2999999999999998</v>
      </c>
      <c r="DO5" s="12">
        <f>IF('Données projet'!$A$166&gt;35,DO4+DN5-DW4,IF(A5&lt;'Données projet'!$A$166,$DL$205^A5,IF(A5='Données projet'!$A$166,'Données projet'!$B$166,DO4+DN5-DW4)))</f>
        <v>1.8721712305548575</v>
      </c>
      <c r="DP5" s="17">
        <f>DO5*VLOOKUP('Données projet'!$B$14,Paramètres!$A$1:$I$89,3,0)*VLOOKUP('Données projet'!$B$14,Paramètres!$A$1:$I$89,5,0)</f>
        <v>1.6355287870127238</v>
      </c>
      <c r="DQ5" s="13">
        <f t="shared" ref="DQ5:DQ68" si="43">EXP(-1.0587+0.8836*LN(DP5)+0.284)</f>
        <v>0.71177125311828726</v>
      </c>
      <c r="DR5" s="20">
        <f t="shared" si="16"/>
        <v>4.0882142365615106</v>
      </c>
      <c r="DS5" s="59">
        <f t="shared" si="17"/>
        <v>297.42154756989481</v>
      </c>
      <c r="DT5" s="59">
        <f ca="1">AVERAGE(OFFSET($DS$3,0,0,'Données projet'!$E$14+1,1))-AVERAGE(OFFSET($H$3,0,0,'Données projet'!$E$14+1,1))</f>
        <v>210.07838338464626</v>
      </c>
      <c r="DU5" s="59">
        <f t="shared" ref="DU5:DU68" si="44">$DU$3</f>
        <v>241.76003724236273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5.9</v>
      </c>
      <c r="EJ5" s="12">
        <f>IF('Données projet'!$A$192&gt;35,EJ4+EI5-ER4,IF(A5&lt;'Données projet'!$A$192,$EG$205^A5,IF(A5='Données projet'!$A$192,'Données projet'!$B$192,EJ4+EI5-ER4)))</f>
        <v>1.6113437568139084</v>
      </c>
      <c r="EK5" s="17">
        <f>EJ5*VLOOKUP('Données projet'!$B$15,Paramètres!$A$1:$I$89,3,0)*VLOOKUP('Données projet'!$B$15,Paramètres!$A$1:$I$89,5,0)</f>
        <v>1.0054785042518788</v>
      </c>
      <c r="EL5" s="13">
        <f t="shared" ref="EL5:EL68" si="45">EXP(-1.0587+0.8836*LN(EK5)+0.284)</f>
        <v>0.46307214995521828</v>
      </c>
      <c r="EM5" s="20">
        <f t="shared" si="19"/>
        <v>2.5577257227440273</v>
      </c>
      <c r="EN5" s="59">
        <f t="shared" si="20"/>
        <v>295.89105905607732</v>
      </c>
      <c r="EO5" s="59">
        <f ca="1">AVERAGE(OFFSET($EN$3,0,0,'Données projet'!$E$15+1,1))-AVERAGE(OFFSET($H$3,0,0,'Données projet'!$E$15+1,1))</f>
        <v>209.93608079129638</v>
      </c>
      <c r="EP5" s="59">
        <f t="shared" ref="EP5:EP68" si="46">$EP$3</f>
        <v>240.15652428700969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4.75</v>
      </c>
      <c r="N6" s="13">
        <f>IF('Données projet'!$A$36&gt;35,N5+M6-V5,IF(A6&lt;'Données projet'!$A$36,$K$205^A6,IF(A6='Données projet'!$A$36,'Données projet'!$B$36,N5+M6-V5)))</f>
        <v>1.9799696845186814</v>
      </c>
      <c r="O6" s="13">
        <f>N6*VLOOKUP('Données projet'!$B$9,Paramètres!$A$1:$I$89,3,0)*VLOOKUP('Données projet'!$B$9,Paramètres!$A$1:$I$89,5,0)</f>
        <v>1.575263881003063</v>
      </c>
      <c r="P6" s="13">
        <f t="shared" si="33"/>
        <v>0.68854678408274117</v>
      </c>
      <c r="Q6" s="20">
        <f t="shared" si="2"/>
        <v>3.9428035750244419</v>
      </c>
      <c r="R6" s="59">
        <f t="shared" si="0"/>
        <v>297.27613690835778</v>
      </c>
      <c r="S6" s="59">
        <f ca="1">AVERAGE(OFFSET($R$3,0,0,'Données projet'!$E$9+1,1))-AVERAGE(OFFSET($H$3,0,0,'Données projet'!$E$9+1,1))</f>
        <v>199.58763537752952</v>
      </c>
      <c r="T6" s="59">
        <f t="shared" si="34"/>
        <v>242.62852778451929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3.05</v>
      </c>
      <c r="AI6" s="13">
        <f>IF('Données projet'!$A$62&gt;35,AI5+AH6-AQ5,IF(A6&lt;'Données projet'!$A$62,$AF$205^A6,IF(A6='Données projet'!$A$62,'Données projet'!$B$62,AI5+AH6-AQ5)))</f>
        <v>1.8526759985236183</v>
      </c>
      <c r="AJ6" s="13">
        <f>AI6*VLOOKUP('Données projet'!$B$10,Paramètres!$A$1:$I$89,3,0)*VLOOKUP('Données projet'!$B$10,Paramètres!$A$1:$I$89,5,0)</f>
        <v>1.1079002471171238</v>
      </c>
      <c r="AK6" s="13">
        <f t="shared" si="35"/>
        <v>0.50451356458716323</v>
      </c>
      <c r="AL6" s="20">
        <f t="shared" si="4"/>
        <v>2.8082873887182997</v>
      </c>
      <c r="AM6" s="59">
        <f t="shared" si="5"/>
        <v>296.14162072205164</v>
      </c>
      <c r="AN6" s="59">
        <f ca="1">AVERAGE(OFFSET($AM$3,0,0,'Données projet'!$E$10+1,1))-AVERAGE(OFFSET($H$3,0,0,'Données projet'!$E$10+1,1))</f>
        <v>287.78657453117694</v>
      </c>
      <c r="AO6" s="59">
        <f t="shared" si="36"/>
        <v>153.31562485362252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3.9923076923076919</v>
      </c>
      <c r="BD6" s="12">
        <f>IF('Données projet'!$A$88&gt;35,BD5+BC6-BL5,IF(A6&lt;'Données projet'!$A$88,$BA$205^A6,IF(A6='Données projet'!$A$88,'Données projet'!$B$88,BD5+BC6-BL5)))</f>
        <v>2.2670602015218608</v>
      </c>
      <c r="BE6" s="13">
        <f>BD6*VLOOKUP('Données projet'!$B$11,Paramètres!$A$1:$I$89,3,0)*VLOOKUP('Données projet'!$B$11,Paramètres!$A$1:$I$89,5,0)</f>
        <v>1.3557020005100728</v>
      </c>
      <c r="BF6" s="13">
        <f t="shared" si="37"/>
        <v>0.60302092785470529</v>
      </c>
      <c r="BG6" s="20">
        <f t="shared" si="7"/>
        <v>3.4114424335686557</v>
      </c>
      <c r="BH6" s="59">
        <f t="shared" si="8"/>
        <v>296.74477576690197</v>
      </c>
      <c r="BI6" s="59">
        <f ca="1">AVERAGE(OFFSET($BH$3,0,0,'Données projet'!$E$11+1,1))-AVERAGE(OFFSET($H$3,0,0,'Données projet'!$E$11+1,1))</f>
        <v>250.93905519128998</v>
      </c>
      <c r="BJ6" s="59">
        <f t="shared" si="38"/>
        <v>222.32879462265032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2.3805128205128203</v>
      </c>
      <c r="BY6" s="12">
        <f>IF('Données projet'!$A$114&gt;35,BY5+BX6-CG5,IF(A6&lt;'Données projet'!$A$114,$BV$205^A6,IF(A6='Données projet'!$A$114,'Données projet'!$B$114,BY5+BX6-CG5)))</f>
        <v>2.0443363779612804</v>
      </c>
      <c r="BZ6" s="13">
        <f>BY6*VLOOKUP('Données projet'!$B$12,Paramètres!$A$1:$I$89,3,0)*VLOOKUP('Données projet'!$B$12,Paramètres!$A$1:$I$89,5,0)</f>
        <v>1.2225131540208458</v>
      </c>
      <c r="CA6" s="13">
        <f t="shared" si="39"/>
        <v>0.55036308132321654</v>
      </c>
      <c r="CB6" s="20">
        <f t="shared" si="10"/>
        <v>3.0877594432242415</v>
      </c>
      <c r="CC6" s="59">
        <f t="shared" si="11"/>
        <v>296.42109277655754</v>
      </c>
      <c r="CD6" s="59">
        <f ca="1">AVERAGE(OFFSET($CC$3,0,0,'Données projet'!$E$12+1,1))-AVERAGE(OFFSET($H$3,0,0,'Données projet'!$E$12+1,1))</f>
        <v>179.32848817523677</v>
      </c>
      <c r="CE6" s="59">
        <f t="shared" si="40"/>
        <v>131.3292389103035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3.6141025641025637</v>
      </c>
      <c r="CT6" s="12">
        <f>IF('Données projet'!$A$140&gt;35,CT5+CS6-DB5,IF(A6&lt;'Données projet'!$A$140,$CQ$205^A6,IF(A6='Données projet'!$A$140,'Données projet'!$B$140,CT5+CS6-DB5)))</f>
        <v>1.5977623119270878</v>
      </c>
      <c r="CU6" s="17">
        <f>CT6*VLOOKUP('Données projet'!$B$13,Paramètres!$A$1:$I$89,3,0)*VLOOKUP('Données projet'!$B$13,Paramètres!$A$1:$I$89,5,0)</f>
        <v>1.445655339831629</v>
      </c>
      <c r="CV6" s="13">
        <f t="shared" si="41"/>
        <v>0.63824186933535754</v>
      </c>
      <c r="CW6" s="20">
        <f t="shared" si="13"/>
        <v>3.6294543059658344</v>
      </c>
      <c r="CX6" s="59">
        <f t="shared" si="14"/>
        <v>296.96278763929917</v>
      </c>
      <c r="CY6" s="59">
        <f ca="1">AVERAGE(OFFSET($CX$3,0,0,'Données projet'!$E$13+1,1))-AVERAGE(OFFSET($H$3,0,0,'Données projet'!$E$13+1,1))</f>
        <v>309.07357540707869</v>
      </c>
      <c r="CZ6" s="59">
        <f t="shared" si="42"/>
        <v>155.9593924683299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2.2999999999999998</v>
      </c>
      <c r="DO6" s="12">
        <f>IF('Données projet'!$A$166&gt;35,DO5+DN6-DW5,IF(A6&lt;'Données projet'!$A$166,$DL$205^A6,IF(A6='Données projet'!$A$166,'Données projet'!$B$166,DO5+DN6-DW5)))</f>
        <v>2.5616415021458128</v>
      </c>
      <c r="DP6" s="17">
        <f>DO6*VLOOKUP('Données projet'!$B$14,Paramètres!$A$1:$I$89,3,0)*VLOOKUP('Données projet'!$B$14,Paramètres!$A$1:$I$89,5,0)</f>
        <v>2.237850016274582</v>
      </c>
      <c r="DQ6" s="13">
        <f t="shared" si="43"/>
        <v>0.93899377989068589</v>
      </c>
      <c r="DR6" s="20">
        <f t="shared" si="16"/>
        <v>5.5330029449878415</v>
      </c>
      <c r="DS6" s="59">
        <f t="shared" si="17"/>
        <v>298.86633627832117</v>
      </c>
      <c r="DT6" s="59">
        <f ca="1">AVERAGE(OFFSET($DS$3,0,0,'Données projet'!$E$14+1,1))-AVERAGE(OFFSET($H$3,0,0,'Données projet'!$E$14+1,1))</f>
        <v>210.07838338464626</v>
      </c>
      <c r="DU6" s="59">
        <f t="shared" si="44"/>
        <v>241.76003724236273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5.9</v>
      </c>
      <c r="EJ6" s="12">
        <f>IF('Données projet'!$A$192&gt;35,EJ5+EI6-ER5,IF(A6&lt;'Données projet'!$A$192,$EG$205^A6,IF(A6='Données projet'!$A$192,'Données projet'!$B$192,EJ5+EI6-ER5)))</f>
        <v>2.0454190719713807</v>
      </c>
      <c r="EK6" s="17">
        <f>EJ6*VLOOKUP('Données projet'!$B$15,Paramètres!$A$1:$I$89,3,0)*VLOOKUP('Données projet'!$B$15,Paramètres!$A$1:$I$89,5,0)</f>
        <v>1.2763415009101415</v>
      </c>
      <c r="EL6" s="13">
        <f t="shared" si="45"/>
        <v>0.57172134871794966</v>
      </c>
      <c r="EM6" s="20">
        <f t="shared" si="19"/>
        <v>3.2187094631022588</v>
      </c>
      <c r="EN6" s="59">
        <f t="shared" si="20"/>
        <v>296.55204279643556</v>
      </c>
      <c r="EO6" s="59">
        <f ca="1">AVERAGE(OFFSET($EN$3,0,0,'Données projet'!$E$15+1,1))-AVERAGE(OFFSET($H$3,0,0,'Données projet'!$E$15+1,1))</f>
        <v>209.93608079129638</v>
      </c>
      <c r="EP6" s="59">
        <f t="shared" si="46"/>
        <v>240.15652428700969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4.75</v>
      </c>
      <c r="N7" s="13">
        <f>IF('Données projet'!$A$36&gt;35,N6+M7-V6,IF(A7&lt;'Données projet'!$A$36,$K$205^A7,IF(A7='Données projet'!$A$36,'Données projet'!$B$36,N6+M7-V6)))</f>
        <v>2.4862495702121006</v>
      </c>
      <c r="O7" s="13">
        <f>N7*VLOOKUP('Données projet'!$B$9,Paramètres!$A$1:$I$89,3,0)*VLOOKUP('Données projet'!$B$9,Paramètres!$A$1:$I$89,5,0)</f>
        <v>1.9780601580607473</v>
      </c>
      <c r="P7" s="13">
        <f t="shared" si="33"/>
        <v>0.84199455516247157</v>
      </c>
      <c r="Q7" s="20">
        <f t="shared" si="2"/>
        <v>4.9115952921971058</v>
      </c>
      <c r="R7" s="59">
        <f t="shared" si="0"/>
        <v>298.24492862553041</v>
      </c>
      <c r="S7" s="59">
        <f ca="1">AVERAGE(OFFSET($R$3,0,0,'Données projet'!$E$9+1,1))-AVERAGE(OFFSET($H$3,0,0,'Données projet'!$E$9+1,1))</f>
        <v>199.58763537752952</v>
      </c>
      <c r="T7" s="59">
        <f t="shared" si="34"/>
        <v>242.62852778451929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3.05</v>
      </c>
      <c r="AI7" s="13">
        <f>IF('Données projet'!$A$62&gt;35,AI6+AH7-AQ6,IF(A7&lt;'Données projet'!$A$62,$AF$205^A7,IF(A7='Données projet'!$A$62,'Données projet'!$B$62,AI6+AH7-AQ6)))</f>
        <v>2.2754430321145298</v>
      </c>
      <c r="AJ7" s="13">
        <f>AI7*VLOOKUP('Données projet'!$B$10,Paramètres!$A$1:$I$89,3,0)*VLOOKUP('Données projet'!$B$10,Paramètres!$A$1:$I$89,5,0)</f>
        <v>1.360714933204489</v>
      </c>
      <c r="AK7" s="13">
        <f t="shared" si="35"/>
        <v>0.60499072899668493</v>
      </c>
      <c r="AL7" s="20">
        <f t="shared" si="4"/>
        <v>3.4236040283337115</v>
      </c>
      <c r="AM7" s="59">
        <f t="shared" si="5"/>
        <v>296.75693736166704</v>
      </c>
      <c r="AN7" s="59">
        <f ca="1">AVERAGE(OFFSET($AM$3,0,0,'Données projet'!$E$10+1,1))-AVERAGE(OFFSET($H$3,0,0,'Données projet'!$E$10+1,1))</f>
        <v>287.78657453117694</v>
      </c>
      <c r="AO7" s="59">
        <f t="shared" si="36"/>
        <v>153.31562485362252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3.9923076923076919</v>
      </c>
      <c r="BD7" s="12">
        <f>IF('Données projet'!$A$88&gt;35,BD6+BC7-BL6,IF(A7&lt;'Données projet'!$A$88,$BA$205^A7,IF(A7='Données projet'!$A$88,'Données projet'!$B$88,BD6+BC7-BL6)))</f>
        <v>2.978178590321428</v>
      </c>
      <c r="BE7" s="13">
        <f>BD7*VLOOKUP('Données projet'!$B$11,Paramètres!$A$1:$I$89,3,0)*VLOOKUP('Données projet'!$B$11,Paramètres!$A$1:$I$89,5,0)</f>
        <v>1.780950797012214</v>
      </c>
      <c r="BF7" s="13">
        <f t="shared" si="37"/>
        <v>0.76741114562043289</v>
      </c>
      <c r="BG7" s="20">
        <f t="shared" si="7"/>
        <v>4.438397050085193</v>
      </c>
      <c r="BH7" s="59">
        <f t="shared" si="8"/>
        <v>297.77173038341851</v>
      </c>
      <c r="BI7" s="59">
        <f ca="1">AVERAGE(OFFSET($BH$3,0,0,'Données projet'!$E$11+1,1))-AVERAGE(OFFSET($H$3,0,0,'Données projet'!$E$11+1,1))</f>
        <v>250.93905519128998</v>
      </c>
      <c r="BJ7" s="59">
        <f t="shared" si="38"/>
        <v>222.32879462265032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2.3805128205128203</v>
      </c>
      <c r="BY7" s="12">
        <f>IF('Données projet'!$A$114&gt;35,BY6+BX7-CG6,IF(A7&lt;'Données projet'!$A$114,$BV$205^A7,IF(A7='Données projet'!$A$114,'Données projet'!$B$114,BY6+BX7-CG6)))</f>
        <v>2.5945963871419848</v>
      </c>
      <c r="BZ7" s="13">
        <f>BY7*VLOOKUP('Données projet'!$B$12,Paramètres!$A$1:$I$89,3,0)*VLOOKUP('Données projet'!$B$12,Paramètres!$A$1:$I$89,5,0)</f>
        <v>1.551568639510907</v>
      </c>
      <c r="CA7" s="13">
        <f t="shared" si="39"/>
        <v>0.67938712805030732</v>
      </c>
      <c r="CB7" s="20">
        <f t="shared" si="10"/>
        <v>3.8855812951691147</v>
      </c>
      <c r="CC7" s="59">
        <f t="shared" si="11"/>
        <v>297.21891462850243</v>
      </c>
      <c r="CD7" s="59">
        <f ca="1">AVERAGE(OFFSET($CC$3,0,0,'Données projet'!$E$12+1,1))-AVERAGE(OFFSET($H$3,0,0,'Données projet'!$E$12+1,1))</f>
        <v>179.32848817523677</v>
      </c>
      <c r="CE7" s="59">
        <f t="shared" si="40"/>
        <v>131.3292389103035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3.6141025641025637</v>
      </c>
      <c r="CT7" s="12">
        <f>IF('Données projet'!$A$140&gt;35,CT6+CS7-DB6,IF(A7&lt;'Données projet'!$A$140,$CQ$205^A7,IF(A7='Données projet'!$A$140,'Données projet'!$B$140,CT6+CS7-DB6)))</f>
        <v>1.8678825449842353</v>
      </c>
      <c r="CU7" s="17">
        <f>CT7*VLOOKUP('Données projet'!$B$13,Paramètres!$A$1:$I$89,3,0)*VLOOKUP('Données projet'!$B$13,Paramètres!$A$1:$I$89,5,0)</f>
        <v>1.6900601267017361</v>
      </c>
      <c r="CV7" s="13">
        <f t="shared" si="41"/>
        <v>0.73270036787625048</v>
      </c>
      <c r="CW7" s="20">
        <f t="shared" si="13"/>
        <v>4.2196411947233265</v>
      </c>
      <c r="CX7" s="59">
        <f t="shared" si="14"/>
        <v>297.55297452805667</v>
      </c>
      <c r="CY7" s="59">
        <f ca="1">AVERAGE(OFFSET($CX$3,0,0,'Données projet'!$E$13+1,1))-AVERAGE(OFFSET($H$3,0,0,'Données projet'!$E$13+1,1))</f>
        <v>309.07357540707869</v>
      </c>
      <c r="CZ7" s="59">
        <f t="shared" si="42"/>
        <v>155.9593924683299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2.2999999999999998</v>
      </c>
      <c r="DO7" s="12">
        <f>IF('Données projet'!$A$166&gt;35,DO6+DN7-DW6,IF(A7&lt;'Données projet'!$A$166,$DL$205^A7,IF(A7='Données projet'!$A$166,'Données projet'!$B$166,DO6+DN7-DW6)))</f>
        <v>3.5050251165172894</v>
      </c>
      <c r="DP7" s="17">
        <f>DO7*VLOOKUP('Données projet'!$B$14,Paramètres!$A$1:$I$89,3,0)*VLOOKUP('Données projet'!$B$14,Paramètres!$A$1:$I$89,5,0)</f>
        <v>3.0619899417895042</v>
      </c>
      <c r="DQ7" s="13">
        <f t="shared" si="43"/>
        <v>1.2387537636714157</v>
      </c>
      <c r="DR7" s="20">
        <f t="shared" si="16"/>
        <v>7.4904619536777686</v>
      </c>
      <c r="DS7" s="59">
        <f t="shared" si="17"/>
        <v>300.82379528701108</v>
      </c>
      <c r="DT7" s="59">
        <f ca="1">AVERAGE(OFFSET($DS$3,0,0,'Données projet'!$E$14+1,1))-AVERAGE(OFFSET($H$3,0,0,'Données projet'!$E$14+1,1))</f>
        <v>210.07838338464626</v>
      </c>
      <c r="DU7" s="59">
        <f t="shared" si="44"/>
        <v>241.76003724236273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5.9</v>
      </c>
      <c r="EJ7" s="12">
        <f>IF('Données projet'!$A$192&gt;35,EJ6+EI7-ER6,IF(A7&lt;'Données projet'!$A$192,$EG$205^A7,IF(A7='Données projet'!$A$192,'Données projet'!$B$192,EJ6+EI7-ER6)))</f>
        <v>2.5964287026231601</v>
      </c>
      <c r="EK7" s="17">
        <f>EJ7*VLOOKUP('Données projet'!$B$15,Paramètres!$A$1:$I$89,3,0)*VLOOKUP('Données projet'!$B$15,Paramètres!$A$1:$I$89,5,0)</f>
        <v>1.6201715104368517</v>
      </c>
      <c r="EL7" s="13">
        <f t="shared" si="45"/>
        <v>0.70586257586745638</v>
      </c>
      <c r="EM7" s="20">
        <f t="shared" si="19"/>
        <v>4.0511760336466702</v>
      </c>
      <c r="EN7" s="59">
        <f t="shared" si="20"/>
        <v>297.38450936698001</v>
      </c>
      <c r="EO7" s="59">
        <f ca="1">AVERAGE(OFFSET($EN$3,0,0,'Données projet'!$E$15+1,1))-AVERAGE(OFFSET($H$3,0,0,'Données projet'!$E$15+1,1))</f>
        <v>209.93608079129638</v>
      </c>
      <c r="EP7" s="59">
        <f t="shared" si="46"/>
        <v>240.15652428700969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4.75</v>
      </c>
      <c r="N8" s="13">
        <f>IF('Données projet'!$A$36&gt;35,N7+M8-V7,IF(A8&lt;'Données projet'!$A$36,$K$205^A8,IF(A8='Données projet'!$A$36,'Données projet'!$B$36,N7+M8-V7)))</f>
        <v>3.121985641352143</v>
      </c>
      <c r="O8" s="13">
        <f>N8*VLOOKUP('Données projet'!$B$9,Paramètres!$A$1:$I$89,3,0)*VLOOKUP('Données projet'!$B$9,Paramètres!$A$1:$I$89,5,0)</f>
        <v>2.4838517762597654</v>
      </c>
      <c r="P8" s="13">
        <f t="shared" si="33"/>
        <v>1.0296393031124158</v>
      </c>
      <c r="Q8" s="20">
        <f t="shared" si="2"/>
        <v>6.1193302965732146</v>
      </c>
      <c r="R8" s="59">
        <f t="shared" si="0"/>
        <v>299.45266362990651</v>
      </c>
      <c r="S8" s="59">
        <f ca="1">AVERAGE(OFFSET($R$3,0,0,'Données projet'!$E$9+1,1))-AVERAGE(OFFSET($H$3,0,0,'Données projet'!$E$9+1,1))</f>
        <v>199.58763537752952</v>
      </c>
      <c r="T8" s="59">
        <f t="shared" si="34"/>
        <v>242.62852778451929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3.05</v>
      </c>
      <c r="AI8" s="13">
        <f>IF('Données projet'!$A$62&gt;35,AI7+AH8-AQ7,IF(A8&lt;'Données projet'!$A$62,$AF$205^A8,IF(A8='Données projet'!$A$62,'Données projet'!$B$62,AI7+AH8-AQ7)))</f>
        <v>2.7946823926712407</v>
      </c>
      <c r="AJ8" s="13">
        <f>AI8*VLOOKUP('Données projet'!$B$10,Paramètres!$A$1:$I$89,3,0)*VLOOKUP('Données projet'!$B$10,Paramètres!$A$1:$I$89,5,0)</f>
        <v>1.6712200708174021</v>
      </c>
      <c r="AK8" s="13">
        <f t="shared" si="35"/>
        <v>0.72547857552937034</v>
      </c>
      <c r="AL8" s="20">
        <f t="shared" si="4"/>
        <v>4.1742501423872946</v>
      </c>
      <c r="AM8" s="59">
        <f t="shared" si="5"/>
        <v>297.50758347572059</v>
      </c>
      <c r="AN8" s="59">
        <f ca="1">AVERAGE(OFFSET($AM$3,0,0,'Données projet'!$E$10+1,1))-AVERAGE(OFFSET($H$3,0,0,'Données projet'!$E$10+1,1))</f>
        <v>287.78657453117694</v>
      </c>
      <c r="AO8" s="59">
        <f t="shared" si="36"/>
        <v>153.31562485362252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3.9923076923076919</v>
      </c>
      <c r="BD8" s="12">
        <f>IF('Données projet'!$A$88&gt;35,BD7+BC8-BL7,IF(A8&lt;'Données projet'!$A$88,$BA$205^A8,IF(A8='Données projet'!$A$88,'Données projet'!$B$88,BD7+BC8-BL7)))</f>
        <v>3.9123565002353557</v>
      </c>
      <c r="BE8" s="13">
        <f>BD8*VLOOKUP('Données projet'!$B$11,Paramètres!$A$1:$I$89,3,0)*VLOOKUP('Données projet'!$B$11,Paramètres!$A$1:$I$89,5,0)</f>
        <v>2.339589187140743</v>
      </c>
      <c r="BF8" s="13">
        <f t="shared" si="37"/>
        <v>0.97661596674197404</v>
      </c>
      <c r="BG8" s="20">
        <f t="shared" si="7"/>
        <v>5.7757239763457333</v>
      </c>
      <c r="BH8" s="59">
        <f t="shared" si="8"/>
        <v>299.10905730967903</v>
      </c>
      <c r="BI8" s="59">
        <f ca="1">AVERAGE(OFFSET($BH$3,0,0,'Données projet'!$E$11+1,1))-AVERAGE(OFFSET($H$3,0,0,'Données projet'!$E$11+1,1))</f>
        <v>250.93905519128998</v>
      </c>
      <c r="BJ8" s="59">
        <f t="shared" si="38"/>
        <v>222.32879462265032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2.3805128205128203</v>
      </c>
      <c r="BY8" s="12">
        <f>IF('Données projet'!$A$114&gt;35,BY7+BX8-CG7,IF(A8&lt;'Données projet'!$A$114,$BV$205^A8,IF(A8='Données projet'!$A$114,'Données projet'!$B$114,BY7+BX8-CG7)))</f>
        <v>3.2929661110289854</v>
      </c>
      <c r="BZ8" s="13">
        <f>BY8*VLOOKUP('Données projet'!$B$12,Paramètres!$A$1:$I$89,3,0)*VLOOKUP('Données projet'!$B$12,Paramètres!$A$1:$I$89,5,0)</f>
        <v>1.9691937343953334</v>
      </c>
      <c r="CA8" s="13">
        <f t="shared" si="39"/>
        <v>0.83865885162703413</v>
      </c>
      <c r="CB8" s="20">
        <f t="shared" si="10"/>
        <v>4.8903432539889566</v>
      </c>
      <c r="CC8" s="59">
        <f t="shared" si="11"/>
        <v>298.22367658732225</v>
      </c>
      <c r="CD8" s="59">
        <f ca="1">AVERAGE(OFFSET($CC$3,0,0,'Données projet'!$E$12+1,1))-AVERAGE(OFFSET($H$3,0,0,'Données projet'!$E$12+1,1))</f>
        <v>179.32848817523677</v>
      </c>
      <c r="CE8" s="59">
        <f t="shared" si="40"/>
        <v>131.3292389103035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3.6141025641025637</v>
      </c>
      <c r="CT8" s="12">
        <f>IF('Données projet'!$A$140&gt;35,CT7+CS8-DB7,IF(A8&lt;'Données projet'!$A$140,$CQ$205^A8,IF(A8='Données projet'!$A$140,'Données projet'!$B$140,CT7+CS8-DB7)))</f>
        <v>2.1836697334841126</v>
      </c>
      <c r="CU8" s="17">
        <f>CT8*VLOOKUP('Données projet'!$B$13,Paramètres!$A$1:$I$89,3,0)*VLOOKUP('Données projet'!$B$13,Paramètres!$A$1:$I$89,5,0)</f>
        <v>1.975784374856425</v>
      </c>
      <c r="CV8" s="13">
        <f t="shared" si="41"/>
        <v>0.84113853208196609</v>
      </c>
      <c r="CW8" s="20">
        <f t="shared" si="13"/>
        <v>4.9061407295843642</v>
      </c>
      <c r="CX8" s="59">
        <f t="shared" si="14"/>
        <v>298.23947406291768</v>
      </c>
      <c r="CY8" s="59">
        <f ca="1">AVERAGE(OFFSET($CX$3,0,0,'Données projet'!$E$13+1,1))-AVERAGE(OFFSET($H$3,0,0,'Données projet'!$E$13+1,1))</f>
        <v>309.07357540707869</v>
      </c>
      <c r="CZ8" s="59">
        <f t="shared" si="42"/>
        <v>155.9593924683299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2.2999999999999998</v>
      </c>
      <c r="DO8" s="12">
        <f>IF('Données projet'!$A$166&gt;35,DO7+DN8-DW7,IF(A8&lt;'Données projet'!$A$166,$DL$205^A8,IF(A8='Données projet'!$A$166,'Données projet'!$B$166,DO7+DN8-DW7)))</f>
        <v>4.79583152331272</v>
      </c>
      <c r="DP8" s="17">
        <f>DO8*VLOOKUP('Données projet'!$B$14,Paramètres!$A$1:$I$89,3,0)*VLOOKUP('Données projet'!$B$14,Paramètres!$A$1:$I$89,5,0)</f>
        <v>4.189638418765993</v>
      </c>
      <c r="DQ8" s="13">
        <f t="shared" si="43"/>
        <v>1.6342077230679199</v>
      </c>
      <c r="DR8" s="20">
        <f t="shared" si="16"/>
        <v>10.143198697027399</v>
      </c>
      <c r="DS8" s="59">
        <f t="shared" si="17"/>
        <v>303.47653203036072</v>
      </c>
      <c r="DT8" s="59">
        <f ca="1">AVERAGE(OFFSET($DS$3,0,0,'Données projet'!$E$14+1,1))-AVERAGE(OFFSET($H$3,0,0,'Données projet'!$E$14+1,1))</f>
        <v>210.07838338464626</v>
      </c>
      <c r="DU8" s="59">
        <f t="shared" si="44"/>
        <v>241.76003724236273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5.9</v>
      </c>
      <c r="EJ8" s="12">
        <f>IF('Données projet'!$A$192&gt;35,EJ7+EI8-ER7,IF(A8&lt;'Données projet'!$A$192,$EG$205^A8,IF(A8='Données projet'!$A$192,'Données projet'!$B$192,EJ7+EI8-ER7)))</f>
        <v>3.2958732516891831</v>
      </c>
      <c r="EK8" s="17">
        <f>EJ8*VLOOKUP('Données projet'!$B$15,Paramètres!$A$1:$I$89,3,0)*VLOOKUP('Données projet'!$B$15,Paramètres!$A$1:$I$89,5,0)</f>
        <v>2.0566249090540505</v>
      </c>
      <c r="EL8" s="13">
        <f t="shared" si="45"/>
        <v>0.87147694786545582</v>
      </c>
      <c r="EM8" s="20">
        <f t="shared" si="19"/>
        <v>5.0997774008014733</v>
      </c>
      <c r="EN8" s="59">
        <f t="shared" si="20"/>
        <v>298.4331107341348</v>
      </c>
      <c r="EO8" s="59">
        <f ca="1">AVERAGE(OFFSET($EN$3,0,0,'Données projet'!$E$15+1,1))-AVERAGE(OFFSET($H$3,0,0,'Données projet'!$E$15+1,1))</f>
        <v>209.93608079129638</v>
      </c>
      <c r="EP8" s="59">
        <f t="shared" si="46"/>
        <v>240.15652428700969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4.75</v>
      </c>
      <c r="N9" s="13">
        <f>IF('Données projet'!$A$36&gt;35,N8+M9-V8,IF(A9&lt;'Données projet'!$A$36,$K$205^A9,IF(A9='Données projet'!$A$36,'Données projet'!$B$36,N8+M9-V8)))</f>
        <v>3.920279951613006</v>
      </c>
      <c r="O9" s="13">
        <f>N9*VLOOKUP('Données projet'!$B$9,Paramètres!$A$1:$I$89,3,0)*VLOOKUP('Données projet'!$B$9,Paramètres!$A$1:$I$89,5,0)</f>
        <v>3.1189747295033077</v>
      </c>
      <c r="P9" s="13">
        <f t="shared" si="33"/>
        <v>1.2591020785273992</v>
      </c>
      <c r="Q9" s="20">
        <f t="shared" si="2"/>
        <v>7.6251504406534805</v>
      </c>
      <c r="R9" s="59">
        <f t="shared" si="0"/>
        <v>300.95848377398681</v>
      </c>
      <c r="S9" s="59">
        <f ca="1">AVERAGE(OFFSET($R$3,0,0,'Données projet'!$E$9+1,1))-AVERAGE(OFFSET($H$3,0,0,'Données projet'!$E$9+1,1))</f>
        <v>199.58763537752952</v>
      </c>
      <c r="T9" s="59">
        <f t="shared" si="34"/>
        <v>242.62852778451929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3.05</v>
      </c>
      <c r="AI9" s="13">
        <f>IF('Données projet'!$A$62&gt;35,AI8+AH9-AQ8,IF(A9&lt;'Données projet'!$A$62,$AF$205^A9,IF(A9='Données projet'!$A$62,'Données projet'!$B$62,AI8+AH9-AQ8)))</f>
        <v>3.4324083555054856</v>
      </c>
      <c r="AJ9" s="13">
        <f>AI9*VLOOKUP('Données projet'!$B$10,Paramètres!$A$1:$I$89,3,0)*VLOOKUP('Données projet'!$B$10,Paramètres!$A$1:$I$89,5,0)</f>
        <v>2.0525801965922805</v>
      </c>
      <c r="AK9" s="13">
        <f t="shared" si="35"/>
        <v>0.86996236194391041</v>
      </c>
      <c r="AL9" s="20">
        <f t="shared" si="4"/>
        <v>5.0900949561171993</v>
      </c>
      <c r="AM9" s="59">
        <f t="shared" si="5"/>
        <v>298.4234282894505</v>
      </c>
      <c r="AN9" s="59">
        <f ca="1">AVERAGE(OFFSET($AM$3,0,0,'Données projet'!$E$10+1,1))-AVERAGE(OFFSET($H$3,0,0,'Données projet'!$E$10+1,1))</f>
        <v>287.78657453117694</v>
      </c>
      <c r="AO9" s="59">
        <f t="shared" si="36"/>
        <v>153.31562485362252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3.9923076923076919</v>
      </c>
      <c r="BD9" s="12">
        <f>IF('Données projet'!$A$88&gt;35,BD8+BC9-BL8,IF(A9&lt;'Données projet'!$A$88,$BA$205^A9,IF(A9='Données projet'!$A$88,'Données projet'!$B$88,BD8+BC9-BL8)))</f>
        <v>5.1395619573243403</v>
      </c>
      <c r="BE9" s="13">
        <f>BD9*VLOOKUP('Données projet'!$B$11,Paramètres!$A$1:$I$89,3,0)*VLOOKUP('Données projet'!$B$11,Paramètres!$A$1:$I$89,5,0)</f>
        <v>3.0734580504799558</v>
      </c>
      <c r="BF9" s="13">
        <f t="shared" si="37"/>
        <v>1.2428523509705534</v>
      </c>
      <c r="BG9" s="20">
        <f t="shared" si="7"/>
        <v>7.5175739491929692</v>
      </c>
      <c r="BH9" s="59">
        <f t="shared" si="8"/>
        <v>300.85090728252629</v>
      </c>
      <c r="BI9" s="59">
        <f ca="1">AVERAGE(OFFSET($BH$3,0,0,'Données projet'!$E$11+1,1))-AVERAGE(OFFSET($H$3,0,0,'Données projet'!$E$11+1,1))</f>
        <v>250.93905519128998</v>
      </c>
      <c r="BJ9" s="59">
        <f t="shared" si="38"/>
        <v>222.32879462265032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2.3805128205128203</v>
      </c>
      <c r="BY9" s="12">
        <f>IF('Données projet'!$A$114&gt;35,BY8+BX9-CG8,IF(A9&lt;'Données projet'!$A$114,$BV$205^A9,IF(A9='Données projet'!$A$114,'Données projet'!$B$114,BY8+BX9-CG8)))</f>
        <v>4.1793112262558481</v>
      </c>
      <c r="BZ9" s="13">
        <f>BY9*VLOOKUP('Données projet'!$B$12,Paramètres!$A$1:$I$89,3,0)*VLOOKUP('Données projet'!$B$12,Paramètres!$A$1:$I$89,5,0)</f>
        <v>2.4992281133009975</v>
      </c>
      <c r="CA9" s="13">
        <f t="shared" si="39"/>
        <v>1.0352693484653335</v>
      </c>
      <c r="CB9" s="20">
        <f t="shared" si="10"/>
        <v>6.1559164125763592</v>
      </c>
      <c r="CC9" s="59">
        <f t="shared" si="11"/>
        <v>299.48924974590966</v>
      </c>
      <c r="CD9" s="59">
        <f ca="1">AVERAGE(OFFSET($CC$3,0,0,'Données projet'!$E$12+1,1))-AVERAGE(OFFSET($H$3,0,0,'Données projet'!$E$12+1,1))</f>
        <v>179.32848817523677</v>
      </c>
      <c r="CE9" s="59">
        <f t="shared" si="40"/>
        <v>131.3292389103035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3.6141025641025637</v>
      </c>
      <c r="CT9" s="12">
        <f>IF('Données projet'!$A$140&gt;35,CT8+CS9-DB8,IF(A9&lt;'Données projet'!$A$140,$CQ$205^A9,IF(A9='Données projet'!$A$140,'Données projet'!$B$140,CT8+CS9-DB8)))</f>
        <v>2.5528444054145929</v>
      </c>
      <c r="CU9" s="17">
        <f>CT9*VLOOKUP('Données projet'!$B$13,Paramètres!$A$1:$I$89,3,0)*VLOOKUP('Données projet'!$B$13,Paramètres!$A$1:$I$89,5,0)</f>
        <v>2.3098136180191235</v>
      </c>
      <c r="CV9" s="13">
        <f t="shared" si="41"/>
        <v>0.96562532403764356</v>
      </c>
      <c r="CW9" s="20">
        <f t="shared" si="13"/>
        <v>5.7047228240822028</v>
      </c>
      <c r="CX9" s="59">
        <f t="shared" si="14"/>
        <v>299.0380561574155</v>
      </c>
      <c r="CY9" s="59">
        <f ca="1">AVERAGE(OFFSET($CX$3,0,0,'Données projet'!$E$13+1,1))-AVERAGE(OFFSET($H$3,0,0,'Données projet'!$E$13+1,1))</f>
        <v>309.07357540707869</v>
      </c>
      <c r="CZ9" s="59">
        <f t="shared" si="42"/>
        <v>155.9593924683299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2.2999999999999998</v>
      </c>
      <c r="DO9" s="12">
        <f>IF('Données projet'!$A$166&gt;35,DO8+DN9-DW8,IF(A9&lt;'Données projet'!$A$166,$DL$205^A9,IF(A9='Données projet'!$A$166,'Données projet'!$B$166,DO8+DN9-DW8)))</f>
        <v>6.5620071855158564</v>
      </c>
      <c r="DP9" s="17">
        <f>DO9*VLOOKUP('Données projet'!$B$14,Paramètres!$A$1:$I$89,3,0)*VLOOKUP('Données projet'!$B$14,Paramètres!$A$1:$I$89,5,0)</f>
        <v>5.7325694772666536</v>
      </c>
      <c r="DQ9" s="13">
        <f t="shared" si="43"/>
        <v>2.1559045554135094</v>
      </c>
      <c r="DR9" s="20">
        <f t="shared" si="16"/>
        <v>13.739092273584617</v>
      </c>
      <c r="DS9" s="59">
        <f t="shared" si="17"/>
        <v>307.07242560691793</v>
      </c>
      <c r="DT9" s="59">
        <f ca="1">AVERAGE(OFFSET($DS$3,0,0,'Données projet'!$E$14+1,1))-AVERAGE(OFFSET($H$3,0,0,'Données projet'!$E$14+1,1))</f>
        <v>210.07838338464626</v>
      </c>
      <c r="DU9" s="59">
        <f t="shared" si="44"/>
        <v>241.76003724236273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5.9</v>
      </c>
      <c r="EJ9" s="12">
        <f>IF('Données projet'!$A$192&gt;35,EJ8+EI9-ER8,IF(A9&lt;'Données projet'!$A$192,$EG$205^A9,IF(A9='Données projet'!$A$192,'Données projet'!$B$192,EJ8+EI9-ER8)))</f>
        <v>4.1837391799842649</v>
      </c>
      <c r="EK9" s="17">
        <f>EJ9*VLOOKUP('Données projet'!$B$15,Paramètres!$A$1:$I$89,3,0)*VLOOKUP('Données projet'!$B$15,Paramètres!$A$1:$I$89,5,0)</f>
        <v>2.6106532483101814</v>
      </c>
      <c r="EL9" s="13">
        <f t="shared" si="45"/>
        <v>1.075948912190948</v>
      </c>
      <c r="EM9" s="20">
        <f t="shared" si="19"/>
        <v>6.4208320962061336</v>
      </c>
      <c r="EN9" s="59">
        <f t="shared" si="20"/>
        <v>299.75416542953946</v>
      </c>
      <c r="EO9" s="59">
        <f ca="1">AVERAGE(OFFSET($EN$3,0,0,'Données projet'!$E$15+1,1))-AVERAGE(OFFSET($H$3,0,0,'Données projet'!$E$15+1,1))</f>
        <v>209.93608079129638</v>
      </c>
      <c r="EP9" s="59">
        <f t="shared" si="46"/>
        <v>240.15652428700969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4.75</v>
      </c>
      <c r="N10" s="13">
        <f>IF('Données projet'!$A$36&gt;35,N9+M10-V9,IF(A10&lt;'Données projet'!$A$36,$K$205^A10,IF(A10='Données projet'!$A$36,'Données projet'!$B$36,N9+M10-V9)))</f>
        <v>4.9226987771675601</v>
      </c>
      <c r="O10" s="13">
        <f>N10*VLOOKUP('Données projet'!$B$9,Paramètres!$A$1:$I$89,3,0)*VLOOKUP('Données projet'!$B$9,Paramètres!$A$1:$I$89,5,0)</f>
        <v>3.9164991471145107</v>
      </c>
      <c r="P10" s="13">
        <f t="shared" si="33"/>
        <v>1.5397023397997951</v>
      </c>
      <c r="Q10" s="20">
        <f t="shared" si="2"/>
        <v>9.5028842563757507</v>
      </c>
      <c r="R10" s="59">
        <f t="shared" si="0"/>
        <v>302.83621758970907</v>
      </c>
      <c r="S10" s="59">
        <f ca="1">AVERAGE(OFFSET($R$3,0,0,'Données projet'!$E$9+1,1))-AVERAGE(OFFSET($H$3,0,0,'Données projet'!$E$9+1,1))</f>
        <v>199.58763537752952</v>
      </c>
      <c r="T10" s="59">
        <f t="shared" si="34"/>
        <v>242.62852778451929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3.05</v>
      </c>
      <c r="AI10" s="13">
        <f>IF('Données projet'!$A$62&gt;35,AI9+AH10-AQ9,IF(A10&lt;'Données projet'!$A$62,$AF$205^A10,IF(A10='Données projet'!$A$62,'Données projet'!$B$62,AI9+AH10-AQ9)))</f>
        <v>4.2156586916063965</v>
      </c>
      <c r="AJ10" s="13">
        <f>AI10*VLOOKUP('Données projet'!$B$10,Paramètres!$A$1:$I$89,3,0)*VLOOKUP('Données projet'!$B$10,Paramètres!$A$1:$I$89,5,0)</f>
        <v>2.5209638975806254</v>
      </c>
      <c r="AK10" s="13">
        <f t="shared" si="35"/>
        <v>1.0432210360544107</v>
      </c>
      <c r="AL10" s="20">
        <f t="shared" si="4"/>
        <v>6.2076220927476875</v>
      </c>
      <c r="AM10" s="59">
        <f t="shared" si="5"/>
        <v>299.54095542608098</v>
      </c>
      <c r="AN10" s="59">
        <f ca="1">AVERAGE(OFFSET($AM$3,0,0,'Données projet'!$E$10+1,1))-AVERAGE(OFFSET($H$3,0,0,'Données projet'!$E$10+1,1))</f>
        <v>287.78657453117694</v>
      </c>
      <c r="AO10" s="59">
        <f t="shared" si="36"/>
        <v>153.31562485362252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3.9923076923076919</v>
      </c>
      <c r="BD10" s="12">
        <f>IF('Données projet'!$A$88&gt;35,BD9+BC10-BL9,IF(A10&lt;'Données projet'!$A$88,$BA$205^A10,IF(A10='Données projet'!$A$88,'Données projet'!$B$88,BD9+BC10-BL9)))</f>
        <v>6.7517101551421881</v>
      </c>
      <c r="BE10" s="13">
        <f>BD10*VLOOKUP('Données projet'!$B$11,Paramètres!$A$1:$I$89,3,0)*VLOOKUP('Données projet'!$B$11,Paramètres!$A$1:$I$89,5,0)</f>
        <v>4.0375226727750286</v>
      </c>
      <c r="BF10" s="13">
        <f t="shared" si="37"/>
        <v>1.5816677372848467</v>
      </c>
      <c r="BG10" s="20">
        <f t="shared" si="7"/>
        <v>9.786756630854283</v>
      </c>
      <c r="BH10" s="59">
        <f t="shared" si="8"/>
        <v>303.12008996418757</v>
      </c>
      <c r="BI10" s="59">
        <f ca="1">AVERAGE(OFFSET($BH$3,0,0,'Données projet'!$E$11+1,1))-AVERAGE(OFFSET($H$3,0,0,'Données projet'!$E$11+1,1))</f>
        <v>250.93905519128998</v>
      </c>
      <c r="BJ10" s="59">
        <f t="shared" si="38"/>
        <v>222.32879462265032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2.3805128205128203</v>
      </c>
      <c r="BY10" s="12">
        <f>IF('Données projet'!$A$114&gt;35,BY9+BX10-CG9,IF(A10&lt;'Données projet'!$A$114,$BV$205^A10,IF(A10='Données projet'!$A$114,'Données projet'!$B$114,BY9+BX10-CG9)))</f>
        <v>5.304227780361269</v>
      </c>
      <c r="BZ10" s="13">
        <f>BY10*VLOOKUP('Données projet'!$B$12,Paramètres!$A$1:$I$89,3,0)*VLOOKUP('Données projet'!$B$12,Paramètres!$A$1:$I$89,5,0)</f>
        <v>3.1719282126560389</v>
      </c>
      <c r="CA10" s="13">
        <f t="shared" si="39"/>
        <v>1.2779721120125676</v>
      </c>
      <c r="CB10" s="20">
        <f t="shared" si="10"/>
        <v>7.7502430654644883</v>
      </c>
      <c r="CC10" s="59">
        <f t="shared" si="11"/>
        <v>301.08357639879779</v>
      </c>
      <c r="CD10" s="59">
        <f ca="1">AVERAGE(OFFSET($CC$3,0,0,'Données projet'!$E$12+1,1))-AVERAGE(OFFSET($H$3,0,0,'Données projet'!$E$12+1,1))</f>
        <v>179.32848817523677</v>
      </c>
      <c r="CE10" s="59">
        <f t="shared" si="40"/>
        <v>131.3292389103035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3.6141025641025637</v>
      </c>
      <c r="CT10" s="12">
        <f>IF('Données projet'!$A$140&gt;35,CT9+CS10-DB9,IF(A10&lt;'Données projet'!$A$140,$CQ$205^A10,IF(A10='Données projet'!$A$140,'Données projet'!$B$140,CT9+CS10-DB9)))</f>
        <v>2.9844323334822644</v>
      </c>
      <c r="CU10" s="17">
        <f>CT10*VLOOKUP('Données projet'!$B$13,Paramètres!$A$1:$I$89,3,0)*VLOOKUP('Données projet'!$B$13,Paramètres!$A$1:$I$89,5,0)</f>
        <v>2.7003143753347527</v>
      </c>
      <c r="CV10" s="13">
        <f t="shared" si="41"/>
        <v>1.1085359080089574</v>
      </c>
      <c r="CW10" s="20">
        <f t="shared" si="13"/>
        <v>6.6337475768236276</v>
      </c>
      <c r="CX10" s="59">
        <f t="shared" si="14"/>
        <v>299.96708091015694</v>
      </c>
      <c r="CY10" s="59">
        <f ca="1">AVERAGE(OFFSET($CX$3,0,0,'Données projet'!$E$13+1,1))-AVERAGE(OFFSET($H$3,0,0,'Données projet'!$E$13+1,1))</f>
        <v>309.07357540707869</v>
      </c>
      <c r="CZ10" s="59">
        <f t="shared" si="42"/>
        <v>155.9593924683299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2.2999999999999998</v>
      </c>
      <c r="DO10" s="12">
        <f>IF('Données projet'!$A$166&gt;35,DO9+DN10-DW9,IF(A10&lt;'Données projet'!$A$166,$DL$205^A10,IF(A10='Données projet'!$A$166,'Données projet'!$B$166,DO9+DN10-DW9)))</f>
        <v>8.9786178045341511</v>
      </c>
      <c r="DP10" s="17">
        <f>DO10*VLOOKUP('Données projet'!$B$14,Paramètres!$A$1:$I$89,3,0)*VLOOKUP('Données projet'!$B$14,Paramètres!$A$1:$I$89,5,0)</f>
        <v>7.8437205140410358</v>
      </c>
      <c r="DQ10" s="13">
        <f t="shared" si="43"/>
        <v>2.8441454451868036</v>
      </c>
      <c r="DR10" s="20">
        <f t="shared" si="16"/>
        <v>18.614699878988485</v>
      </c>
      <c r="DS10" s="59">
        <f t="shared" si="17"/>
        <v>311.94803321232177</v>
      </c>
      <c r="DT10" s="59">
        <f ca="1">AVERAGE(OFFSET($DS$3,0,0,'Données projet'!$E$14+1,1))-AVERAGE(OFFSET($H$3,0,0,'Données projet'!$E$14+1,1))</f>
        <v>210.07838338464626</v>
      </c>
      <c r="DU10" s="59">
        <f t="shared" si="44"/>
        <v>241.76003724236273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5.9</v>
      </c>
      <c r="EJ10" s="12">
        <f>IF('Données projet'!$A$192&gt;35,EJ9+EI10-ER9,IF(A10&lt;'Données projet'!$A$192,$EG$205^A10,IF(A10='Données projet'!$A$192,'Données projet'!$B$192,EJ9+EI10-ER9)))</f>
        <v>5.3107847873593199</v>
      </c>
      <c r="EK10" s="17">
        <f>EJ10*VLOOKUP('Données projet'!$B$15,Paramètres!$A$1:$I$89,3,0)*VLOOKUP('Données projet'!$B$15,Paramètres!$A$1:$I$89,5,0)</f>
        <v>3.3139297073122154</v>
      </c>
      <c r="EL10" s="13">
        <f t="shared" si="45"/>
        <v>1.3283955065941828</v>
      </c>
      <c r="EM10" s="20">
        <f t="shared" si="19"/>
        <v>8.0853830808869755</v>
      </c>
      <c r="EN10" s="59">
        <f t="shared" si="20"/>
        <v>301.41871641422028</v>
      </c>
      <c r="EO10" s="59">
        <f ca="1">AVERAGE(OFFSET($EN$3,0,0,'Données projet'!$E$15+1,1))-AVERAGE(OFFSET($H$3,0,0,'Données projet'!$E$15+1,1))</f>
        <v>209.93608079129638</v>
      </c>
      <c r="EP10" s="59">
        <f t="shared" si="46"/>
        <v>240.15652428700969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4.75</v>
      </c>
      <c r="N11" s="13">
        <f>IF('Données projet'!$A$36&gt;35,N10+M11-V10,IF(A11&lt;'Données projet'!$A$36,$K$205^A11,IF(A11='Données projet'!$A$36,'Données projet'!$B$36,N10+M11-V10)))</f>
        <v>6.1814369253798551</v>
      </c>
      <c r="O11" s="13">
        <f>N11*VLOOKUP('Données projet'!$B$9,Paramètres!$A$1:$I$89,3,0)*VLOOKUP('Données projet'!$B$9,Paramètres!$A$1:$I$89,5,0)</f>
        <v>4.9179512178322131</v>
      </c>
      <c r="P11" s="13">
        <f t="shared" si="33"/>
        <v>1.8828364559270923</v>
      </c>
      <c r="Q11" s="20">
        <f t="shared" si="2"/>
        <v>11.844705198464125</v>
      </c>
      <c r="R11" s="59">
        <f t="shared" si="0"/>
        <v>305.17803853179743</v>
      </c>
      <c r="S11" s="59">
        <f ca="1">AVERAGE(OFFSET($R$3,0,0,'Données projet'!$E$9+1,1))-AVERAGE(OFFSET($H$3,0,0,'Données projet'!$E$9+1,1))</f>
        <v>199.58763537752952</v>
      </c>
      <c r="T11" s="59">
        <f t="shared" si="34"/>
        <v>242.62852778451929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3.05</v>
      </c>
      <c r="AI11" s="13">
        <f>IF('Données projet'!$A$62&gt;35,AI10+AH11-AQ10,IF(A11&lt;'Données projet'!$A$62,$AF$205^A11,IF(A11='Données projet'!$A$62,'Données projet'!$B$62,AI10+AH11-AQ10)))</f>
        <v>5.1776409923985653</v>
      </c>
      <c r="AJ11" s="13">
        <f>AI11*VLOOKUP('Données projet'!$B$10,Paramètres!$A$1:$I$89,3,0)*VLOOKUP('Données projet'!$B$10,Paramètres!$A$1:$I$89,5,0)</f>
        <v>3.0962293134543426</v>
      </c>
      <c r="AK11" s="13">
        <f t="shared" si="35"/>
        <v>1.2509853042775716</v>
      </c>
      <c r="AL11" s="20">
        <f t="shared" si="4"/>
        <v>7.5713987925497506</v>
      </c>
      <c r="AM11" s="59">
        <f t="shared" si="5"/>
        <v>300.90473212588307</v>
      </c>
      <c r="AN11" s="59">
        <f ca="1">AVERAGE(OFFSET($AM$3,0,0,'Données projet'!$E$10+1,1))-AVERAGE(OFFSET($H$3,0,0,'Données projet'!$E$10+1,1))</f>
        <v>287.78657453117694</v>
      </c>
      <c r="AO11" s="59">
        <f t="shared" si="36"/>
        <v>153.31562485362252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3.9923076923076919</v>
      </c>
      <c r="BD11" s="12">
        <f>IF('Données projet'!$A$88&gt;35,BD10+BC11-BL10,IF(A11&lt;'Données projet'!$A$88,$BA$205^A11,IF(A11='Données projet'!$A$88,'Données projet'!$B$88,BD10+BC11-BL10)))</f>
        <v>8.8695477158489275</v>
      </c>
      <c r="BE11" s="13">
        <f>BD11*VLOOKUP('Données projet'!$B$11,Paramètres!$A$1:$I$89,3,0)*VLOOKUP('Données projet'!$B$11,Paramètres!$A$1:$I$89,5,0)</f>
        <v>5.3039895340776599</v>
      </c>
      <c r="BF11" s="13">
        <f t="shared" si="37"/>
        <v>2.0128479696033015</v>
      </c>
      <c r="BG11" s="20">
        <f t="shared" si="7"/>
        <v>12.743491985577675</v>
      </c>
      <c r="BH11" s="59">
        <f t="shared" si="8"/>
        <v>306.07682531891101</v>
      </c>
      <c r="BI11" s="59">
        <f ca="1">AVERAGE(OFFSET($BH$3,0,0,'Données projet'!$E$11+1,1))-AVERAGE(OFFSET($H$3,0,0,'Données projet'!$E$11+1,1))</f>
        <v>250.93905519128998</v>
      </c>
      <c r="BJ11" s="59">
        <f t="shared" si="38"/>
        <v>222.32879462265032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2.3805128205128203</v>
      </c>
      <c r="BY11" s="12">
        <f>IF('Données projet'!$A$114&gt;35,BY10+BX11-CG10,IF(A11&lt;'Données projet'!$A$114,$BV$205^A11,IF(A11='Données projet'!$A$114,'Données projet'!$B$114,BY10+BX11-CG10)))</f>
        <v>6.7319304121702404</v>
      </c>
      <c r="BZ11" s="13">
        <f>BY11*VLOOKUP('Données projet'!$B$12,Paramètres!$A$1:$I$89,3,0)*VLOOKUP('Données projet'!$B$12,Paramètres!$A$1:$I$89,5,0)</f>
        <v>4.0256943864778041</v>
      </c>
      <c r="CA11" s="13">
        <f t="shared" si="39"/>
        <v>1.5775727558271786</v>
      </c>
      <c r="CB11" s="20">
        <f t="shared" si="10"/>
        <v>9.759023606181179</v>
      </c>
      <c r="CC11" s="59">
        <f t="shared" si="11"/>
        <v>303.0923569395145</v>
      </c>
      <c r="CD11" s="59">
        <f ca="1">AVERAGE(OFFSET($CC$3,0,0,'Données projet'!$E$12+1,1))-AVERAGE(OFFSET($H$3,0,0,'Données projet'!$E$12+1,1))</f>
        <v>179.32848817523677</v>
      </c>
      <c r="CE11" s="59">
        <f t="shared" si="40"/>
        <v>131.3292389103035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3.6141025641025637</v>
      </c>
      <c r="CT11" s="12">
        <f>IF('Données projet'!$A$140&gt;35,CT10+CS11-DB10,IF(A11&lt;'Données projet'!$A$140,$CQ$205^A11,IF(A11='Données projet'!$A$140,'Données projet'!$B$140,CT10+CS11-DB10)))</f>
        <v>3.4889852018567837</v>
      </c>
      <c r="CU11" s="17">
        <f>CT11*VLOOKUP('Données projet'!$B$13,Paramètres!$A$1:$I$89,3,0)*VLOOKUP('Données projet'!$B$13,Paramètres!$A$1:$I$89,5,0)</f>
        <v>3.156833810640018</v>
      </c>
      <c r="CV11" s="13">
        <f t="shared" si="41"/>
        <v>1.2725969677420546</v>
      </c>
      <c r="CW11" s="20">
        <f t="shared" si="13"/>
        <v>7.7145919390154418</v>
      </c>
      <c r="CX11" s="59">
        <f t="shared" si="14"/>
        <v>301.04792527234878</v>
      </c>
      <c r="CY11" s="59">
        <f ca="1">AVERAGE(OFFSET($CX$3,0,0,'Données projet'!$E$13+1,1))-AVERAGE(OFFSET($H$3,0,0,'Données projet'!$E$13+1,1))</f>
        <v>309.07357540707869</v>
      </c>
      <c r="CZ11" s="59">
        <f t="shared" si="42"/>
        <v>155.9593924683299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2.2999999999999998</v>
      </c>
      <c r="DO11" s="12">
        <f>IF('Données projet'!$A$166&gt;35,DO10+DN11-DW10,IF(A11&lt;'Données projet'!$A$166,$DL$205^A11,IF(A11='Données projet'!$A$166,'Données projet'!$B$166,DO10+DN11-DW10)))</f>
        <v>12.285201067417038</v>
      </c>
      <c r="DP11" s="17">
        <f>DO11*VLOOKUP('Données projet'!$B$14,Paramètres!$A$1:$I$89,3,0)*VLOOKUP('Données projet'!$B$14,Paramètres!$A$1:$I$89,5,0)</f>
        <v>10.732351652495526</v>
      </c>
      <c r="DQ11" s="13">
        <f t="shared" si="43"/>
        <v>3.7520971385606225</v>
      </c>
      <c r="DR11" s="20">
        <f t="shared" si="16"/>
        <v>25.227081644422793</v>
      </c>
      <c r="DS11" s="59">
        <f t="shared" si="17"/>
        <v>318.56041497775612</v>
      </c>
      <c r="DT11" s="59">
        <f ca="1">AVERAGE(OFFSET($DS$3,0,0,'Données projet'!$E$14+1,1))-AVERAGE(OFFSET($H$3,0,0,'Données projet'!$E$14+1,1))</f>
        <v>210.07838338464626</v>
      </c>
      <c r="DU11" s="59">
        <f t="shared" si="44"/>
        <v>241.76003724236273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5.9</v>
      </c>
      <c r="EJ11" s="12">
        <f>IF('Données projet'!$A$192&gt;35,EJ10+EI11-ER10,IF(A11&lt;'Données projet'!$A$192,$EG$205^A11,IF(A11='Données projet'!$A$192,'Données projet'!$B$192,EJ10+EI11-ER10)))</f>
        <v>6.7414420078053858</v>
      </c>
      <c r="EK11" s="17">
        <f>EJ11*VLOOKUP('Données projet'!$B$15,Paramètres!$A$1:$I$89,3,0)*VLOOKUP('Données projet'!$B$15,Paramètres!$A$1:$I$89,5,0)</f>
        <v>4.2066598128705603</v>
      </c>
      <c r="EL11" s="13">
        <f t="shared" si="45"/>
        <v>1.6400728714398731</v>
      </c>
      <c r="EM11" s="20">
        <f t="shared" si="19"/>
        <v>10.183059425174006</v>
      </c>
      <c r="EN11" s="59">
        <f t="shared" si="20"/>
        <v>303.51639275850732</v>
      </c>
      <c r="EO11" s="59">
        <f ca="1">AVERAGE(OFFSET($EN$3,0,0,'Données projet'!$E$15+1,1))-AVERAGE(OFFSET($H$3,0,0,'Données projet'!$E$15+1,1))</f>
        <v>209.93608079129638</v>
      </c>
      <c r="EP11" s="59">
        <f t="shared" si="46"/>
        <v>240.15652428700969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4.75</v>
      </c>
      <c r="N12" s="13">
        <f>IF('Données projet'!$A$36&gt;35,N11+M12-V11,IF(A12&lt;'Données projet'!$A$36,$K$205^A12,IF(A12='Données projet'!$A$36,'Données projet'!$B$36,N11+M12-V11)))</f>
        <v>7.7620354590201153</v>
      </c>
      <c r="O12" s="13">
        <f>N12*VLOOKUP('Données projet'!$B$9,Paramètres!$A$1:$I$89,3,0)*VLOOKUP('Données projet'!$B$9,Paramètres!$A$1:$I$89,5,0)</f>
        <v>6.1754754111964036</v>
      </c>
      <c r="P12" s="13">
        <f t="shared" si="33"/>
        <v>2.3024405614847958</v>
      </c>
      <c r="Q12" s="20">
        <f t="shared" si="2"/>
        <v>14.765703652419754</v>
      </c>
      <c r="R12" s="59">
        <f t="shared" si="0"/>
        <v>308.09903698575306</v>
      </c>
      <c r="S12" s="59">
        <f ca="1">AVERAGE(OFFSET($R$3,0,0,'Données projet'!$E$9+1,1))-AVERAGE(OFFSET($H$3,0,0,'Données projet'!$E$9+1,1))</f>
        <v>199.58763537752952</v>
      </c>
      <c r="T12" s="59">
        <f t="shared" si="34"/>
        <v>242.62852778451929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3.05</v>
      </c>
      <c r="AI12" s="13">
        <f>IF('Données projet'!$A$62&gt;35,AI11+AH12-AQ11,IF(A12&lt;'Données projet'!$A$62,$AF$205^A12,IF(A12='Données projet'!$A$62,'Données projet'!$B$62,AI11+AH12-AQ11)))</f>
        <v>6.3591405773769374</v>
      </c>
      <c r="AJ12" s="13">
        <f>AI12*VLOOKUP('Données projet'!$B$10,Paramètres!$A$1:$I$89,3,0)*VLOOKUP('Données projet'!$B$10,Paramètres!$A$1:$I$89,5,0)</f>
        <v>3.8027660652714088</v>
      </c>
      <c r="AK12" s="13">
        <f t="shared" si="35"/>
        <v>1.5001271805612109</v>
      </c>
      <c r="AL12" s="20">
        <f t="shared" si="4"/>
        <v>9.2358724031584778</v>
      </c>
      <c r="AM12" s="59">
        <f t="shared" si="5"/>
        <v>302.56920573649177</v>
      </c>
      <c r="AN12" s="59">
        <f ca="1">AVERAGE(OFFSET($AM$3,0,0,'Données projet'!$E$10+1,1))-AVERAGE(OFFSET($H$3,0,0,'Données projet'!$E$10+1,1))</f>
        <v>287.78657453117694</v>
      </c>
      <c r="AO12" s="59">
        <f t="shared" si="36"/>
        <v>153.31562485362252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3.9923076923076919</v>
      </c>
      <c r="BD12" s="12">
        <f>IF('Données projet'!$A$88&gt;35,BD11+BC12-BL11,IF(A12&lt;'Données projet'!$A$88,$BA$205^A12,IF(A12='Données projet'!$A$88,'Données projet'!$B$88,BD11+BC12-BL11)))</f>
        <v>11.651696366705808</v>
      </c>
      <c r="BE12" s="13">
        <f>BD12*VLOOKUP('Données projet'!$B$11,Paramètres!$A$1:$I$89,3,0)*VLOOKUP('Données projet'!$B$11,Paramètres!$A$1:$I$89,5,0)</f>
        <v>6.9677144272900744</v>
      </c>
      <c r="BF12" s="13">
        <f t="shared" si="37"/>
        <v>2.5615727331526612</v>
      </c>
      <c r="BG12" s="20">
        <f t="shared" si="7"/>
        <v>16.596841804437762</v>
      </c>
      <c r="BH12" s="59">
        <f t="shared" si="8"/>
        <v>309.93017513777107</v>
      </c>
      <c r="BI12" s="59">
        <f ca="1">AVERAGE(OFFSET($BH$3,0,0,'Données projet'!$E$11+1,1))-AVERAGE(OFFSET($H$3,0,0,'Données projet'!$E$11+1,1))</f>
        <v>250.93905519128998</v>
      </c>
      <c r="BJ12" s="59">
        <f t="shared" si="38"/>
        <v>222.32879462265032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2.3805128205128203</v>
      </c>
      <c r="BY12" s="12">
        <f>IF('Données projet'!$A$114&gt;35,BY11+BX12-CG11,IF(A12&lt;'Données projet'!$A$114,$BV$205^A12,IF(A12='Données projet'!$A$114,'Données projet'!$B$114,BY11+BX12-CG11)))</f>
        <v>8.5439179746567984</v>
      </c>
      <c r="BZ12" s="13">
        <f>BY12*VLOOKUP('Données projet'!$B$12,Paramètres!$A$1:$I$89,3,0)*VLOOKUP('Données projet'!$B$12,Paramètres!$A$1:$I$89,5,0)</f>
        <v>5.1092629488447656</v>
      </c>
      <c r="CA12" s="13">
        <f t="shared" si="39"/>
        <v>1.9474101011553873</v>
      </c>
      <c r="CB12" s="20">
        <f t="shared" si="10"/>
        <v>12.290372228750266</v>
      </c>
      <c r="CC12" s="59">
        <f t="shared" si="11"/>
        <v>305.62370556208356</v>
      </c>
      <c r="CD12" s="59">
        <f ca="1">AVERAGE(OFFSET($CC$3,0,0,'Données projet'!$E$12+1,1))-AVERAGE(OFFSET($H$3,0,0,'Données projet'!$E$12+1,1))</f>
        <v>179.32848817523677</v>
      </c>
      <c r="CE12" s="59">
        <f t="shared" si="40"/>
        <v>131.3292389103035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3.6141025641025637</v>
      </c>
      <c r="CT12" s="12">
        <f>IF('Données projet'!$A$140&gt;35,CT11+CS12-DB11,IF(A12&lt;'Données projet'!$A$140,$CQ$205^A12,IF(A12='Données projet'!$A$140,'Données projet'!$B$140,CT11+CS12-DB11)))</f>
        <v>4.0788385791853514</v>
      </c>
      <c r="CU12" s="17">
        <f>CT12*VLOOKUP('Données projet'!$B$13,Paramètres!$A$1:$I$89,3,0)*VLOOKUP('Données projet'!$B$13,Paramètres!$A$1:$I$89,5,0)</f>
        <v>3.690533146446906</v>
      </c>
      <c r="CV12" s="13">
        <f t="shared" si="41"/>
        <v>1.4609387306317054</v>
      </c>
      <c r="CW12" s="20">
        <f t="shared" si="13"/>
        <v>8.9721468525785806</v>
      </c>
      <c r="CX12" s="59">
        <f t="shared" si="14"/>
        <v>302.3054801859119</v>
      </c>
      <c r="CY12" s="59">
        <f ca="1">AVERAGE(OFFSET($CX$3,0,0,'Données projet'!$E$13+1,1))-AVERAGE(OFFSET($H$3,0,0,'Données projet'!$E$13+1,1))</f>
        <v>309.07357540707869</v>
      </c>
      <c r="CZ12" s="59">
        <f t="shared" si="42"/>
        <v>155.9593924683299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2.2999999999999998</v>
      </c>
      <c r="DO12" s="12">
        <f>IF('Données projet'!$A$166&gt;35,DO11+DN12-DW11,IF(A12&lt;'Données projet'!$A$166,$DL$205^A12,IF(A12='Données projet'!$A$166,'Données projet'!$B$166,DO11+DN12-DW11)))</f>
        <v>16.809509943796456</v>
      </c>
      <c r="DP12" s="17">
        <f>DO12*VLOOKUP('Données projet'!$B$14,Paramètres!$A$1:$I$89,3,0)*VLOOKUP('Données projet'!$B$14,Paramètres!$A$1:$I$89,5,0)</f>
        <v>14.684787886900585</v>
      </c>
      <c r="DQ12" s="13">
        <f t="shared" si="43"/>
        <v>4.9498990851609408</v>
      </c>
      <c r="DR12" s="20">
        <f t="shared" si="16"/>
        <v>34.197079809673824</v>
      </c>
      <c r="DS12" s="59">
        <f t="shared" si="17"/>
        <v>327.53041314300714</v>
      </c>
      <c r="DT12" s="59">
        <f ca="1">AVERAGE(OFFSET($DS$3,0,0,'Données projet'!$E$14+1,1))-AVERAGE(OFFSET($H$3,0,0,'Données projet'!$E$14+1,1))</f>
        <v>210.07838338464626</v>
      </c>
      <c r="DU12" s="59">
        <f t="shared" si="44"/>
        <v>241.76003724236273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5.9</v>
      </c>
      <c r="EJ12" s="12">
        <f>IF('Données projet'!$A$192&gt;35,EJ11+EI12-ER11,IF(A12&lt;'Données projet'!$A$192,$EG$205^A12,IF(A12='Données projet'!$A$192,'Données projet'!$B$192,EJ11+EI12-ER11)))</f>
        <v>8.5574999108937213</v>
      </c>
      <c r="EK12" s="17">
        <f>EJ12*VLOOKUP('Données projet'!$B$15,Paramètres!$A$1:$I$89,3,0)*VLOOKUP('Données projet'!$B$15,Paramètres!$A$1:$I$89,5,0)</f>
        <v>5.3398799443976825</v>
      </c>
      <c r="EL12" s="13">
        <f t="shared" si="45"/>
        <v>2.0248781407951277</v>
      </c>
      <c r="EM12" s="20">
        <f t="shared" si="19"/>
        <v>12.826953665044144</v>
      </c>
      <c r="EN12" s="59">
        <f t="shared" si="20"/>
        <v>306.16028699837744</v>
      </c>
      <c r="EO12" s="59">
        <f ca="1">AVERAGE(OFFSET($EN$3,0,0,'Données projet'!$E$15+1,1))-AVERAGE(OFFSET($H$3,0,0,'Données projet'!$E$15+1,1))</f>
        <v>209.93608079129638</v>
      </c>
      <c r="EP12" s="59">
        <f t="shared" si="46"/>
        <v>240.15652428700969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4.75</v>
      </c>
      <c r="N13" s="13">
        <f>IF('Données projet'!$A$36&gt;35,N12+M13-V12,IF(A13&lt;'Données projet'!$A$36,$K$205^A13,IF(A13='Données projet'!$A$36,'Données projet'!$B$36,N12+M13-V12)))</f>
        <v>9.7467943448089507</v>
      </c>
      <c r="O13" s="13">
        <f>N13*VLOOKUP('Données projet'!$B$9,Paramètres!$A$1:$I$89,3,0)*VLOOKUP('Données projet'!$B$9,Paramètres!$A$1:$I$89,5,0)</f>
        <v>7.7545495807300009</v>
      </c>
      <c r="P13" s="13">
        <f t="shared" si="33"/>
        <v>2.815556562271968</v>
      </c>
      <c r="Q13" s="20">
        <f t="shared" si="2"/>
        <v>18.409601532395097</v>
      </c>
      <c r="R13" s="59">
        <f t="shared" si="0"/>
        <v>311.74293486572839</v>
      </c>
      <c r="S13" s="59">
        <f ca="1">AVERAGE(OFFSET($R$3,0,0,'Données projet'!$E$9+1,1))-AVERAGE(OFFSET($H$3,0,0,'Données projet'!$E$9+1,1))</f>
        <v>199.58763537752952</v>
      </c>
      <c r="T13" s="59">
        <f t="shared" si="34"/>
        <v>242.62852778451929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3.05</v>
      </c>
      <c r="AI13" s="13">
        <f>IF('Données projet'!$A$62&gt;35,AI12+AH13-AQ12,IF(A13&lt;'Données projet'!$A$62,$AF$205^A13,IF(A13='Données projet'!$A$62,'Données projet'!$B$62,AI12+AH13-AQ12)))</f>
        <v>7.8102496759066504</v>
      </c>
      <c r="AJ13" s="13">
        <f>AI13*VLOOKUP('Données projet'!$B$10,Paramètres!$A$1:$I$89,3,0)*VLOOKUP('Données projet'!$B$10,Paramètres!$A$1:$I$89,5,0)</f>
        <v>4.6705293061921775</v>
      </c>
      <c r="AK13" s="13">
        <f t="shared" si="35"/>
        <v>1.7988872852172275</v>
      </c>
      <c r="AL13" s="20">
        <f t="shared" si="4"/>
        <v>11.267567230038047</v>
      </c>
      <c r="AM13" s="59">
        <f t="shared" si="5"/>
        <v>304.60090056337134</v>
      </c>
      <c r="AN13" s="59">
        <f ca="1">AVERAGE(OFFSET($AM$3,0,0,'Données projet'!$E$10+1,1))-AVERAGE(OFFSET($H$3,0,0,'Données projet'!$E$10+1,1))</f>
        <v>287.78657453117694</v>
      </c>
      <c r="AO13" s="59">
        <f t="shared" si="36"/>
        <v>153.31562485362252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3.9923076923076919</v>
      </c>
      <c r="BD13" s="12">
        <f>IF('Données projet'!$A$88&gt;35,BD12+BC13-BL12,IF(A13&lt;'Données projet'!$A$88,$BA$205^A13,IF(A13='Données projet'!$A$88,'Données projet'!$B$88,BD12+BC13-BL12)))</f>
        <v>15.306533384933841</v>
      </c>
      <c r="BE13" s="13">
        <f>BD13*VLOOKUP('Données projet'!$B$11,Paramètres!$A$1:$I$89,3,0)*VLOOKUP('Données projet'!$B$11,Paramètres!$A$1:$I$89,5,0)</f>
        <v>9.1533069641904365</v>
      </c>
      <c r="BF13" s="13">
        <f t="shared" si="37"/>
        <v>3.2598859756528897</v>
      </c>
      <c r="BG13" s="20">
        <f t="shared" si="7"/>
        <v>21.619644370227132</v>
      </c>
      <c r="BH13" s="59">
        <f t="shared" si="8"/>
        <v>314.95297770356046</v>
      </c>
      <c r="BI13" s="59">
        <f ca="1">AVERAGE(OFFSET($BH$3,0,0,'Données projet'!$E$11+1,1))-AVERAGE(OFFSET($H$3,0,0,'Données projet'!$E$11+1,1))</f>
        <v>250.93905519128998</v>
      </c>
      <c r="BJ13" s="59">
        <f t="shared" si="38"/>
        <v>222.32879462265032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2.3805128205128203</v>
      </c>
      <c r="BY13" s="12">
        <f>IF('Données projet'!$A$114&gt;35,BY12+BX13-CG12,IF(A13&lt;'Données projet'!$A$114,$BV$205^A13,IF(A13='Données projet'!$A$114,'Données projet'!$B$114,BY12+BX13-CG12)))</f>
        <v>10.843625808385362</v>
      </c>
      <c r="BZ13" s="13">
        <f>BY13*VLOOKUP('Données projet'!$B$12,Paramètres!$A$1:$I$89,3,0)*VLOOKUP('Données projet'!$B$12,Paramètres!$A$1:$I$89,5,0)</f>
        <v>6.4844882334144467</v>
      </c>
      <c r="CA13" s="13">
        <f t="shared" si="39"/>
        <v>2.4039500479922649</v>
      </c>
      <c r="CB13" s="20">
        <f t="shared" si="10"/>
        <v>15.480696673450021</v>
      </c>
      <c r="CC13" s="59">
        <f t="shared" si="11"/>
        <v>308.81403000678336</v>
      </c>
      <c r="CD13" s="59">
        <f ca="1">AVERAGE(OFFSET($CC$3,0,0,'Données projet'!$E$12+1,1))-AVERAGE(OFFSET($H$3,0,0,'Données projet'!$E$12+1,1))</f>
        <v>179.32848817523677</v>
      </c>
      <c r="CE13" s="59">
        <f t="shared" si="40"/>
        <v>131.3292389103035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3.6141025641025637</v>
      </c>
      <c r="CT13" s="12">
        <f>IF('Données projet'!$A$140&gt;35,CT12+CS13-DB12,IF(A13&lt;'Données projet'!$A$140,$CQ$205^A13,IF(A13='Données projet'!$A$140,'Données projet'!$B$140,CT12+CS13-DB12)))</f>
        <v>4.7684135049345766</v>
      </c>
      <c r="CU13" s="17">
        <f>CT13*VLOOKUP('Données projet'!$B$13,Paramètres!$A$1:$I$89,3,0)*VLOOKUP('Données projet'!$B$13,Paramètres!$A$1:$I$89,5,0)</f>
        <v>4.3144605392648048</v>
      </c>
      <c r="CV13" s="13">
        <f t="shared" si="41"/>
        <v>1.677154691360536</v>
      </c>
      <c r="CW13" s="20">
        <f t="shared" si="13"/>
        <v>10.435396526672468</v>
      </c>
      <c r="CX13" s="59">
        <f t="shared" si="14"/>
        <v>303.76872986000581</v>
      </c>
      <c r="CY13" s="59">
        <f ca="1">AVERAGE(OFFSET($CX$3,0,0,'Données projet'!$E$13+1,1))-AVERAGE(OFFSET($H$3,0,0,'Données projet'!$E$13+1,1))</f>
        <v>309.07357540707869</v>
      </c>
      <c r="CZ13" s="59">
        <f t="shared" si="42"/>
        <v>155.9593924683299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>
        <f>VLOOKUP(A13,'Données projet'!$A$165:$I$185,2,0)</f>
        <v>23</v>
      </c>
      <c r="DM13" s="12">
        <f>VLOOKUP(A13,'Données projet'!$A$165:$I$185,9,0)</f>
        <v>2.2999999999999998</v>
      </c>
      <c r="DN13" s="12">
        <f t="array" ref="DN13">INDEX(DM:DM,MIN(IF(ISNUMBER(DM13:DM209),ROW(DM13:DM209),"")))</f>
        <v>2.2999999999999998</v>
      </c>
      <c r="DO13" s="12">
        <f>IF('Données projet'!$A$166&gt;35,DO12+DN13-DW12,IF(A13&lt;'Données projet'!$A$166,$DL$205^A13,IF(A13='Données projet'!$A$166,'Données projet'!$B$166,DO12+DN13-DW12)))</f>
        <v>23</v>
      </c>
      <c r="DP13" s="17">
        <f>DO13*VLOOKUP('Données projet'!$B$14,Paramètres!$A$1:$I$89,3,0)*VLOOKUP('Données projet'!$B$14,Paramètres!$A$1:$I$89,5,0)</f>
        <v>20.0928</v>
      </c>
      <c r="DQ13" s="13">
        <f t="shared" si="43"/>
        <v>6.5300817245569407</v>
      </c>
      <c r="DR13" s="20">
        <f t="shared" si="16"/>
        <v>46.368185670270002</v>
      </c>
      <c r="DS13" s="59">
        <f t="shared" si="17"/>
        <v>339.70151900360332</v>
      </c>
      <c r="DT13" s="59">
        <f ca="1">AVERAGE(OFFSET($DS$3,0,0,'Données projet'!$E$14+1,1))-AVERAGE(OFFSET($H$3,0,0,'Données projet'!$E$14+1,1))</f>
        <v>210.07838338464626</v>
      </c>
      <c r="DU13" s="59">
        <f t="shared" si="44"/>
        <v>241.76003724236273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5.9</v>
      </c>
      <c r="EJ13" s="12">
        <f>IF('Données projet'!$A$192&gt;35,EJ12+EI13-ER12,IF(A13&lt;'Données projet'!$A$192,$EG$205^A13,IF(A13='Données projet'!$A$192,'Données projet'!$B$192,EJ12+EI13-ER12)))</f>
        <v>10.862780491200228</v>
      </c>
      <c r="EK13" s="17">
        <f>EJ13*VLOOKUP('Données projet'!$B$15,Paramètres!$A$1:$I$89,3,0)*VLOOKUP('Données projet'!$B$15,Paramètres!$A$1:$I$89,5,0)</f>
        <v>6.7783750265089431</v>
      </c>
      <c r="EL13" s="13">
        <f t="shared" si="45"/>
        <v>2.4999690906845462</v>
      </c>
      <c r="EM13" s="20">
        <f t="shared" si="19"/>
        <v>16.159782670778661</v>
      </c>
      <c r="EN13" s="59">
        <f t="shared" si="20"/>
        <v>309.49311600411198</v>
      </c>
      <c r="EO13" s="59">
        <f ca="1">AVERAGE(OFFSET($EN$3,0,0,'Données projet'!$E$15+1,1))-AVERAGE(OFFSET($H$3,0,0,'Données projet'!$E$15+1,1))</f>
        <v>209.93608079129638</v>
      </c>
      <c r="EP13" s="59">
        <f t="shared" si="46"/>
        <v>240.15652428700969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4.75</v>
      </c>
      <c r="N14" s="13">
        <f>IF('Données projet'!$A$36&gt;35,N13+M14-V13,IF(A14&lt;'Données projet'!$A$36,$K$205^A14,IF(A14='Données projet'!$A$36,'Données projet'!$B$36,N13+M14-V13)))</f>
        <v>12.239057719016479</v>
      </c>
      <c r="O14" s="13">
        <f>N14*VLOOKUP('Données projet'!$B$9,Paramètres!$A$1:$I$89,3,0)*VLOOKUP('Données projet'!$B$9,Paramètres!$A$1:$I$89,5,0)</f>
        <v>9.7373943212495124</v>
      </c>
      <c r="P14" s="13">
        <f t="shared" si="33"/>
        <v>3.4430242795238799</v>
      </c>
      <c r="Q14" s="20">
        <f t="shared" si="2"/>
        <v>22.955895729680325</v>
      </c>
      <c r="R14" s="59">
        <f t="shared" si="0"/>
        <v>316.28922906301364</v>
      </c>
      <c r="S14" s="59">
        <f ca="1">AVERAGE(OFFSET($R$3,0,0,'Données projet'!$E$9+1,1))-AVERAGE(OFFSET($H$3,0,0,'Données projet'!$E$9+1,1))</f>
        <v>199.58763537752952</v>
      </c>
      <c r="T14" s="59">
        <f t="shared" si="34"/>
        <v>242.62852778451929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3.05</v>
      </c>
      <c r="AI14" s="13">
        <f>IF('Données projet'!$A$62&gt;35,AI13+AH14-AQ13,IF(A14&lt;'Données projet'!$A$62,$AF$205^A14,IF(A14='Données projet'!$A$62,'Données projet'!$B$62,AI13+AH14-AQ13)))</f>
        <v>9.5924911955888295</v>
      </c>
      <c r="AJ14" s="13">
        <f>AI14*VLOOKUP('Données projet'!$B$10,Paramètres!$A$1:$I$89,3,0)*VLOOKUP('Données projet'!$B$10,Paramètres!$A$1:$I$89,5,0)</f>
        <v>5.7363097349621208</v>
      </c>
      <c r="AK14" s="13">
        <f t="shared" si="35"/>
        <v>2.1571474117985066</v>
      </c>
      <c r="AL14" s="20">
        <f t="shared" si="4"/>
        <v>13.747771197274758</v>
      </c>
      <c r="AM14" s="59">
        <f t="shared" si="5"/>
        <v>307.08110453060806</v>
      </c>
      <c r="AN14" s="59">
        <f ca="1">AVERAGE(OFFSET($AM$3,0,0,'Données projet'!$E$10+1,1))-AVERAGE(OFFSET($H$3,0,0,'Données projet'!$E$10+1,1))</f>
        <v>287.78657453117694</v>
      </c>
      <c r="AO14" s="59">
        <f t="shared" si="36"/>
        <v>153.31562485362252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3.9923076923076919</v>
      </c>
      <c r="BD14" s="12">
        <f>IF('Données projet'!$A$88&gt;35,BD13+BC14-BL13,IF(A14&lt;'Données projet'!$A$88,$BA$205^A14,IF(A14='Données projet'!$A$88,'Données projet'!$B$88,BD13+BC14-BL13)))</f>
        <v>20.107798632100231</v>
      </c>
      <c r="BE14" s="13">
        <f>BD14*VLOOKUP('Données projet'!$B$11,Paramètres!$A$1:$I$89,3,0)*VLOOKUP('Données projet'!$B$11,Paramètres!$A$1:$I$89,5,0)</f>
        <v>12.024463581995938</v>
      </c>
      <c r="BF14" s="13">
        <f t="shared" si="37"/>
        <v>4.1485671816858272</v>
      </c>
      <c r="BG14" s="20">
        <f t="shared" si="7"/>
        <v>28.168028580079078</v>
      </c>
      <c r="BH14" s="59">
        <f t="shared" si="8"/>
        <v>321.50136191341238</v>
      </c>
      <c r="BI14" s="59">
        <f ca="1">AVERAGE(OFFSET($BH$3,0,0,'Données projet'!$E$11+1,1))-AVERAGE(OFFSET($H$3,0,0,'Données projet'!$E$11+1,1))</f>
        <v>250.93905519128998</v>
      </c>
      <c r="BJ14" s="59">
        <f t="shared" si="38"/>
        <v>222.32879462265032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2.3805128205128203</v>
      </c>
      <c r="BY14" s="12">
        <f>IF('Données projet'!$A$114&gt;35,BY13+BX14-CG13,IF(A14&lt;'Données projet'!$A$114,$BV$205^A14,IF(A14='Données projet'!$A$114,'Données projet'!$B$114,BY13+BX14-CG13)))</f>
        <v>13.762330235503498</v>
      </c>
      <c r="BZ14" s="13">
        <f>BY14*VLOOKUP('Données projet'!$B$12,Paramètres!$A$1:$I$89,3,0)*VLOOKUP('Données projet'!$B$12,Paramètres!$A$1:$I$89,5,0)</f>
        <v>8.2298734808310936</v>
      </c>
      <c r="CA14" s="13">
        <f t="shared" si="39"/>
        <v>2.9675186699572826</v>
      </c>
      <c r="CB14" s="20">
        <f t="shared" si="10"/>
        <v>19.502124662623089</v>
      </c>
      <c r="CC14" s="59">
        <f t="shared" si="11"/>
        <v>312.8354579959564</v>
      </c>
      <c r="CD14" s="59">
        <f ca="1">AVERAGE(OFFSET($CC$3,0,0,'Données projet'!$E$12+1,1))-AVERAGE(OFFSET($H$3,0,0,'Données projet'!$E$12+1,1))</f>
        <v>179.32848817523677</v>
      </c>
      <c r="CE14" s="59">
        <f t="shared" si="40"/>
        <v>131.3292389103035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3.6141025641025637</v>
      </c>
      <c r="CT14" s="12">
        <f>IF('Données projet'!$A$140&gt;35,CT13+CS14-DB13,IF(A14&lt;'Données projet'!$A$140,$CQ$205^A14,IF(A14='Données projet'!$A$140,'Données projet'!$B$140,CT13+CS14-DB13)))</f>
        <v>5.5745690623980924</v>
      </c>
      <c r="CU14" s="17">
        <f>CT14*VLOOKUP('Données projet'!$B$13,Paramètres!$A$1:$I$89,3,0)*VLOOKUP('Données projet'!$B$13,Paramètres!$A$1:$I$89,5,0)</f>
        <v>5.043870087657794</v>
      </c>
      <c r="CV14" s="13">
        <f t="shared" si="41"/>
        <v>1.9253701745153864</v>
      </c>
      <c r="CW14" s="20">
        <f t="shared" si="13"/>
        <v>12.138093456618288</v>
      </c>
      <c r="CX14" s="59">
        <f t="shared" si="14"/>
        <v>305.47142678995158</v>
      </c>
      <c r="CY14" s="59">
        <f ca="1">AVERAGE(OFFSET($CX$3,0,0,'Données projet'!$E$13+1,1))-AVERAGE(OFFSET($H$3,0,0,'Données projet'!$E$13+1,1))</f>
        <v>309.07357540707869</v>
      </c>
      <c r="CZ14" s="59">
        <f t="shared" si="42"/>
        <v>155.9593924683299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7.4</v>
      </c>
      <c r="DO14" s="12">
        <f>IF('Données projet'!$A$166&gt;35,DO13+DN14-DW13,IF(A14&lt;'Données projet'!$A$166,$DL$205^A14,IF(A14='Données projet'!$A$166,'Données projet'!$B$166,DO13+DN14-DW13)))</f>
        <v>30.4</v>
      </c>
      <c r="DP14" s="17">
        <f>DO14*VLOOKUP('Données projet'!$B$14,Paramètres!$A$1:$I$89,3,0)*VLOOKUP('Données projet'!$B$14,Paramètres!$A$1:$I$89,5,0)</f>
        <v>26.557440000000003</v>
      </c>
      <c r="DQ14" s="13">
        <f t="shared" si="43"/>
        <v>8.3553182981993483</v>
      </c>
      <c r="DR14" s="20">
        <f t="shared" si="16"/>
        <v>60.806387369363868</v>
      </c>
      <c r="DS14" s="59">
        <f t="shared" si="17"/>
        <v>354.13972070269716</v>
      </c>
      <c r="DT14" s="59">
        <f ca="1">AVERAGE(OFFSET($DS$3,0,0,'Données projet'!$E$14+1,1))-AVERAGE(OFFSET($H$3,0,0,'Données projet'!$E$14+1,1))</f>
        <v>210.07838338464626</v>
      </c>
      <c r="DU14" s="59">
        <f t="shared" si="44"/>
        <v>241.76003724236273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5.9</v>
      </c>
      <c r="EJ14" s="12">
        <f>IF('Données projet'!$A$192&gt;35,EJ13+EI14-ER13,IF(A14&lt;'Données projet'!$A$192,$EG$205^A14,IF(A14='Données projet'!$A$192,'Données projet'!$B$192,EJ13+EI14-ER13)))</f>
        <v>13.789074055354174</v>
      </c>
      <c r="EK14" s="17">
        <f>EJ14*VLOOKUP('Données projet'!$B$15,Paramètres!$A$1:$I$89,3,0)*VLOOKUP('Données projet'!$B$15,Paramètres!$A$1:$I$89,5,0)</f>
        <v>8.6043822105410044</v>
      </c>
      <c r="EL14" s="13">
        <f t="shared" si="45"/>
        <v>3.0865291735155624</v>
      </c>
      <c r="EM14" s="20">
        <f t="shared" si="19"/>
        <v>20.361670660565185</v>
      </c>
      <c r="EN14" s="59">
        <f t="shared" si="20"/>
        <v>313.69500399389852</v>
      </c>
      <c r="EO14" s="59">
        <f ca="1">AVERAGE(OFFSET($EN$3,0,0,'Données projet'!$E$15+1,1))-AVERAGE(OFFSET($H$3,0,0,'Données projet'!$E$15+1,1))</f>
        <v>209.93608079129638</v>
      </c>
      <c r="EP14" s="59">
        <f t="shared" si="46"/>
        <v>240.15652428700969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4.75</v>
      </c>
      <c r="N15" s="13">
        <f>IF('Données projet'!$A$36&gt;35,N14+M15-V14,IF(A15&lt;'Données projet'!$A$36,$K$205^A15,IF(A15='Données projet'!$A$36,'Données projet'!$B$36,N14+M15-V14)))</f>
        <v>15.368594899018873</v>
      </c>
      <c r="O15" s="13">
        <f>N15*VLOOKUP('Données projet'!$B$9,Paramètres!$A$1:$I$89,3,0)*VLOOKUP('Données projet'!$B$9,Paramètres!$A$1:$I$89,5,0)</f>
        <v>12.227254101659417</v>
      </c>
      <c r="P15" s="13">
        <f t="shared" si="33"/>
        <v>4.2103278436094334</v>
      </c>
      <c r="Q15" s="20">
        <f t="shared" si="2"/>
        <v>28.628788554676579</v>
      </c>
      <c r="R15" s="59">
        <f t="shared" si="0"/>
        <v>321.9621218880099</v>
      </c>
      <c r="S15" s="59">
        <f ca="1">AVERAGE(OFFSET($R$3,0,0,'Données projet'!$E$9+1,1))-AVERAGE(OFFSET($H$3,0,0,'Données projet'!$E$9+1,1))</f>
        <v>199.58763537752952</v>
      </c>
      <c r="T15" s="59">
        <f t="shared" si="34"/>
        <v>242.62852778451929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3.05</v>
      </c>
      <c r="AI15" s="13">
        <f>IF('Données projet'!$A$62&gt;35,AI14+AH15-AQ14,IF(A15&lt;'Données projet'!$A$62,$AF$205^A15,IF(A15='Données projet'!$A$62,'Données projet'!$B$62,AI14+AH15-AQ14)))</f>
        <v>11.781427118943874</v>
      </c>
      <c r="AJ15" s="13">
        <f>AI15*VLOOKUP('Données projet'!$B$10,Paramètres!$A$1:$I$89,3,0)*VLOOKUP('Données projet'!$B$10,Paramètres!$A$1:$I$89,5,0)</f>
        <v>7.0452934171284367</v>
      </c>
      <c r="AK15" s="13">
        <f t="shared" si="35"/>
        <v>2.5867573774457355</v>
      </c>
      <c r="AL15" s="20">
        <f t="shared" si="4"/>
        <v>16.77582180055002</v>
      </c>
      <c r="AM15" s="59">
        <f t="shared" si="5"/>
        <v>310.10915513388335</v>
      </c>
      <c r="AN15" s="59">
        <f ca="1">AVERAGE(OFFSET($AM$3,0,0,'Données projet'!$E$10+1,1))-AVERAGE(OFFSET($H$3,0,0,'Données projet'!$E$10+1,1))</f>
        <v>287.78657453117694</v>
      </c>
      <c r="AO15" s="59">
        <f t="shared" si="36"/>
        <v>153.31562485362252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3.9923076923076919</v>
      </c>
      <c r="BD15" s="12">
        <f>IF('Données projet'!$A$88&gt;35,BD14+BC15-BL14,IF(A15&lt;'Données projet'!$A$88,$BA$205^A15,IF(A15='Données projet'!$A$88,'Données projet'!$B$88,BD14+BC15-BL14)))</f>
        <v>26.415097113175602</v>
      </c>
      <c r="BE15" s="13">
        <f>BD15*VLOOKUP('Données projet'!$B$11,Paramètres!$A$1:$I$89,3,0)*VLOOKUP('Données projet'!$B$11,Paramètres!$A$1:$I$89,5,0)</f>
        <v>15.796228073679012</v>
      </c>
      <c r="BF15" s="13">
        <f t="shared" si="37"/>
        <v>5.2795127772877821</v>
      </c>
      <c r="BG15" s="20">
        <f t="shared" si="7"/>
        <v>36.706915315433839</v>
      </c>
      <c r="BH15" s="59">
        <f t="shared" si="8"/>
        <v>330.04024864876715</v>
      </c>
      <c r="BI15" s="59">
        <f ca="1">AVERAGE(OFFSET($BH$3,0,0,'Données projet'!$E$11+1,1))-AVERAGE(OFFSET($H$3,0,0,'Données projet'!$E$11+1,1))</f>
        <v>250.93905519128998</v>
      </c>
      <c r="BJ15" s="59">
        <f t="shared" si="38"/>
        <v>222.32879462265032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2.3805128205128203</v>
      </c>
      <c r="BY15" s="12">
        <f>IF('Données projet'!$A$114&gt;35,BY14+BX15-CG14,IF(A15&lt;'Données projet'!$A$114,$BV$205^A15,IF(A15='Données projet'!$A$114,'Données projet'!$B$114,BY14+BX15-CG14)))</f>
        <v>17.466642325908158</v>
      </c>
      <c r="BZ15" s="13">
        <f>BY15*VLOOKUP('Données projet'!$B$12,Paramètres!$A$1:$I$89,3,0)*VLOOKUP('Données projet'!$B$12,Paramètres!$A$1:$I$89,5,0)</f>
        <v>10.44505211089308</v>
      </c>
      <c r="CA15" s="13">
        <f t="shared" si="39"/>
        <v>3.6632071718377808</v>
      </c>
      <c r="CB15" s="20">
        <f t="shared" si="10"/>
        <v>24.571884917422917</v>
      </c>
      <c r="CC15" s="59">
        <f t="shared" si="11"/>
        <v>317.90521825075621</v>
      </c>
      <c r="CD15" s="59">
        <f ca="1">AVERAGE(OFFSET($CC$3,0,0,'Données projet'!$E$12+1,1))-AVERAGE(OFFSET($H$3,0,0,'Données projet'!$E$12+1,1))</f>
        <v>179.32848817523677</v>
      </c>
      <c r="CE15" s="59">
        <f t="shared" si="40"/>
        <v>131.3292389103035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3.6141025641025637</v>
      </c>
      <c r="CT15" s="12">
        <f>IF('Données projet'!$A$140&gt;35,CT14+CS15-DB14,IF(A15&lt;'Données projet'!$A$140,$CQ$205^A15,IF(A15='Données projet'!$A$140,'Données projet'!$B$140,CT14+CS15-DB14)))</f>
        <v>6.5170145582565855</v>
      </c>
      <c r="CU15" s="17">
        <f>CT15*VLOOKUP('Données projet'!$B$13,Paramètres!$A$1:$I$89,3,0)*VLOOKUP('Données projet'!$B$13,Paramètres!$A$1:$I$89,5,0)</f>
        <v>5.896594772310559</v>
      </c>
      <c r="CV15" s="13">
        <f t="shared" si="41"/>
        <v>2.21032104433145</v>
      </c>
      <c r="CW15" s="20">
        <f t="shared" si="13"/>
        <v>14.119545047318164</v>
      </c>
      <c r="CX15" s="59">
        <f t="shared" si="14"/>
        <v>307.4528783806515</v>
      </c>
      <c r="CY15" s="59">
        <f ca="1">AVERAGE(OFFSET($CX$3,0,0,'Données projet'!$E$13+1,1))-AVERAGE(OFFSET($H$3,0,0,'Données projet'!$E$13+1,1))</f>
        <v>309.07357540707869</v>
      </c>
      <c r="CZ15" s="59">
        <f t="shared" si="42"/>
        <v>155.9593924683299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7.4</v>
      </c>
      <c r="DO15" s="12">
        <f>IF('Données projet'!$A$166&gt;35,DO14+DN15-DW14,IF(A15&lt;'Données projet'!$A$166,$DL$205^A15,IF(A15='Données projet'!$A$166,'Données projet'!$B$166,DO14+DN15-DW14)))</f>
        <v>37.799999999999997</v>
      </c>
      <c r="DP15" s="17">
        <f>DO15*VLOOKUP('Données projet'!$B$14,Paramètres!$A$1:$I$89,3,0)*VLOOKUP('Données projet'!$B$14,Paramètres!$A$1:$I$89,5,0)</f>
        <v>33.022080000000003</v>
      </c>
      <c r="DQ15" s="13">
        <f t="shared" si="43"/>
        <v>10.129025278332465</v>
      </c>
      <c r="DR15" s="20">
        <f t="shared" si="16"/>
        <v>75.154841693095705</v>
      </c>
      <c r="DS15" s="59">
        <f t="shared" si="17"/>
        <v>368.48817502642902</v>
      </c>
      <c r="DT15" s="59">
        <f ca="1">AVERAGE(OFFSET($DS$3,0,0,'Données projet'!$E$14+1,1))-AVERAGE(OFFSET($H$3,0,0,'Données projet'!$E$14+1,1))</f>
        <v>210.07838338464626</v>
      </c>
      <c r="DU15" s="59">
        <f t="shared" si="44"/>
        <v>241.76003724236273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5.9</v>
      </c>
      <c r="EJ15" s="12">
        <f>IF('Données projet'!$A$192&gt;35,EJ14+EI15-ER14,IF(A15&lt;'Données projet'!$A$192,$EG$205^A15,IF(A15='Données projet'!$A$192,'Données projet'!$B$192,EJ14+EI15-ER14)))</f>
        <v>17.503673526135408</v>
      </c>
      <c r="EK15" s="17">
        <f>EJ15*VLOOKUP('Données projet'!$B$15,Paramètres!$A$1:$I$89,3,0)*VLOOKUP('Données projet'!$B$15,Paramètres!$A$1:$I$89,5,0)</f>
        <v>10.922292280308493</v>
      </c>
      <c r="EL15" s="13">
        <f t="shared" si="45"/>
        <v>3.8107120501854101</v>
      </c>
      <c r="EM15" s="20">
        <f t="shared" si="19"/>
        <v>25.659982542276879</v>
      </c>
      <c r="EN15" s="59">
        <f t="shared" si="20"/>
        <v>318.99331587561016</v>
      </c>
      <c r="EO15" s="59">
        <f ca="1">AVERAGE(OFFSET($EN$3,0,0,'Données projet'!$E$15+1,1))-AVERAGE(OFFSET($H$3,0,0,'Données projet'!$E$15+1,1))</f>
        <v>209.93608079129638</v>
      </c>
      <c r="EP15" s="59">
        <f t="shared" si="46"/>
        <v>240.15652428700969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4.75</v>
      </c>
      <c r="N16" s="13">
        <f>IF('Données projet'!$A$36&gt;35,N15+M16-V15,IF(A16&lt;'Données projet'!$A$36,$K$205^A16,IF(A16='Données projet'!$A$36,'Données projet'!$B$36,N15+M16-V15)))</f>
        <v>19.298357323959845</v>
      </c>
      <c r="O16" s="13">
        <f>N16*VLOOKUP('Données projet'!$B$9,Paramètres!$A$1:$I$89,3,0)*VLOOKUP('Données projet'!$B$9,Paramètres!$A$1:$I$89,5,0)</f>
        <v>15.353773086942452</v>
      </c>
      <c r="P16" s="13">
        <f t="shared" si="33"/>
        <v>5.1486307128581252</v>
      </c>
      <c r="Q16" s="20">
        <f t="shared" si="2"/>
        <v>35.708353284652667</v>
      </c>
      <c r="R16" s="59">
        <f t="shared" si="0"/>
        <v>329.04168661798599</v>
      </c>
      <c r="S16" s="59">
        <f ca="1">AVERAGE(OFFSET($R$3,0,0,'Données projet'!$E$9+1,1))-AVERAGE(OFFSET($H$3,0,0,'Données projet'!$E$9+1,1))</f>
        <v>199.58763537752952</v>
      </c>
      <c r="T16" s="59">
        <f t="shared" si="34"/>
        <v>242.62852778451929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3.05</v>
      </c>
      <c r="AI16" s="13">
        <f>IF('Données projet'!$A$62&gt;35,AI15+AH16-AQ15,IF(A16&lt;'Données projet'!$A$62,$AF$205^A16,IF(A16='Données projet'!$A$62,'Données projet'!$B$62,AI15+AH16-AQ15)))</f>
        <v>14.46986211702912</v>
      </c>
      <c r="AJ16" s="13">
        <f>AI16*VLOOKUP('Données projet'!$B$10,Paramètres!$A$1:$I$89,3,0)*VLOOKUP('Données projet'!$B$10,Paramètres!$A$1:$I$89,5,0)</f>
        <v>8.6529775459834131</v>
      </c>
      <c r="AK16" s="13">
        <f t="shared" si="35"/>
        <v>3.1019269676109449</v>
      </c>
      <c r="AL16" s="20">
        <f t="shared" si="4"/>
        <v>20.473125361176837</v>
      </c>
      <c r="AM16" s="59">
        <f t="shared" si="5"/>
        <v>313.80645869451013</v>
      </c>
      <c r="AN16" s="59">
        <f ca="1">AVERAGE(OFFSET($AM$3,0,0,'Données projet'!$E$10+1,1))-AVERAGE(OFFSET($H$3,0,0,'Données projet'!$E$10+1,1))</f>
        <v>287.78657453117694</v>
      </c>
      <c r="AO16" s="59">
        <f t="shared" si="36"/>
        <v>153.31562485362252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3.9923076923076919</v>
      </c>
      <c r="BD16" s="12">
        <f>IF('Données projet'!$A$88&gt;35,BD15+BC16-BL15,IF(A16&lt;'Données projet'!$A$88,$BA$205^A16,IF(A16='Données projet'!$A$88,'Données projet'!$B$88,BD15+BC16-BL15)))</f>
        <v>34.700832660249205</v>
      </c>
      <c r="BE16" s="13">
        <f>BD16*VLOOKUP('Données projet'!$B$11,Paramètres!$A$1:$I$89,3,0)*VLOOKUP('Données projet'!$B$11,Paramètres!$A$1:$I$89,5,0)</f>
        <v>20.751097930829026</v>
      </c>
      <c r="BF16" s="13">
        <f t="shared" si="37"/>
        <v>6.7187667319438882</v>
      </c>
      <c r="BG16" s="20">
        <f t="shared" si="7"/>
        <v>47.843347620996155</v>
      </c>
      <c r="BH16" s="59">
        <f t="shared" si="8"/>
        <v>341.17668095432947</v>
      </c>
      <c r="BI16" s="59">
        <f ca="1">AVERAGE(OFFSET($BH$3,0,0,'Données projet'!$E$11+1,1))-AVERAGE(OFFSET($H$3,0,0,'Données projet'!$E$11+1,1))</f>
        <v>250.93905519128998</v>
      </c>
      <c r="BJ16" s="59">
        <f t="shared" si="38"/>
        <v>222.32879462265032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2.3805128205128203</v>
      </c>
      <c r="BY16" s="12">
        <f>IF('Données projet'!$A$114&gt;35,BY15+BX16-CG15,IF(A16&lt;'Données projet'!$A$114,$BV$205^A16,IF(A16='Données projet'!$A$114,'Données projet'!$B$114,BY15+BX16-CG15)))</f>
        <v>22.168018709081991</v>
      </c>
      <c r="BZ16" s="13">
        <f>BY16*VLOOKUP('Données projet'!$B$12,Paramètres!$A$1:$I$89,3,0)*VLOOKUP('Données projet'!$B$12,Paramètres!$A$1:$I$89,5,0)</f>
        <v>13.256475188031033</v>
      </c>
      <c r="CA16" s="13">
        <f t="shared" si="39"/>
        <v>4.5219890003242735</v>
      </c>
      <c r="CB16" s="20">
        <f t="shared" si="10"/>
        <v>30.964158461385495</v>
      </c>
      <c r="CC16" s="59">
        <f t="shared" si="11"/>
        <v>324.29749179471878</v>
      </c>
      <c r="CD16" s="59">
        <f ca="1">AVERAGE(OFFSET($CC$3,0,0,'Données projet'!$E$12+1,1))-AVERAGE(OFFSET($H$3,0,0,'Données projet'!$E$12+1,1))</f>
        <v>179.32848817523677</v>
      </c>
      <c r="CE16" s="59">
        <f t="shared" si="40"/>
        <v>131.3292389103035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3.6141025641025637</v>
      </c>
      <c r="CT16" s="12">
        <f>IF('Données projet'!$A$140&gt;35,CT15+CS16-DB15,IF(A16&lt;'Données projet'!$A$140,$CQ$205^A16,IF(A16='Données projet'!$A$140,'Données projet'!$B$140,CT15+CS16-DB15)))</f>
        <v>7.618791385868616</v>
      </c>
      <c r="CU16" s="17">
        <f>CT16*VLOOKUP('Données projet'!$B$13,Paramètres!$A$1:$I$89,3,0)*VLOOKUP('Données projet'!$B$13,Paramètres!$A$1:$I$89,5,0)</f>
        <v>6.8934824459339232</v>
      </c>
      <c r="CV16" s="13">
        <f t="shared" si="41"/>
        <v>2.5374440633184476</v>
      </c>
      <c r="CW16" s="20">
        <f t="shared" si="13"/>
        <v>16.42553033694788</v>
      </c>
      <c r="CX16" s="59">
        <f t="shared" si="14"/>
        <v>309.75886367028119</v>
      </c>
      <c r="CY16" s="59">
        <f ca="1">AVERAGE(OFFSET($CX$3,0,0,'Données projet'!$E$13+1,1))-AVERAGE(OFFSET($H$3,0,0,'Données projet'!$E$13+1,1))</f>
        <v>309.07357540707869</v>
      </c>
      <c r="CZ16" s="59">
        <f t="shared" si="42"/>
        <v>155.9593924683299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7.4</v>
      </c>
      <c r="DO16" s="12">
        <f>IF('Données projet'!$A$166&gt;35,DO15+DN16-DW15,IF(A16&lt;'Données projet'!$A$166,$DL$205^A16,IF(A16='Données projet'!$A$166,'Données projet'!$B$166,DO15+DN16-DW15)))</f>
        <v>45.199999999999996</v>
      </c>
      <c r="DP16" s="17">
        <f>DO16*VLOOKUP('Données projet'!$B$14,Paramètres!$A$1:$I$89,3,0)*VLOOKUP('Données projet'!$B$14,Paramètres!$A$1:$I$89,5,0)</f>
        <v>39.486720000000005</v>
      </c>
      <c r="DQ16" s="13">
        <f t="shared" si="43"/>
        <v>11.862499896265861</v>
      </c>
      <c r="DR16" s="20">
        <f t="shared" si="16"/>
        <v>89.433224652663043</v>
      </c>
      <c r="DS16" s="59">
        <f t="shared" si="17"/>
        <v>382.76655798599637</v>
      </c>
      <c r="DT16" s="59">
        <f ca="1">AVERAGE(OFFSET($DS$3,0,0,'Données projet'!$E$14+1,1))-AVERAGE(OFFSET($H$3,0,0,'Données projet'!$E$14+1,1))</f>
        <v>210.07838338464626</v>
      </c>
      <c r="DU16" s="59">
        <f t="shared" si="44"/>
        <v>241.76003724236273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5.9</v>
      </c>
      <c r="EJ16" s="12">
        <f>IF('Données projet'!$A$192&gt;35,EJ15+EI16-ER15,IF(A16&lt;'Données projet'!$A$192,$EG$205^A16,IF(A16='Données projet'!$A$192,'Données projet'!$B$192,EJ15+EI16-ER15)))</f>
        <v>22.218938391339591</v>
      </c>
      <c r="EK16" s="17">
        <f>EJ16*VLOOKUP('Données projet'!$B$15,Paramètres!$A$1:$I$89,3,0)*VLOOKUP('Données projet'!$B$15,Paramètres!$A$1:$I$89,5,0)</f>
        <v>13.864617556195904</v>
      </c>
      <c r="EL16" s="13">
        <f t="shared" si="45"/>
        <v>4.7048077348604007</v>
      </c>
      <c r="EM16" s="20">
        <f t="shared" si="19"/>
        <v>32.341749048589733</v>
      </c>
      <c r="EN16" s="59">
        <f t="shared" si="20"/>
        <v>325.67508238192306</v>
      </c>
      <c r="EO16" s="59">
        <f ca="1">AVERAGE(OFFSET($EN$3,0,0,'Données projet'!$E$15+1,1))-AVERAGE(OFFSET($H$3,0,0,'Données projet'!$E$15+1,1))</f>
        <v>209.93608079129638</v>
      </c>
      <c r="EP16" s="59">
        <f t="shared" si="46"/>
        <v>240.15652428700969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4.75</v>
      </c>
      <c r="N17" s="13">
        <f>IF('Données projet'!$A$36&gt;35,N16+M17-V16,IF(A17&lt;'Données projet'!$A$36,$K$205^A17,IF(A17='Données projet'!$A$36,'Données projet'!$B$36,N16+M17-V16)))</f>
        <v>24.232963250726986</v>
      </c>
      <c r="O17" s="13">
        <f>N17*VLOOKUP('Données projet'!$B$9,Paramètres!$A$1:$I$89,3,0)*VLOOKUP('Données projet'!$B$9,Paramètres!$A$1:$I$89,5,0)</f>
        <v>19.279745562278389</v>
      </c>
      <c r="P17" s="13">
        <f t="shared" si="33"/>
        <v>6.2960413540292901</v>
      </c>
      <c r="Q17" s="20">
        <f t="shared" si="2"/>
        <v>44.544495545902528</v>
      </c>
      <c r="R17" s="59">
        <f t="shared" si="0"/>
        <v>337.87782887923584</v>
      </c>
      <c r="S17" s="59">
        <f ca="1">AVERAGE(OFFSET($R$3,0,0,'Données projet'!$E$9+1,1))-AVERAGE(OFFSET($H$3,0,0,'Données projet'!$E$9+1,1))</f>
        <v>199.58763537752952</v>
      </c>
      <c r="T17" s="59">
        <f t="shared" si="34"/>
        <v>242.62852778451929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3.05</v>
      </c>
      <c r="AI17" s="13">
        <f>IF('Données projet'!$A$62&gt;35,AI16+AH17-AQ16,IF(A17&lt;'Données projet'!$A$62,$AF$205^A17,IF(A17='Données projet'!$A$62,'Données projet'!$B$62,AI16+AH17-AQ16)))</f>
        <v>17.771778204116551</v>
      </c>
      <c r="AJ17" s="13">
        <f>AI17*VLOOKUP('Données projet'!$B$10,Paramètres!$A$1:$I$89,3,0)*VLOOKUP('Données projet'!$B$10,Paramètres!$A$1:$I$89,5,0)</f>
        <v>10.627523366061698</v>
      </c>
      <c r="AK17" s="13">
        <f t="shared" si="35"/>
        <v>3.7196959391271256</v>
      </c>
      <c r="AL17" s="20">
        <f t="shared" si="4"/>
        <v>24.988073623203871</v>
      </c>
      <c r="AM17" s="59">
        <f t="shared" si="5"/>
        <v>318.3214069565372</v>
      </c>
      <c r="AN17" s="59">
        <f ca="1">AVERAGE(OFFSET($AM$3,0,0,'Données projet'!$E$10+1,1))-AVERAGE(OFFSET($H$3,0,0,'Données projet'!$E$10+1,1))</f>
        <v>287.78657453117694</v>
      </c>
      <c r="AO17" s="59">
        <f t="shared" si="36"/>
        <v>153.31562485362252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3.9923076923076919</v>
      </c>
      <c r="BD17" s="12">
        <f>IF('Données projet'!$A$88&gt;35,BD16+BC17-BL16,IF(A17&lt;'Données projet'!$A$88,$BA$205^A17,IF(A17='Données projet'!$A$88,'Données projet'!$B$88,BD16+BC17-BL16)))</f>
        <v>45.585590019050144</v>
      </c>
      <c r="BE17" s="13">
        <f>BD17*VLOOKUP('Données projet'!$B$11,Paramètres!$A$1:$I$89,3,0)*VLOOKUP('Données projet'!$B$11,Paramètres!$A$1:$I$89,5,0)</f>
        <v>27.260182831391987</v>
      </c>
      <c r="BF17" s="13">
        <f t="shared" si="37"/>
        <v>8.5503773364227822</v>
      </c>
      <c r="BG17" s="20">
        <f t="shared" si="7"/>
        <v>62.370058958944064</v>
      </c>
      <c r="BH17" s="59">
        <f t="shared" si="8"/>
        <v>355.70339229227739</v>
      </c>
      <c r="BI17" s="59">
        <f ca="1">AVERAGE(OFFSET($BH$3,0,0,'Données projet'!$E$11+1,1))-AVERAGE(OFFSET($H$3,0,0,'Données projet'!$E$11+1,1))</f>
        <v>250.93905519128998</v>
      </c>
      <c r="BJ17" s="59">
        <f t="shared" si="38"/>
        <v>222.32879462265032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2.3805128205128203</v>
      </c>
      <c r="BY17" s="12">
        <f>IF('Données projet'!$A$114&gt;35,BY16+BX17-CG16,IF(A17&lt;'Données projet'!$A$114,$BV$205^A17,IF(A17='Données projet'!$A$114,'Données projet'!$B$114,BY16+BX17-CG16)))</f>
        <v>28.134832345956244</v>
      </c>
      <c r="BZ17" s="13">
        <f>BY17*VLOOKUP('Données projet'!$B$12,Paramètres!$A$1:$I$89,3,0)*VLOOKUP('Données projet'!$B$12,Paramètres!$A$1:$I$89,5,0)</f>
        <v>16.824629742881836</v>
      </c>
      <c r="CA17" s="13">
        <f t="shared" si="39"/>
        <v>5.5820988439469144</v>
      </c>
      <c r="CB17" s="20">
        <f t="shared" si="10"/>
        <v>39.025052288726734</v>
      </c>
      <c r="CC17" s="59">
        <f t="shared" si="11"/>
        <v>332.35838562206004</v>
      </c>
      <c r="CD17" s="59">
        <f ca="1">AVERAGE(OFFSET($CC$3,0,0,'Données projet'!$E$12+1,1))-AVERAGE(OFFSET($H$3,0,0,'Données projet'!$E$12+1,1))</f>
        <v>179.32848817523677</v>
      </c>
      <c r="CE17" s="59">
        <f t="shared" si="40"/>
        <v>131.3292389103035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3.6141025641025637</v>
      </c>
      <c r="CT17" s="12">
        <f>IF('Données projet'!$A$140&gt;35,CT16+CS17-DB16,IF(A17&lt;'Données projet'!$A$140,$CQ$205^A17,IF(A17='Données projet'!$A$140,'Données projet'!$B$140,CT16+CS17-DB16)))</f>
        <v>8.9068363531343948</v>
      </c>
      <c r="CU17" s="17">
        <f>CT17*VLOOKUP('Données projet'!$B$13,Paramètres!$A$1:$I$89,3,0)*VLOOKUP('Données projet'!$B$13,Paramètres!$A$1:$I$89,5,0)</f>
        <v>8.0589055323160004</v>
      </c>
      <c r="CV17" s="13">
        <f t="shared" si="41"/>
        <v>2.9129806237797036</v>
      </c>
      <c r="CW17" s="20">
        <f t="shared" si="13"/>
        <v>19.109368388533348</v>
      </c>
      <c r="CX17" s="59">
        <f t="shared" si="14"/>
        <v>312.44270172186668</v>
      </c>
      <c r="CY17" s="59">
        <f ca="1">AVERAGE(OFFSET($CX$3,0,0,'Données projet'!$E$13+1,1))-AVERAGE(OFFSET($H$3,0,0,'Données projet'!$E$13+1,1))</f>
        <v>309.07357540707869</v>
      </c>
      <c r="CZ17" s="59">
        <f t="shared" si="42"/>
        <v>155.9593924683299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7.4</v>
      </c>
      <c r="DO17" s="12">
        <f>IF('Données projet'!$A$166&gt;35,DO16+DN17-DW16,IF(A17&lt;'Données projet'!$A$166,$DL$205^A17,IF(A17='Données projet'!$A$166,'Données projet'!$B$166,DO16+DN17-DW16)))</f>
        <v>52.599999999999994</v>
      </c>
      <c r="DP17" s="17">
        <f>DO17*VLOOKUP('Données projet'!$B$14,Paramètres!$A$1:$I$89,3,0)*VLOOKUP('Données projet'!$B$14,Paramètres!$A$1:$I$89,5,0)</f>
        <v>45.951360000000001</v>
      </c>
      <c r="DQ17" s="13">
        <f t="shared" si="43"/>
        <v>13.563098137964777</v>
      </c>
      <c r="DR17" s="20">
        <f t="shared" si="16"/>
        <v>103.65434792362198</v>
      </c>
      <c r="DS17" s="59">
        <f t="shared" si="17"/>
        <v>396.98768125695528</v>
      </c>
      <c r="DT17" s="59">
        <f ca="1">AVERAGE(OFFSET($DS$3,0,0,'Données projet'!$E$14+1,1))-AVERAGE(OFFSET($H$3,0,0,'Données projet'!$E$14+1,1))</f>
        <v>210.07838338464626</v>
      </c>
      <c r="DU17" s="59">
        <f t="shared" si="44"/>
        <v>241.76003724236273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5.9</v>
      </c>
      <c r="EJ17" s="12">
        <f>IF('Données projet'!$A$192&gt;35,EJ16+EI17-ER16,IF(A17&lt;'Données projet'!$A$192,$EG$205^A17,IF(A17='Données projet'!$A$192,'Données projet'!$B$192,EJ16+EI17-ER16)))</f>
        <v>28.204435057647181</v>
      </c>
      <c r="EK17" s="17">
        <f>EJ17*VLOOKUP('Données projet'!$B$15,Paramètres!$A$1:$I$89,3,0)*VLOOKUP('Données projet'!$B$15,Paramètres!$A$1:$I$89,5,0)</f>
        <v>17.599567475971842</v>
      </c>
      <c r="EL17" s="13">
        <f t="shared" si="45"/>
        <v>5.8086823487293593</v>
      </c>
      <c r="EM17" s="20">
        <f t="shared" si="19"/>
        <v>40.76936844468792</v>
      </c>
      <c r="EN17" s="59">
        <f t="shared" si="20"/>
        <v>334.10270177802124</v>
      </c>
      <c r="EO17" s="59">
        <f ca="1">AVERAGE(OFFSET($EN$3,0,0,'Données projet'!$E$15+1,1))-AVERAGE(OFFSET($H$3,0,0,'Données projet'!$E$15+1,1))</f>
        <v>209.93608079129638</v>
      </c>
      <c r="EP17" s="59">
        <f t="shared" si="46"/>
        <v>240.15652428700969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4.75</v>
      </c>
      <c r="N18" s="13">
        <f>IF('Données projet'!$A$36&gt;35,N17+M18-V17,IF(A18&lt;'Données projet'!$A$36,$K$205^A18,IF(A18='Données projet'!$A$36,'Données projet'!$B$36,N17+M18-V17)))</f>
        <v>30.429351993705815</v>
      </c>
      <c r="O18" s="13">
        <f>N18*VLOOKUP('Données projet'!$B$9,Paramètres!$A$1:$I$89,3,0)*VLOOKUP('Données projet'!$B$9,Paramètres!$A$1:$I$89,5,0)</f>
        <v>24.209592446192346</v>
      </c>
      <c r="P18" s="13">
        <f t="shared" si="33"/>
        <v>7.6991609890859385</v>
      </c>
      <c r="Q18" s="20">
        <f t="shared" si="2"/>
        <v>55.574412233109683</v>
      </c>
      <c r="R18" s="59">
        <f t="shared" si="0"/>
        <v>348.907745566443</v>
      </c>
      <c r="S18" s="59">
        <f ca="1">AVERAGE(OFFSET($R$3,0,0,'Données projet'!$E$9+1,1))-AVERAGE(OFFSET($H$3,0,0,'Données projet'!$E$9+1,1))</f>
        <v>199.58763537752952</v>
      </c>
      <c r="T18" s="59">
        <f t="shared" si="34"/>
        <v>242.62852778451929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3.05</v>
      </c>
      <c r="AI18" s="13">
        <f>IF('Données projet'!$A$62&gt;35,AI17+AH18-AQ17,IF(A18&lt;'Données projet'!$A$62,$AF$205^A18,IF(A18='Données projet'!$A$62,'Données projet'!$B$62,AI17+AH18-AQ17)))</f>
        <v>21.82716725162258</v>
      </c>
      <c r="AJ18" s="13">
        <f>AI18*VLOOKUP('Données projet'!$B$10,Paramètres!$A$1:$I$89,3,0)*VLOOKUP('Données projet'!$B$10,Paramètres!$A$1:$I$89,5,0)</f>
        <v>13.052646016470305</v>
      </c>
      <c r="AK18" s="13">
        <f t="shared" si="35"/>
        <v>4.4604976274522672</v>
      </c>
      <c r="AL18" s="20">
        <f t="shared" si="4"/>
        <v>30.502058513165142</v>
      </c>
      <c r="AM18" s="59">
        <f t="shared" si="5"/>
        <v>323.83539184649845</v>
      </c>
      <c r="AN18" s="59">
        <f ca="1">AVERAGE(OFFSET($AM$3,0,0,'Données projet'!$E$10+1,1))-AVERAGE(OFFSET($H$3,0,0,'Données projet'!$E$10+1,1))</f>
        <v>287.78657453117694</v>
      </c>
      <c r="AO18" s="59">
        <f t="shared" si="36"/>
        <v>153.31562485362252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>
        <f>VLOOKUP(A18,'Données projet'!$A$87:$I$107,2,0)</f>
        <v>59.88461538461538</v>
      </c>
      <c r="BB18" s="12">
        <f>VLOOKUP(A18,'Données projet'!$A$87:$I$107,9,0)</f>
        <v>3.9923076923076919</v>
      </c>
      <c r="BC18" s="12">
        <f t="array" ref="BC18">INDEX(BB:BB,MIN(IF(ISNUMBER(BB18:BB214),ROW(BB18:BB214),"")))</f>
        <v>3.9923076923076919</v>
      </c>
      <c r="BD18" s="12">
        <f>IF('Données projet'!$A$88&gt;35,BD17+BC18-BL17,IF(A18&lt;'Données projet'!$A$88,$BA$205^A18,IF(A18='Données projet'!$A$88,'Données projet'!$B$88,BD17+BC18-BL17)))</f>
        <v>59.88461538461538</v>
      </c>
      <c r="BE18" s="13">
        <f>BD18*VLOOKUP('Données projet'!$B$11,Paramètres!$A$1:$I$89,3,0)*VLOOKUP('Données projet'!$B$11,Paramètres!$A$1:$I$89,5,0)</f>
        <v>35.811</v>
      </c>
      <c r="BF18" s="13">
        <f t="shared" si="37"/>
        <v>10.881305381182697</v>
      </c>
      <c r="BG18" s="20">
        <f t="shared" si="7"/>
        <v>81.322431872226531</v>
      </c>
      <c r="BH18" s="59">
        <f t="shared" si="8"/>
        <v>374.65576520555987</v>
      </c>
      <c r="BI18" s="59">
        <f ca="1">AVERAGE(OFFSET($BH$3,0,0,'Données projet'!$E$11+1,1))-AVERAGE(OFFSET($H$3,0,0,'Données projet'!$E$11+1,1))</f>
        <v>250.93905519128998</v>
      </c>
      <c r="BJ18" s="59">
        <f t="shared" si="38"/>
        <v>222.32879462265032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>
        <f>VLOOKUP(A18,'Données projet'!$A$113:$I$133,2,0)</f>
        <v>35.707692307692305</v>
      </c>
      <c r="BW18" s="12">
        <f>VLOOKUP(A18,'Données projet'!$A$113:$I$133,9,0)</f>
        <v>2.3805128205128203</v>
      </c>
      <c r="BX18" s="12">
        <f t="array" ref="BX18">INDEX(BW:BW,MIN(IF(ISNUMBER(BW18:BW214),ROW(BW18:BW214),"")))</f>
        <v>2.3805128205128203</v>
      </c>
      <c r="BY18" s="12">
        <f>IF('Données projet'!$A$114&gt;35,BY17+BX18-CG17,IF(A18&lt;'Données projet'!$A$114,$BV$205^A18,IF(A18='Données projet'!$A$114,'Données projet'!$B$114,BY17+BX18-CG17)))</f>
        <v>35.707692307692305</v>
      </c>
      <c r="BZ18" s="13">
        <f>BY18*VLOOKUP('Données projet'!$B$12,Paramètres!$A$1:$I$89,3,0)*VLOOKUP('Données projet'!$B$12,Paramètres!$A$1:$I$89,5,0)</f>
        <v>21.353200000000001</v>
      </c>
      <c r="CA18" s="13">
        <f t="shared" si="39"/>
        <v>6.8907349180546449</v>
      </c>
      <c r="CB18" s="20">
        <f t="shared" si="10"/>
        <v>49.1915199822785</v>
      </c>
      <c r="CC18" s="59">
        <f t="shared" si="11"/>
        <v>342.52485331561184</v>
      </c>
      <c r="CD18" s="59">
        <f ca="1">AVERAGE(OFFSET($CC$3,0,0,'Données projet'!$E$12+1,1))-AVERAGE(OFFSET($H$3,0,0,'Données projet'!$E$12+1,1))</f>
        <v>179.32848817523677</v>
      </c>
      <c r="CE18" s="59">
        <f t="shared" si="40"/>
        <v>131.3292389103035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3.6141025641025637</v>
      </c>
      <c r="CT18" s="12">
        <f>IF('Données projet'!$A$140&gt;35,CT17+CS18-DB17,IF(A18&lt;'Données projet'!$A$140,$CQ$205^A18,IF(A18='Données projet'!$A$140,'Données projet'!$B$140,CT17+CS18-DB17)))</f>
        <v>10.41264024746253</v>
      </c>
      <c r="CU18" s="17">
        <f>CT18*VLOOKUP('Données projet'!$B$13,Paramètres!$A$1:$I$89,3,0)*VLOOKUP('Données projet'!$B$13,Paramètres!$A$1:$I$89,5,0)</f>
        <v>9.421356895904097</v>
      </c>
      <c r="CV18" s="13">
        <f t="shared" si="41"/>
        <v>3.3440958313850619</v>
      </c>
      <c r="CW18" s="20">
        <f t="shared" si="13"/>
        <v>22.233163500028613</v>
      </c>
      <c r="CX18" s="59">
        <f t="shared" si="14"/>
        <v>315.56649683336195</v>
      </c>
      <c r="CY18" s="59">
        <f ca="1">AVERAGE(OFFSET($CX$3,0,0,'Données projet'!$E$13+1,1))-AVERAGE(OFFSET($H$3,0,0,'Données projet'!$E$13+1,1))</f>
        <v>309.07357540707869</v>
      </c>
      <c r="CZ18" s="59">
        <f t="shared" si="42"/>
        <v>155.9593924683299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>
        <f>VLOOKUP(A18,'Données projet'!$A$165:$I$185,2,0)</f>
        <v>60</v>
      </c>
      <c r="DM18" s="12">
        <f>VLOOKUP(A18,'Données projet'!$A$165:$I$185,9,0)</f>
        <v>7.4</v>
      </c>
      <c r="DN18" s="12">
        <f t="array" ref="DN18">INDEX(DM:DM,MIN(IF(ISNUMBER(DM18:DM214),ROW(DM18:DM214),"")))</f>
        <v>7.4</v>
      </c>
      <c r="DO18" s="12">
        <f>IF('Données projet'!$A$166&gt;35,DO17+DN18-DW17,IF(A18&lt;'Données projet'!$A$166,$DL$205^A18,IF(A18='Données projet'!$A$166,'Données projet'!$B$166,DO17+DN18-DW17)))</f>
        <v>59.999999999999993</v>
      </c>
      <c r="DP18" s="17">
        <f>DO18*VLOOKUP('Données projet'!$B$14,Paramètres!$A$1:$I$89,3,0)*VLOOKUP('Données projet'!$B$14,Paramètres!$A$1:$I$89,5,0)</f>
        <v>52.416000000000004</v>
      </c>
      <c r="DQ18" s="13">
        <f t="shared" si="43"/>
        <v>15.235978301273029</v>
      </c>
      <c r="DR18" s="20">
        <f t="shared" si="16"/>
        <v>117.82719554138386</v>
      </c>
      <c r="DS18" s="59">
        <f t="shared" si="17"/>
        <v>411.16052887471716</v>
      </c>
      <c r="DT18" s="59">
        <f ca="1">AVERAGE(OFFSET($DS$3,0,0,'Données projet'!$E$14+1,1))-AVERAGE(OFFSET($H$3,0,0,'Données projet'!$E$14+1,1))</f>
        <v>210.07838338464626</v>
      </c>
      <c r="DU18" s="59">
        <f t="shared" si="44"/>
        <v>241.76003724236273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5.9</v>
      </c>
      <c r="EJ18" s="12">
        <f>IF('Données projet'!$A$192&gt;35,EJ17+EI18-ER17,IF(A18&lt;'Données projet'!$A$192,$EG$205^A18,IF(A18='Données projet'!$A$192,'Données projet'!$B$192,EJ17+EI18-ER17)))</f>
        <v>35.802347659917913</v>
      </c>
      <c r="EK18" s="17">
        <f>EJ18*VLOOKUP('Données projet'!$B$15,Paramètres!$A$1:$I$89,3,0)*VLOOKUP('Données projet'!$B$15,Paramètres!$A$1:$I$89,5,0)</f>
        <v>22.34066493978878</v>
      </c>
      <c r="EL18" s="13">
        <f t="shared" si="45"/>
        <v>7.1715556787659356</v>
      </c>
      <c r="EM18" s="20">
        <f t="shared" si="19"/>
        <v>51.400450910649454</v>
      </c>
      <c r="EN18" s="59">
        <f t="shared" si="20"/>
        <v>344.73378424398277</v>
      </c>
      <c r="EO18" s="59">
        <f ca="1">AVERAGE(OFFSET($EN$3,0,0,'Données projet'!$E$15+1,1))-AVERAGE(OFFSET($H$3,0,0,'Données projet'!$E$15+1,1))</f>
        <v>209.93608079129638</v>
      </c>
      <c r="EP18" s="59">
        <f t="shared" si="46"/>
        <v>240.15652428700969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4.75</v>
      </c>
      <c r="N19" s="13">
        <f>IF('Données projet'!$A$36&gt;35,N18+M19-V18,IF(A19&lt;'Données projet'!$A$36,$K$205^A19,IF(A19='Données projet'!$A$36,'Données projet'!$B$36,N18+M19-V18)))</f>
        <v>38.21016246244956</v>
      </c>
      <c r="O19" s="13">
        <f>N19*VLOOKUP('Données projet'!$B$9,Paramètres!$A$1:$I$89,3,0)*VLOOKUP('Données projet'!$B$9,Paramètres!$A$1:$I$89,5,0)</f>
        <v>30.400005255124871</v>
      </c>
      <c r="P19" s="13">
        <f t="shared" si="33"/>
        <v>9.4149762688466279</v>
      </c>
      <c r="Q19" s="20">
        <f t="shared" si="2"/>
        <v>69.344426154250357</v>
      </c>
      <c r="R19" s="59">
        <f t="shared" si="0"/>
        <v>362.67775948758367</v>
      </c>
      <c r="S19" s="59">
        <f ca="1">AVERAGE(OFFSET($R$3,0,0,'Données projet'!$E$9+1,1))-AVERAGE(OFFSET($H$3,0,0,'Données projet'!$E$9+1,1))</f>
        <v>199.58763537752952</v>
      </c>
      <c r="T19" s="59">
        <f t="shared" si="34"/>
        <v>242.62852778451929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3.05</v>
      </c>
      <c r="AI19" s="13">
        <f>IF('Données projet'!$A$62&gt;35,AI18+AH19-AQ18,IF(A19&lt;'Données projet'!$A$62,$AF$205^A19,IF(A19='Données projet'!$A$62,'Données projet'!$B$62,AI18+AH19-AQ18)))</f>
        <v>26.807966246166</v>
      </c>
      <c r="AJ19" s="13">
        <f>AI19*VLOOKUP('Données projet'!$B$10,Paramètres!$A$1:$I$89,3,0)*VLOOKUP('Données projet'!$B$10,Paramètres!$A$1:$I$89,5,0)</f>
        <v>16.031163815207268</v>
      </c>
      <c r="AK19" s="13">
        <f t="shared" si="35"/>
        <v>5.3488347999692056</v>
      </c>
      <c r="AL19" s="20">
        <f t="shared" si="4"/>
        <v>37.236830921432365</v>
      </c>
      <c r="AM19" s="59">
        <f t="shared" si="5"/>
        <v>330.5701642547657</v>
      </c>
      <c r="AN19" s="59">
        <f ca="1">AVERAGE(OFFSET($AM$3,0,0,'Données projet'!$E$10+1,1))-AVERAGE(OFFSET($H$3,0,0,'Données projet'!$E$10+1,1))</f>
        <v>287.78657453117694</v>
      </c>
      <c r="AO19" s="59">
        <f t="shared" si="36"/>
        <v>153.31562485362252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17.024999999999999</v>
      </c>
      <c r="BD19" s="12">
        <f>IF('Données projet'!$A$88&gt;35,BD18+BC19-BL18,IF(A19&lt;'Données projet'!$A$88,$BA$205^A19,IF(A19='Données projet'!$A$88,'Données projet'!$B$88,BD18+BC19-BL18)))</f>
        <v>76.909615384615378</v>
      </c>
      <c r="BE19" s="13">
        <f>BD19*VLOOKUP('Données projet'!$B$11,Paramètres!$A$1:$I$89,3,0)*VLOOKUP('Données projet'!$B$11,Paramètres!$A$1:$I$89,5,0)</f>
        <v>45.991950000000003</v>
      </c>
      <c r="BF19" s="13">
        <f t="shared" si="37"/>
        <v>13.573683676879673</v>
      </c>
      <c r="BG19" s="20">
        <f t="shared" si="7"/>
        <v>103.74347865389876</v>
      </c>
      <c r="BH19" s="59">
        <f t="shared" si="8"/>
        <v>397.07681198723208</v>
      </c>
      <c r="BI19" s="59">
        <f ca="1">AVERAGE(OFFSET($BH$3,0,0,'Données projet'!$E$11+1,1))-AVERAGE(OFFSET($H$3,0,0,'Données projet'!$E$11+1,1))</f>
        <v>250.93905519128998</v>
      </c>
      <c r="BJ19" s="59">
        <f t="shared" si="38"/>
        <v>222.32879462265032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13.468131868131868</v>
      </c>
      <c r="BY19" s="12">
        <f>IF('Données projet'!$A$114&gt;35,BY18+BX19-CG18,IF(A19&lt;'Données projet'!$A$114,$BV$205^A19,IF(A19='Données projet'!$A$114,'Données projet'!$B$114,BY18+BX19-CG18)))</f>
        <v>49.175824175824175</v>
      </c>
      <c r="BZ19" s="13">
        <f>BY19*VLOOKUP('Données projet'!$B$12,Paramètres!$A$1:$I$89,3,0)*VLOOKUP('Données projet'!$B$12,Paramètres!$A$1:$I$89,5,0)</f>
        <v>29.407142857142858</v>
      </c>
      <c r="CA19" s="13">
        <f t="shared" si="39"/>
        <v>9.1427529908921841</v>
      </c>
      <c r="CB19" s="20">
        <f t="shared" si="10"/>
        <v>67.141068601994363</v>
      </c>
      <c r="CC19" s="59">
        <f t="shared" si="11"/>
        <v>360.47440193532771</v>
      </c>
      <c r="CD19" s="59">
        <f ca="1">AVERAGE(OFFSET($CC$3,0,0,'Données projet'!$E$12+1,1))-AVERAGE(OFFSET($H$3,0,0,'Données projet'!$E$12+1,1))</f>
        <v>179.32848817523677</v>
      </c>
      <c r="CE19" s="59">
        <f t="shared" si="40"/>
        <v>131.3292389103035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3.6141025641025637</v>
      </c>
      <c r="CT19" s="12">
        <f>IF('Données projet'!$A$140&gt;35,CT18+CS19-DB18,IF(A19&lt;'Données projet'!$A$140,$CQ$205^A19,IF(A19='Données projet'!$A$140,'Données projet'!$B$140,CT18+CS19-DB18)))</f>
        <v>12.173017738775622</v>
      </c>
      <c r="CU19" s="17">
        <f>CT19*VLOOKUP('Données projet'!$B$13,Paramètres!$A$1:$I$89,3,0)*VLOOKUP('Données projet'!$B$13,Paramètres!$A$1:$I$89,5,0)</f>
        <v>11.014146450044182</v>
      </c>
      <c r="CV19" s="13">
        <f t="shared" si="41"/>
        <v>3.8390152128703852</v>
      </c>
      <c r="CW19" s="20">
        <f t="shared" si="13"/>
        <v>25.869256562909538</v>
      </c>
      <c r="CX19" s="59">
        <f t="shared" si="14"/>
        <v>319.20258989624284</v>
      </c>
      <c r="CY19" s="59">
        <f ca="1">AVERAGE(OFFSET($CX$3,0,0,'Données projet'!$E$13+1,1))-AVERAGE(OFFSET($H$3,0,0,'Données projet'!$E$13+1,1))</f>
        <v>309.07357540707869</v>
      </c>
      <c r="CZ19" s="59">
        <f t="shared" si="42"/>
        <v>155.9593924683299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9.6</v>
      </c>
      <c r="DO19" s="12">
        <f>IF('Données projet'!$A$166&gt;35,DO18+DN19-DW18,IF(A19&lt;'Données projet'!$A$166,$DL$205^A19,IF(A19='Données projet'!$A$166,'Données projet'!$B$166,DO18+DN19-DW18)))</f>
        <v>69.599999999999994</v>
      </c>
      <c r="DP19" s="17">
        <f>DO19*VLOOKUP('Données projet'!$B$14,Paramètres!$A$1:$I$89,3,0)*VLOOKUP('Données projet'!$B$14,Paramètres!$A$1:$I$89,5,0)</f>
        <v>60.80256</v>
      </c>
      <c r="DQ19" s="13">
        <f t="shared" si="43"/>
        <v>17.371024177726472</v>
      </c>
      <c r="DR19" s="20">
        <f t="shared" si="16"/>
        <v>136.15232577620694</v>
      </c>
      <c r="DS19" s="59">
        <f t="shared" si="17"/>
        <v>429.48565910954028</v>
      </c>
      <c r="DT19" s="59">
        <f ca="1">AVERAGE(OFFSET($DS$3,0,0,'Données projet'!$E$14+1,1))-AVERAGE(OFFSET($H$3,0,0,'Données projet'!$E$14+1,1))</f>
        <v>210.07838338464626</v>
      </c>
      <c r="DU19" s="59">
        <f t="shared" si="44"/>
        <v>241.76003724236273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5.9</v>
      </c>
      <c r="EJ19" s="12">
        <f>IF('Données projet'!$A$192&gt;35,EJ18+EI19-ER18,IF(A19&lt;'Données projet'!$A$192,$EG$205^A19,IF(A19='Données projet'!$A$192,'Données projet'!$B$192,EJ18+EI19-ER18)))</f>
        <v>45.44704034460311</v>
      </c>
      <c r="EK19" s="17">
        <f>EJ19*VLOOKUP('Données projet'!$B$15,Paramètres!$A$1:$I$89,3,0)*VLOOKUP('Données projet'!$B$15,Paramètres!$A$1:$I$89,5,0)</f>
        <v>28.35895317503234</v>
      </c>
      <c r="EL19" s="13">
        <f t="shared" si="45"/>
        <v>8.8541957996533291</v>
      </c>
      <c r="EM19" s="20">
        <f t="shared" si="19"/>
        <v>64.812901130910859</v>
      </c>
      <c r="EN19" s="59">
        <f t="shared" si="20"/>
        <v>358.14623446424417</v>
      </c>
      <c r="EO19" s="59">
        <f ca="1">AVERAGE(OFFSET($EN$3,0,0,'Données projet'!$E$15+1,1))-AVERAGE(OFFSET($H$3,0,0,'Données projet'!$E$15+1,1))</f>
        <v>209.93608079129638</v>
      </c>
      <c r="EP19" s="59">
        <f t="shared" si="46"/>
        <v>240.15652428700969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4.75</v>
      </c>
      <c r="N20" s="13">
        <f>IF('Données projet'!$A$36&gt;35,N19+M20-V19,IF(A20&lt;'Données projet'!$A$36,$K$205^A20,IF(A20='Données projet'!$A$36,'Données projet'!$B$36,N19+M20-V19)))</f>
        <v>47.980532602494719</v>
      </c>
      <c r="O20" s="13">
        <f>N20*VLOOKUP('Données projet'!$B$9,Paramètres!$A$1:$I$89,3,0)*VLOOKUP('Données projet'!$B$9,Paramètres!$A$1:$I$89,5,0)</f>
        <v>38.173311738544804</v>
      </c>
      <c r="P20" s="13">
        <f t="shared" si="33"/>
        <v>11.513173743035207</v>
      </c>
      <c r="Q20" s="20">
        <f t="shared" si="2"/>
        <v>86.537295547085179</v>
      </c>
      <c r="R20" s="59">
        <f t="shared" si="0"/>
        <v>379.87062888041851</v>
      </c>
      <c r="S20" s="59">
        <f ca="1">AVERAGE(OFFSET($R$3,0,0,'Données projet'!$E$9+1,1))-AVERAGE(OFFSET($H$3,0,0,'Données projet'!$E$9+1,1))</f>
        <v>199.58763537752952</v>
      </c>
      <c r="T20" s="59">
        <f t="shared" si="34"/>
        <v>242.62852778451929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3.05</v>
      </c>
      <c r="AI20" s="13">
        <f>IF('Données projet'!$A$62&gt;35,AI19+AH20-AQ19,IF(A20&lt;'Données projet'!$A$62,$AF$205^A20,IF(A20='Données projet'!$A$62,'Données projet'!$B$62,AI19+AH20-AQ19)))</f>
        <v>32.925346929851912</v>
      </c>
      <c r="AJ20" s="13">
        <f>AI20*VLOOKUP('Données projet'!$B$10,Paramètres!$A$1:$I$89,3,0)*VLOOKUP('Données projet'!$B$10,Paramètres!$A$1:$I$89,5,0)</f>
        <v>19.689357464051444</v>
      </c>
      <c r="AK20" s="13">
        <f t="shared" si="35"/>
        <v>6.4140901098748042</v>
      </c>
      <c r="AL20" s="20">
        <f t="shared" si="4"/>
        <v>45.46350452458821</v>
      </c>
      <c r="AM20" s="59">
        <f t="shared" si="5"/>
        <v>338.7968378579215</v>
      </c>
      <c r="AN20" s="59">
        <f ca="1">AVERAGE(OFFSET($AM$3,0,0,'Données projet'!$E$10+1,1))-AVERAGE(OFFSET($H$3,0,0,'Données projet'!$E$10+1,1))</f>
        <v>287.78657453117694</v>
      </c>
      <c r="AO20" s="59">
        <f t="shared" si="36"/>
        <v>153.31562485362252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17.024999999999999</v>
      </c>
      <c r="BD20" s="12">
        <f>IF('Données projet'!$A$88&gt;35,BD19+BC20-BL19,IF(A20&lt;'Données projet'!$A$88,$BA$205^A20,IF(A20='Données projet'!$A$88,'Données projet'!$B$88,BD19+BC20-BL19)))</f>
        <v>93.93461538461537</v>
      </c>
      <c r="BE20" s="13">
        <f>BD20*VLOOKUP('Données projet'!$B$11,Paramètres!$A$1:$I$89,3,0)*VLOOKUP('Données projet'!$B$11,Paramètres!$A$1:$I$89,5,0)</f>
        <v>56.172899999999991</v>
      </c>
      <c r="BF20" s="13">
        <f t="shared" si="37"/>
        <v>16.196977747774771</v>
      </c>
      <c r="BG20" s="20">
        <f t="shared" si="7"/>
        <v>126.04420374404106</v>
      </c>
      <c r="BH20" s="59">
        <f t="shared" si="8"/>
        <v>419.37753707737437</v>
      </c>
      <c r="BI20" s="59">
        <f ca="1">AVERAGE(OFFSET($BH$3,0,0,'Données projet'!$E$11+1,1))-AVERAGE(OFFSET($H$3,0,0,'Données projet'!$E$11+1,1))</f>
        <v>250.93905519128998</v>
      </c>
      <c r="BJ20" s="59">
        <f t="shared" si="38"/>
        <v>222.32879462265032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13.468131868131868</v>
      </c>
      <c r="BY20" s="12">
        <f>IF('Données projet'!$A$114&gt;35,BY19+BX20-CG19,IF(A20&lt;'Données projet'!$A$114,$BV$205^A20,IF(A20='Données projet'!$A$114,'Données projet'!$B$114,BY19+BX20-CG19)))</f>
        <v>62.643956043956045</v>
      </c>
      <c r="BZ20" s="13">
        <f>BY20*VLOOKUP('Données projet'!$B$12,Paramètres!$A$1:$I$89,3,0)*VLOOKUP('Données projet'!$B$12,Paramètres!$A$1:$I$89,5,0)</f>
        <v>37.461085714285716</v>
      </c>
      <c r="CA20" s="13">
        <f t="shared" si="39"/>
        <v>11.323160704188275</v>
      </c>
      <c r="CB20" s="20">
        <f t="shared" si="10"/>
        <v>84.965895845508868</v>
      </c>
      <c r="CC20" s="59">
        <f t="shared" si="11"/>
        <v>378.29922917884221</v>
      </c>
      <c r="CD20" s="59">
        <f ca="1">AVERAGE(OFFSET($CC$3,0,0,'Données projet'!$E$12+1,1))-AVERAGE(OFFSET($H$3,0,0,'Données projet'!$E$12+1,1))</f>
        <v>179.32848817523677</v>
      </c>
      <c r="CE20" s="59">
        <f t="shared" si="40"/>
        <v>131.3292389103035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3.6141025641025637</v>
      </c>
      <c r="CT20" s="12">
        <f>IF('Données projet'!$A$140&gt;35,CT19+CS20-DB19,IF(A20&lt;'Données projet'!$A$140,$CQ$205^A20,IF(A20='Données projet'!$A$140,'Données projet'!$B$140,CT19+CS20-DB19)))</f>
        <v>14.231007443540239</v>
      </c>
      <c r="CU20" s="17">
        <f>CT20*VLOOKUP('Données projet'!$B$13,Paramètres!$A$1:$I$89,3,0)*VLOOKUP('Données projet'!$B$13,Paramètres!$A$1:$I$89,5,0)</f>
        <v>12.876215534915207</v>
      </c>
      <c r="CV20" s="13">
        <f t="shared" si="41"/>
        <v>4.4071816561985404</v>
      </c>
      <c r="CW20" s="20">
        <f t="shared" si="13"/>
        <v>30.101916774523115</v>
      </c>
      <c r="CX20" s="59">
        <f t="shared" si="14"/>
        <v>323.4352501078564</v>
      </c>
      <c r="CY20" s="59">
        <f ca="1">AVERAGE(OFFSET($CX$3,0,0,'Données projet'!$E$13+1,1))-AVERAGE(OFFSET($H$3,0,0,'Données projet'!$E$13+1,1))</f>
        <v>309.07357540707869</v>
      </c>
      <c r="CZ20" s="59">
        <f t="shared" si="42"/>
        <v>155.9593924683299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9.6</v>
      </c>
      <c r="DO20" s="12">
        <f>IF('Données projet'!$A$166&gt;35,DO19+DN20-DW19,IF(A20&lt;'Données projet'!$A$166,$DL$205^A20,IF(A20='Données projet'!$A$166,'Données projet'!$B$166,DO19+DN20-DW19)))</f>
        <v>79.199999999999989</v>
      </c>
      <c r="DP20" s="17">
        <f>DO20*VLOOKUP('Données projet'!$B$14,Paramètres!$A$1:$I$89,3,0)*VLOOKUP('Données projet'!$B$14,Paramètres!$A$1:$I$89,5,0)</f>
        <v>69.189120000000003</v>
      </c>
      <c r="DQ20" s="13">
        <f t="shared" si="43"/>
        <v>19.471951138068807</v>
      </c>
      <c r="DR20" s="20">
        <f t="shared" si="16"/>
        <v>154.41803223213648</v>
      </c>
      <c r="DS20" s="59">
        <f t="shared" si="17"/>
        <v>447.75136556546977</v>
      </c>
      <c r="DT20" s="59">
        <f ca="1">AVERAGE(OFFSET($DS$3,0,0,'Données projet'!$E$14+1,1))-AVERAGE(OFFSET($H$3,0,0,'Données projet'!$E$14+1,1))</f>
        <v>210.07838338464626</v>
      </c>
      <c r="DU20" s="59">
        <f t="shared" si="44"/>
        <v>241.76003724236273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5.9</v>
      </c>
      <c r="EJ20" s="12">
        <f>IF('Données projet'!$A$192&gt;35,EJ19+EI20-ER19,IF(A20&lt;'Données projet'!$A$192,$EG$205^A20,IF(A20='Données projet'!$A$192,'Données projet'!$B$192,EJ19+EI20-ER19)))</f>
        <v>57.68988938108977</v>
      </c>
      <c r="EK20" s="17">
        <f>EJ20*VLOOKUP('Données projet'!$B$15,Paramètres!$A$1:$I$89,3,0)*VLOOKUP('Données projet'!$B$15,Paramètres!$A$1:$I$89,5,0)</f>
        <v>35.998490973800017</v>
      </c>
      <c r="EL20" s="13">
        <f t="shared" si="45"/>
        <v>10.931628613122477</v>
      </c>
      <c r="EM20" s="20">
        <f t="shared" si="19"/>
        <v>81.736624947223348</v>
      </c>
      <c r="EN20" s="59">
        <f t="shared" si="20"/>
        <v>375.06995828055665</v>
      </c>
      <c r="EO20" s="59">
        <f ca="1">AVERAGE(OFFSET($EN$3,0,0,'Données projet'!$E$15+1,1))-AVERAGE(OFFSET($H$3,0,0,'Données projet'!$E$15+1,1))</f>
        <v>209.93608079129638</v>
      </c>
      <c r="EP20" s="59">
        <f t="shared" si="46"/>
        <v>240.15652428700969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4.75</v>
      </c>
      <c r="N21" s="13">
        <f>IF('Données projet'!$A$36&gt;35,N20+M21-V20,IF(A21&lt;'Données projet'!$A$36,$K$205^A21,IF(A21='Données projet'!$A$36,'Données projet'!$B$36,N20+M21-V20)))</f>
        <v>60.249194467085609</v>
      </c>
      <c r="O21" s="13">
        <f>N21*VLOOKUP('Données projet'!$B$9,Paramètres!$A$1:$I$89,3,0)*VLOOKUP('Données projet'!$B$9,Paramètres!$A$1:$I$89,5,0)</f>
        <v>47.934259118013308</v>
      </c>
      <c r="P21" s="13">
        <f t="shared" si="33"/>
        <v>14.078970127192205</v>
      </c>
      <c r="Q21" s="20">
        <f t="shared" si="2"/>
        <v>108.00637426873294</v>
      </c>
      <c r="R21" s="59">
        <f t="shared" si="0"/>
        <v>401.33970760206626</v>
      </c>
      <c r="S21" s="59">
        <f ca="1">AVERAGE(OFFSET($R$3,0,0,'Données projet'!$E$9+1,1))-AVERAGE(OFFSET($H$3,0,0,'Données projet'!$E$9+1,1))</f>
        <v>199.58763537752952</v>
      </c>
      <c r="T21" s="59">
        <f t="shared" si="34"/>
        <v>242.62852778451929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3.05</v>
      </c>
      <c r="AI21" s="13">
        <f>IF('Données projet'!$A$62&gt;35,AI20+AH21-AQ20,IF(A21&lt;'Données projet'!$A$62,$AF$205^A21,IF(A21='Données projet'!$A$62,'Données projet'!$B$62,AI20+AH21-AQ20)))</f>
        <v>40.438668882841881</v>
      </c>
      <c r="AJ21" s="13">
        <f>AI21*VLOOKUP('Données projet'!$B$10,Paramètres!$A$1:$I$89,3,0)*VLOOKUP('Données projet'!$B$10,Paramètres!$A$1:$I$89,5,0)</f>
        <v>24.182323991939445</v>
      </c>
      <c r="AK21" s="13">
        <f t="shared" si="35"/>
        <v>7.6914979572430608</v>
      </c>
      <c r="AL21" s="20">
        <f t="shared" si="4"/>
        <v>55.513573228159537</v>
      </c>
      <c r="AM21" s="59">
        <f t="shared" si="5"/>
        <v>348.84690656149286</v>
      </c>
      <c r="AN21" s="59">
        <f ca="1">AVERAGE(OFFSET($AM$3,0,0,'Données projet'!$E$10+1,1))-AVERAGE(OFFSET($H$3,0,0,'Données projet'!$E$10+1,1))</f>
        <v>287.78657453117694</v>
      </c>
      <c r="AO21" s="59">
        <f t="shared" si="36"/>
        <v>153.31562485362252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17.024999999999999</v>
      </c>
      <c r="BD21" s="12">
        <f>IF('Données projet'!$A$88&gt;35,BD20+BC21-BL20,IF(A21&lt;'Données projet'!$A$88,$BA$205^A21,IF(A21='Données projet'!$A$88,'Données projet'!$B$88,BD20+BC21-BL20)))</f>
        <v>110.95961538461538</v>
      </c>
      <c r="BE21" s="13">
        <f>BD21*VLOOKUP('Données projet'!$B$11,Paramètres!$A$1:$I$89,3,0)*VLOOKUP('Données projet'!$B$11,Paramètres!$A$1:$I$89,5,0)</f>
        <v>66.353849999999994</v>
      </c>
      <c r="BF21" s="13">
        <f t="shared" si="37"/>
        <v>18.765190360416003</v>
      </c>
      <c r="BG21" s="20">
        <f t="shared" si="7"/>
        <v>148.24899529439116</v>
      </c>
      <c r="BH21" s="59">
        <f t="shared" si="8"/>
        <v>441.58232862772445</v>
      </c>
      <c r="BI21" s="59">
        <f ca="1">AVERAGE(OFFSET($BH$3,0,0,'Données projet'!$E$11+1,1))-AVERAGE(OFFSET($H$3,0,0,'Données projet'!$E$11+1,1))</f>
        <v>250.93905519128998</v>
      </c>
      <c r="BJ21" s="59">
        <f t="shared" si="38"/>
        <v>222.32879462265032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13.468131868131868</v>
      </c>
      <c r="BY21" s="12">
        <f>IF('Données projet'!$A$114&gt;35,BY20+BX21-CG20,IF(A21&lt;'Données projet'!$A$114,$BV$205^A21,IF(A21='Données projet'!$A$114,'Données projet'!$B$114,BY20+BX21-CG20)))</f>
        <v>76.112087912087915</v>
      </c>
      <c r="BZ21" s="13">
        <f>BY21*VLOOKUP('Données projet'!$B$12,Paramètres!$A$1:$I$89,3,0)*VLOOKUP('Données projet'!$B$12,Paramètres!$A$1:$I$89,5,0)</f>
        <v>45.515028571428573</v>
      </c>
      <c r="CA21" s="13">
        <f t="shared" si="39"/>
        <v>13.449237521387609</v>
      </c>
      <c r="CB21" s="20">
        <f t="shared" si="10"/>
        <v>102.69609677832152</v>
      </c>
      <c r="CC21" s="59">
        <f t="shared" si="11"/>
        <v>396.02943011165485</v>
      </c>
      <c r="CD21" s="59">
        <f ca="1">AVERAGE(OFFSET($CC$3,0,0,'Données projet'!$E$12+1,1))-AVERAGE(OFFSET($H$3,0,0,'Données projet'!$E$12+1,1))</f>
        <v>179.32848817523677</v>
      </c>
      <c r="CE21" s="59">
        <f t="shared" si="40"/>
        <v>131.3292389103035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3.6141025641025637</v>
      </c>
      <c r="CT21" s="12">
        <f>IF('Données projet'!$A$140&gt;35,CT20+CS21-DB20,IF(A21&lt;'Données projet'!$A$140,$CQ$205^A21,IF(A21='Données projet'!$A$140,'Données projet'!$B$140,CT20+CS21-DB20)))</f>
        <v>16.636924155050774</v>
      </c>
      <c r="CU21" s="17">
        <f>CT21*VLOOKUP('Données projet'!$B$13,Paramètres!$A$1:$I$89,3,0)*VLOOKUP('Données projet'!$B$13,Paramètres!$A$1:$I$89,5,0)</f>
        <v>15.053088975489938</v>
      </c>
      <c r="CV21" s="13">
        <f t="shared" si="41"/>
        <v>5.0594355775449955</v>
      </c>
      <c r="CW21" s="20">
        <f t="shared" si="13"/>
        <v>35.029313596535836</v>
      </c>
      <c r="CX21" s="59">
        <f t="shared" si="14"/>
        <v>328.36264692986913</v>
      </c>
      <c r="CY21" s="59">
        <f ca="1">AVERAGE(OFFSET($CX$3,0,0,'Données projet'!$E$13+1,1))-AVERAGE(OFFSET($H$3,0,0,'Données projet'!$E$13+1,1))</f>
        <v>309.07357540707869</v>
      </c>
      <c r="CZ21" s="59">
        <f t="shared" si="42"/>
        <v>155.9593924683299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9.6</v>
      </c>
      <c r="DO21" s="12">
        <f>IF('Données projet'!$A$166&gt;35,DO20+DN21-DW20,IF(A21&lt;'Données projet'!$A$166,$DL$205^A21,IF(A21='Données projet'!$A$166,'Données projet'!$B$166,DO20+DN21-DW20)))</f>
        <v>88.799999999999983</v>
      </c>
      <c r="DP21" s="17">
        <f>DO21*VLOOKUP('Données projet'!$B$14,Paramètres!$A$1:$I$89,3,0)*VLOOKUP('Données projet'!$B$14,Paramètres!$A$1:$I$89,5,0)</f>
        <v>77.575679999999991</v>
      </c>
      <c r="DQ21" s="13">
        <f t="shared" si="43"/>
        <v>21.543367858551072</v>
      </c>
      <c r="DR21" s="20">
        <f t="shared" si="16"/>
        <v>172.63234168697639</v>
      </c>
      <c r="DS21" s="59">
        <f t="shared" si="17"/>
        <v>465.96567502030973</v>
      </c>
      <c r="DT21" s="59">
        <f ca="1">AVERAGE(OFFSET($DS$3,0,0,'Données projet'!$E$14+1,1))-AVERAGE(OFFSET($H$3,0,0,'Données projet'!$E$14+1,1))</f>
        <v>210.07838338464626</v>
      </c>
      <c r="DU21" s="59">
        <f t="shared" si="44"/>
        <v>241.76003724236273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5.9</v>
      </c>
      <c r="EJ21" s="12">
        <f>IF('Données projet'!$A$192&gt;35,EJ20+EI21-ER20,IF(A21&lt;'Données projet'!$A$192,$EG$205^A21,IF(A21='Données projet'!$A$192,'Données projet'!$B$192,EJ20+EI21-ER20)))</f>
        <v>73.23080472494604</v>
      </c>
      <c r="EK21" s="17">
        <f>EJ21*VLOOKUP('Données projet'!$B$15,Paramètres!$A$1:$I$89,3,0)*VLOOKUP('Données projet'!$B$15,Paramètres!$A$1:$I$89,5,0)</f>
        <v>45.696022148366332</v>
      </c>
      <c r="EL21" s="13">
        <f t="shared" si="45"/>
        <v>13.496483118197693</v>
      </c>
      <c r="EM21" s="20">
        <f t="shared" si="19"/>
        <v>103.09361333926567</v>
      </c>
      <c r="EN21" s="59">
        <f t="shared" si="20"/>
        <v>396.426946672599</v>
      </c>
      <c r="EO21" s="59">
        <f ca="1">AVERAGE(OFFSET($EN$3,0,0,'Données projet'!$E$15+1,1))-AVERAGE(OFFSET($H$3,0,0,'Données projet'!$E$15+1,1))</f>
        <v>209.93608079129638</v>
      </c>
      <c r="EP21" s="59">
        <f t="shared" si="46"/>
        <v>240.15652428700969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4.75</v>
      </c>
      <c r="N22" s="13">
        <f>IF('Données projet'!$A$36&gt;35,N21+M22-V21,IF(A22&lt;'Données projet'!$A$36,$K$205^A22,IF(A22='Données projet'!$A$36,'Données projet'!$B$36,N21+M22-V21)))</f>
        <v>75.65496331618381</v>
      </c>
      <c r="O22" s="13">
        <f>N22*VLOOKUP('Données projet'!$B$9,Paramètres!$A$1:$I$89,3,0)*VLOOKUP('Données projet'!$B$9,Paramètres!$A$1:$I$89,5,0)</f>
        <v>60.191088814355844</v>
      </c>
      <c r="P22" s="13">
        <f t="shared" si="33"/>
        <v>17.216573315614252</v>
      </c>
      <c r="Q22" s="20">
        <f t="shared" si="2"/>
        <v>134.81834487636456</v>
      </c>
      <c r="R22" s="59">
        <f t="shared" si="0"/>
        <v>428.15167820969788</v>
      </c>
      <c r="S22" s="59">
        <f ca="1">AVERAGE(OFFSET($R$3,0,0,'Données projet'!$E$9+1,1))-AVERAGE(OFFSET($H$3,0,0,'Données projet'!$E$9+1,1))</f>
        <v>199.58763537752952</v>
      </c>
      <c r="T22" s="59">
        <f t="shared" si="34"/>
        <v>242.62852778451929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3.05</v>
      </c>
      <c r="AI22" s="13">
        <f>IF('Données projet'!$A$62&gt;35,AI21+AH22-AQ21,IF(A22&lt;'Données projet'!$A$62,$AF$205^A22,IF(A22='Données projet'!$A$62,'Données projet'!$B$62,AI21+AH22-AQ21)))</f>
        <v>49.666475633503048</v>
      </c>
      <c r="AJ22" s="13">
        <f>AI22*VLOOKUP('Données projet'!$B$10,Paramètres!$A$1:$I$89,3,0)*VLOOKUP('Données projet'!$B$10,Paramètres!$A$1:$I$89,5,0)</f>
        <v>29.700552428834825</v>
      </c>
      <c r="AK22" s="13">
        <f t="shared" si="35"/>
        <v>9.2233099025527991</v>
      </c>
      <c r="AL22" s="20">
        <f t="shared" si="4"/>
        <v>67.792393560500116</v>
      </c>
      <c r="AM22" s="59">
        <f t="shared" si="5"/>
        <v>361.12572689383342</v>
      </c>
      <c r="AN22" s="59">
        <f ca="1">AVERAGE(OFFSET($AM$3,0,0,'Données projet'!$E$10+1,1))-AVERAGE(OFFSET($H$3,0,0,'Données projet'!$E$10+1,1))</f>
        <v>287.78657453117694</v>
      </c>
      <c r="AO22" s="59">
        <f t="shared" si="36"/>
        <v>153.31562485362252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>
        <f>VLOOKUP(A22,'Données projet'!$A$87:$I$107,2,0)</f>
        <v>127.98461538461538</v>
      </c>
      <c r="BB22" s="12">
        <f>VLOOKUP(A22,'Données projet'!$A$87:$I$107,9,0)</f>
        <v>17.024999999999999</v>
      </c>
      <c r="BC22" s="12">
        <f t="array" ref="BC22">INDEX(BB:BB,MIN(IF(ISNUMBER(BB22:BB218),ROW(BB22:BB218),"")))</f>
        <v>17.024999999999999</v>
      </c>
      <c r="BD22" s="12">
        <f>IF('Données projet'!$A$88&gt;35,BD21+BC22-BL21,IF(A22&lt;'Données projet'!$A$88,$BA$205^A22,IF(A22='Données projet'!$A$88,'Données projet'!$B$88,BD21+BC22-BL21)))</f>
        <v>127.98461538461538</v>
      </c>
      <c r="BE22" s="13">
        <f>BD22*VLOOKUP('Données projet'!$B$11,Paramètres!$A$1:$I$89,3,0)*VLOOKUP('Données projet'!$B$11,Paramètres!$A$1:$I$89,5,0)</f>
        <v>76.534800000000004</v>
      </c>
      <c r="BF22" s="13">
        <f t="shared" si="37"/>
        <v>21.287753590702248</v>
      </c>
      <c r="BG22" s="20">
        <f t="shared" si="7"/>
        <v>170.37428083713976</v>
      </c>
      <c r="BH22" s="59">
        <f t="shared" si="8"/>
        <v>463.70761417047311</v>
      </c>
      <c r="BI22" s="59">
        <f ca="1">AVERAGE(OFFSET($BH$3,0,0,'Données projet'!$E$11+1,1))-AVERAGE(OFFSET($H$3,0,0,'Données projet'!$E$11+1,1))</f>
        <v>250.93905519128998</v>
      </c>
      <c r="BJ22" s="59">
        <f t="shared" si="38"/>
        <v>222.32879462265032</v>
      </c>
      <c r="BK22" s="15">
        <f>IF(ISNA(VLOOKUP(A22,'Données projet'!$A$87:$I$107,3,0)),0,VLOOKUP(A22,'Données projet'!$A$87:$I$107,3,0))</f>
        <v>1</v>
      </c>
      <c r="BL22" s="15">
        <f>IF(ISNA(VLOOKUP(A22,'Données projet'!$A$87:$I$107,4,0)),0,VLOOKUP(A22,'Données projet'!$A$87:$I$107,4,0))</f>
        <v>46.53846153846154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0.22500000000000001</v>
      </c>
      <c r="BO22" s="16">
        <f>IF(ISNA(VLOOKUP(A22,'Données projet'!$A$87:$I$107,7,0)),0%,VLOOKUP(A22,'Données projet'!$A$87:$I$107,7,0))</f>
        <v>0.5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8.2739086706083711</v>
      </c>
      <c r="BR22" s="21">
        <f>EXP(-LN(2)/2)*BR21+(1-EXP(-LN(2)/2))/(LN(2)/2)*BL22*BO22*VLOOKUP('Données projet'!$B$11,Paramètres!$A$1:$I$89,3,0)*0.475*44/12</f>
        <v>15.755012420080774</v>
      </c>
      <c r="BS22" s="22">
        <f t="shared" si="9"/>
        <v>24.028921090689146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13.468131868131868</v>
      </c>
      <c r="BY22" s="12">
        <f>IF('Données projet'!$A$114&gt;35,BY21+BX22-CG21,IF(A22&lt;'Données projet'!$A$114,$BV$205^A22,IF(A22='Données projet'!$A$114,'Données projet'!$B$114,BY21+BX22-CG21)))</f>
        <v>89.580219780219778</v>
      </c>
      <c r="BZ22" s="13">
        <f>BY22*VLOOKUP('Données projet'!$B$12,Paramètres!$A$1:$I$89,3,0)*VLOOKUP('Données projet'!$B$12,Paramètres!$A$1:$I$89,5,0)</f>
        <v>53.56897142857143</v>
      </c>
      <c r="CA22" s="13">
        <f t="shared" si="39"/>
        <v>15.531731116329365</v>
      </c>
      <c r="CB22" s="20">
        <f t="shared" si="10"/>
        <v>120.35039026570223</v>
      </c>
      <c r="CC22" s="59">
        <f t="shared" si="11"/>
        <v>413.68372359903555</v>
      </c>
      <c r="CD22" s="59">
        <f ca="1">AVERAGE(OFFSET($CC$3,0,0,'Données projet'!$E$12+1,1))-AVERAGE(OFFSET($H$3,0,0,'Données projet'!$E$12+1,1))</f>
        <v>179.32848817523677</v>
      </c>
      <c r="CE22" s="59">
        <f t="shared" si="40"/>
        <v>131.3292389103035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3.6141025641025637</v>
      </c>
      <c r="CT22" s="12">
        <f>IF('Données projet'!$A$140&gt;35,CT21+CS22-DB21,IF(A22&lt;'Données projet'!$A$140,$CQ$205^A22,IF(A22='Données projet'!$A$140,'Données projet'!$B$140,CT21+CS22-DB21)))</f>
        <v>19.449588965435588</v>
      </c>
      <c r="CU22" s="17">
        <f>CT22*VLOOKUP('Données projet'!$B$13,Paramètres!$A$1:$I$89,3,0)*VLOOKUP('Données projet'!$B$13,Paramètres!$A$1:$I$89,5,0)</f>
        <v>17.597988095926119</v>
      </c>
      <c r="CV22" s="13">
        <f t="shared" si="41"/>
        <v>5.8082217526308648</v>
      </c>
      <c r="CW22" s="20">
        <f t="shared" si="13"/>
        <v>40.765815486236747</v>
      </c>
      <c r="CX22" s="59">
        <f t="shared" si="14"/>
        <v>334.09914881957008</v>
      </c>
      <c r="CY22" s="59">
        <f ca="1">AVERAGE(OFFSET($CX$3,0,0,'Données projet'!$E$13+1,1))-AVERAGE(OFFSET($H$3,0,0,'Données projet'!$E$13+1,1))</f>
        <v>309.07357540707869</v>
      </c>
      <c r="CZ22" s="59">
        <f t="shared" si="42"/>
        <v>155.9593924683299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9.6</v>
      </c>
      <c r="DO22" s="12">
        <f>IF('Données projet'!$A$166&gt;35,DO21+DN22-DW21,IF(A22&lt;'Données projet'!$A$166,$DL$205^A22,IF(A22='Données projet'!$A$166,'Données projet'!$B$166,DO21+DN22-DW21)))</f>
        <v>98.399999999999977</v>
      </c>
      <c r="DP22" s="17">
        <f>DO22*VLOOKUP('Données projet'!$B$14,Paramètres!$A$1:$I$89,3,0)*VLOOKUP('Données projet'!$B$14,Paramètres!$A$1:$I$89,5,0)</f>
        <v>85.962239999999994</v>
      </c>
      <c r="DQ22" s="13">
        <f t="shared" si="43"/>
        <v>23.588828321049387</v>
      </c>
      <c r="DR22" s="20">
        <f t="shared" si="16"/>
        <v>190.80144399249434</v>
      </c>
      <c r="DS22" s="59">
        <f t="shared" si="17"/>
        <v>484.13477732582766</v>
      </c>
      <c r="DT22" s="59">
        <f ca="1">AVERAGE(OFFSET($DS$3,0,0,'Données projet'!$E$14+1,1))-AVERAGE(OFFSET($H$3,0,0,'Données projet'!$E$14+1,1))</f>
        <v>210.07838338464626</v>
      </c>
      <c r="DU22" s="59">
        <f t="shared" si="44"/>
        <v>241.76003724236273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5.9</v>
      </c>
      <c r="EJ22" s="12">
        <f>IF('Données projet'!$A$192&gt;35,EJ21+EI22-ER21,IF(A22&lt;'Données projet'!$A$192,$EG$205^A22,IF(A22='Données projet'!$A$192,'Données projet'!$B$192,EJ21+EI22-ER21)))</f>
        <v>92.958243085503995</v>
      </c>
      <c r="EK22" s="17">
        <f>EJ22*VLOOKUP('Données projet'!$B$15,Paramètres!$A$1:$I$89,3,0)*VLOOKUP('Données projet'!$B$15,Paramètres!$A$1:$I$89,5,0)</f>
        <v>58.005943685354488</v>
      </c>
      <c r="EL22" s="13">
        <f t="shared" si="45"/>
        <v>16.663121571943435</v>
      </c>
      <c r="EM22" s="20">
        <f t="shared" si="19"/>
        <v>130.04862198979387</v>
      </c>
      <c r="EN22" s="59">
        <f t="shared" si="20"/>
        <v>423.38195532312716</v>
      </c>
      <c r="EO22" s="59">
        <f ca="1">AVERAGE(OFFSET($EN$3,0,0,'Données projet'!$E$15+1,1))-AVERAGE(OFFSET($H$3,0,0,'Données projet'!$E$15+1,1))</f>
        <v>209.93608079129638</v>
      </c>
      <c r="EP22" s="59">
        <f t="shared" si="46"/>
        <v>240.15652428700969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95</v>
      </c>
      <c r="L23" s="12">
        <f>VLOOKUP(A23,'Données projet'!$A$35:$I$55,9,0)</f>
        <v>4.75</v>
      </c>
      <c r="M23" s="12">
        <f t="array" ref="M23">INDEX(L:L,MIN(IF(ISNUMBER(L23:L219),ROW(L23:L219),"")))</f>
        <v>4.75</v>
      </c>
      <c r="N23" s="13">
        <f>IF('Données projet'!$A$36&gt;35,N22+M23-V22,IF(A23&lt;'Données projet'!$A$36,$K$205^A23,IF(A23='Données projet'!$A$36,'Données projet'!$B$36,N22+M23-V22)))</f>
        <v>95</v>
      </c>
      <c r="O23" s="13">
        <f>N23*VLOOKUP('Données projet'!$B$9,Paramètres!$A$1:$I$89,3,0)*VLOOKUP('Données projet'!$B$9,Paramètres!$A$1:$I$89,5,0)</f>
        <v>75.582000000000008</v>
      </c>
      <c r="P23" s="13">
        <f t="shared" si="33"/>
        <v>21.053414706764137</v>
      </c>
      <c r="Q23" s="20">
        <f t="shared" si="2"/>
        <v>168.30668061428091</v>
      </c>
      <c r="R23" s="59">
        <f t="shared" si="0"/>
        <v>461.64001394761419</v>
      </c>
      <c r="S23" s="59">
        <f ca="1">AVERAGE(OFFSET($R$3,0,0,'Données projet'!$E$9+1,1))-AVERAGE(OFFSET($H$3,0,0,'Données projet'!$E$9+1,1))</f>
        <v>199.58763537752952</v>
      </c>
      <c r="T23" s="59">
        <f t="shared" si="34"/>
        <v>242.62852778451929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43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0.13250000000000001</v>
      </c>
      <c r="Y23" s="16">
        <f>IF(ISNA(VLOOKUP(A23,'Données projet'!$A$35:$I$55,7,0)),0%,VLOOKUP(A23,'Données projet'!$A$35:$I$55,7,0))</f>
        <v>0.25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4.9912906541261721</v>
      </c>
      <c r="AB23" s="21">
        <f>EXP(-LN(2)/2)*AB22+(1-EXP(-LN(2)/2))/(LN(2)/2)*V23*Y23*VLOOKUP('Données projet'!$B$9,Paramètres!$A$1:$I$89,3,0)*0.475*44/12</f>
        <v>8.0697026425455061</v>
      </c>
      <c r="AC23" s="22">
        <f t="shared" si="3"/>
        <v>13.060993296671679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61</v>
      </c>
      <c r="AG23" s="12">
        <f>VLOOKUP(A23,'Données projet'!$A$61:$I$81,9,0)</f>
        <v>3.05</v>
      </c>
      <c r="AH23" s="12">
        <f t="array" ref="AH23">INDEX(AG:AG,MIN(IF(ISNUMBER(AG23:AG219),ROW(AG23:AG219),"")))</f>
        <v>3.05</v>
      </c>
      <c r="AI23" s="13">
        <f>IF('Données projet'!$A$62&gt;35,AI22+AH23-AQ22,IF(A23&lt;'Données projet'!$A$62,$AF$205^A23,IF(A23='Données projet'!$A$62,'Données projet'!$B$62,AI22+AH23-AQ22)))</f>
        <v>61</v>
      </c>
      <c r="AJ23" s="13">
        <f>AI23*VLOOKUP('Données projet'!$B$10,Paramètres!$A$1:$I$89,3,0)*VLOOKUP('Données projet'!$B$10,Paramètres!$A$1:$I$89,5,0)</f>
        <v>36.478000000000002</v>
      </c>
      <c r="AK23" s="13">
        <f t="shared" si="35"/>
        <v>11.06019217991456</v>
      </c>
      <c r="AL23" s="20">
        <f t="shared" si="4"/>
        <v>82.795684713351179</v>
      </c>
      <c r="AM23" s="59">
        <f t="shared" si="5"/>
        <v>376.12901804668451</v>
      </c>
      <c r="AN23" s="59">
        <f ca="1">AVERAGE(OFFSET($AM$3,0,0,'Données projet'!$E$10+1,1))-AVERAGE(OFFSET($H$3,0,0,'Données projet'!$E$10+1,1))</f>
        <v>287.78657453117694</v>
      </c>
      <c r="AO23" s="59">
        <f t="shared" si="36"/>
        <v>153.31562485362252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15.7</v>
      </c>
      <c r="BD23" s="12">
        <f>IF('Données projet'!$A$88&gt;35,BD22+BC23-BL22,IF(A23&lt;'Données projet'!$A$88,$BA$205^A23,IF(A23='Données projet'!$A$88,'Données projet'!$B$88,BD22+BC23-BL22)))</f>
        <v>97.146153846153823</v>
      </c>
      <c r="BE23" s="13">
        <f>BD23*VLOOKUP('Données projet'!$B$11,Paramètres!$A$1:$I$89,3,0)*VLOOKUP('Données projet'!$B$11,Paramètres!$A$1:$I$89,5,0)</f>
        <v>58.093399999999988</v>
      </c>
      <c r="BF23" s="13">
        <f t="shared" si="37"/>
        <v>16.68531848887627</v>
      </c>
      <c r="BG23" s="20">
        <f t="shared" si="7"/>
        <v>130.23960136812613</v>
      </c>
      <c r="BH23" s="59">
        <f t="shared" si="8"/>
        <v>423.57293470145942</v>
      </c>
      <c r="BI23" s="59">
        <f ca="1">AVERAGE(OFFSET($BH$3,0,0,'Données projet'!$E$11+1,1))-AVERAGE(OFFSET($H$3,0,0,'Données projet'!$E$11+1,1))</f>
        <v>250.93905519128998</v>
      </c>
      <c r="BJ23" s="59">
        <f t="shared" si="38"/>
        <v>222.32879462265032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8.0476582029046391</v>
      </c>
      <c r="BR23" s="21">
        <f>EXP(-LN(2)/2)*BR22+(1-EXP(-LN(2)/2))/(LN(2)/2)*BL23*BO23*VLOOKUP('Données projet'!$B$11,Paramètres!$A$1:$I$89,3,0)*0.475*44/12</f>
        <v>11.140476119917395</v>
      </c>
      <c r="BS23" s="22">
        <f t="shared" si="9"/>
        <v>19.188134322822034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13.468131868131868</v>
      </c>
      <c r="BY23" s="12">
        <f>IF('Données projet'!$A$114&gt;35,BY22+BX23-CG22,IF(A23&lt;'Données projet'!$A$114,$BV$205^A23,IF(A23='Données projet'!$A$114,'Données projet'!$B$114,BY22+BX23-CG22)))</f>
        <v>103.04835164835164</v>
      </c>
      <c r="BZ23" s="13">
        <f>BY23*VLOOKUP('Données projet'!$B$12,Paramètres!$A$1:$I$89,3,0)*VLOOKUP('Données projet'!$B$12,Paramètres!$A$1:$I$89,5,0)</f>
        <v>61.622914285714288</v>
      </c>
      <c r="CA23" s="13">
        <f t="shared" si="39"/>
        <v>17.577953130673084</v>
      </c>
      <c r="CB23" s="20">
        <f t="shared" si="10"/>
        <v>137.94151075020798</v>
      </c>
      <c r="CC23" s="59">
        <f t="shared" si="11"/>
        <v>431.27484408354132</v>
      </c>
      <c r="CD23" s="59">
        <f ca="1">AVERAGE(OFFSET($CC$3,0,0,'Données projet'!$E$12+1,1))-AVERAGE(OFFSET($H$3,0,0,'Données projet'!$E$12+1,1))</f>
        <v>179.32848817523677</v>
      </c>
      <c r="CE23" s="59">
        <f t="shared" si="40"/>
        <v>131.3292389103035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3.6141025641025637</v>
      </c>
      <c r="CT23" s="12">
        <f>IF('Données projet'!$A$140&gt;35,CT22+CS23-DB22,IF(A23&lt;'Données projet'!$A$140,$CQ$205^A23,IF(A23='Données projet'!$A$140,'Données projet'!$B$140,CT22+CS23-DB22)))</f>
        <v>22.73776735404245</v>
      </c>
      <c r="CU23" s="17">
        <f>CT23*VLOOKUP('Données projet'!$B$13,Paramètres!$A$1:$I$89,3,0)*VLOOKUP('Données projet'!$B$13,Paramètres!$A$1:$I$89,5,0)</f>
        <v>20.573131901937611</v>
      </c>
      <c r="CV23" s="13">
        <f t="shared" si="41"/>
        <v>6.6678267586725299</v>
      </c>
      <c r="CW23" s="20">
        <f t="shared" si="13"/>
        <v>47.444669667229327</v>
      </c>
      <c r="CX23" s="59">
        <f t="shared" si="14"/>
        <v>340.77800300056265</v>
      </c>
      <c r="CY23" s="59">
        <f ca="1">AVERAGE(OFFSET($CX$3,0,0,'Données projet'!$E$13+1,1))-AVERAGE(OFFSET($H$3,0,0,'Données projet'!$E$13+1,1))</f>
        <v>309.07357540707869</v>
      </c>
      <c r="CZ23" s="59">
        <f t="shared" si="42"/>
        <v>155.9593924683299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108</v>
      </c>
      <c r="DM23" s="12">
        <f>VLOOKUP(A23,'Données projet'!$A$165:$I$185,9,0)</f>
        <v>9.6</v>
      </c>
      <c r="DN23" s="12">
        <f t="array" ref="DN23">INDEX(DM:DM,MIN(IF(ISNUMBER(DM23:DM219),ROW(DM23:DM219),"")))</f>
        <v>9.6</v>
      </c>
      <c r="DO23" s="12">
        <f>IF('Données projet'!$A$166&gt;35,DO22+DN23-DW22,IF(A23&lt;'Données projet'!$A$166,$DL$205^A23,IF(A23='Données projet'!$A$166,'Données projet'!$B$166,DO22+DN23-DW22)))</f>
        <v>107.99999999999997</v>
      </c>
      <c r="DP23" s="17">
        <f>DO23*VLOOKUP('Données projet'!$B$14,Paramètres!$A$1:$I$89,3,0)*VLOOKUP('Données projet'!$B$14,Paramètres!$A$1:$I$89,5,0)</f>
        <v>94.348799999999983</v>
      </c>
      <c r="DQ23" s="13">
        <f t="shared" si="43"/>
        <v>25.611153022386461</v>
      </c>
      <c r="DR23" s="20">
        <f t="shared" si="16"/>
        <v>208.9302515139897</v>
      </c>
      <c r="DS23" s="59">
        <f t="shared" si="17"/>
        <v>502.26358484732305</v>
      </c>
      <c r="DT23" s="59">
        <f ca="1">AVERAGE(OFFSET($DS$3,0,0,'Données projet'!$E$14+1,1))-AVERAGE(OFFSET($H$3,0,0,'Données projet'!$E$14+1,1))</f>
        <v>210.07838338464626</v>
      </c>
      <c r="DU23" s="59">
        <f t="shared" si="44"/>
        <v>241.76003724236273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41</v>
      </c>
      <c r="DX23" s="16">
        <f>IF(ISNA(VLOOKUP(A23,'Données projet'!$A$165:$I$185,5,0)),0%,VLOOKUP(A23,'Données projet'!$A$165:$I$185,5,0)*VLOOKUP('Données projet'!$B$14,Paramètres!$A$1:$I$89,7,0))</f>
        <v>4.3000000000000003E-2</v>
      </c>
      <c r="DY23" s="16">
        <f>IF(ISNA(VLOOKUP(A23,'Données projet'!$A$165:$I$185,6,0)),0%,VLOOKUP(A23,'Données projet'!$A$165:$I$185,6,0)*VLOOKUP('Données projet'!$B$14,Paramètres!$A$1:$I$89,7,0))</f>
        <v>0.19350000000000001</v>
      </c>
      <c r="DZ23" s="16">
        <f>IF(ISNA(VLOOKUP(A23,'Données projet'!$A$165:$I$185,7,0)),0%,VLOOKUP(A23,'Données projet'!$A$165:$I$185,7,0))</f>
        <v>0.45</v>
      </c>
      <c r="EA23" s="21">
        <f>EXP(-LN(2)/35)*EA22+(1-EXP(-LN(2)/35))/(LN(2)/35)*DW23*DX23*VLOOKUP('Données projet'!$B$14,Paramètres!$A$1:$I$89,3,0)*0.475*44/12</f>
        <v>1.7025977222362545</v>
      </c>
      <c r="EB23" s="21">
        <f>EXP(-LN(2)/25)*EB22+(1-EXP(-LN(2)/25))/(LN(2)/25)*Calculateur!DW23*Calculateur!DY23*VLOOKUP('Données projet'!$B$14,Paramètres!$A$1:$I$89,3,0)*0.475*44/12</f>
        <v>7.63152275818448</v>
      </c>
      <c r="EC23" s="21">
        <f>EXP(-LN(2)/2)*EC22+(1-EXP(-LN(2)/2))/(LN(2)/2)*DW23*DZ23*VLOOKUP('Données projet'!$B$14,Paramètres!$A$1:$I$89,3,0)*0.475*44/12</f>
        <v>15.20769132745648</v>
      </c>
      <c r="ED23" s="22">
        <f t="shared" si="18"/>
        <v>24.541811807877217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118</v>
      </c>
      <c r="EH23" s="12">
        <f>VLOOKUP(A23,'Données projet'!$A$191:$I$211,9,0)</f>
        <v>5.9</v>
      </c>
      <c r="EI23" s="12">
        <f t="array" ref="EI23">INDEX(EH:EH,MIN(IF(ISNUMBER(EH23:EH219),ROW(EH23:EH219),"")))</f>
        <v>5.9</v>
      </c>
      <c r="EJ23" s="12">
        <f>IF('Données projet'!$A$192&gt;35,EJ22+EI23-ER22,IF(A23&lt;'Données projet'!$A$192,$EG$205^A23,IF(A23='Données projet'!$A$192,'Données projet'!$B$192,EJ22+EI23-ER22)))</f>
        <v>118</v>
      </c>
      <c r="EK23" s="17">
        <f>EJ23*VLOOKUP('Données projet'!$B$15,Paramètres!$A$1:$I$89,3,0)*VLOOKUP('Données projet'!$B$15,Paramètres!$A$1:$I$89,5,0)</f>
        <v>73.632000000000005</v>
      </c>
      <c r="EL23" s="13">
        <f t="shared" si="45"/>
        <v>20.572738697163981</v>
      </c>
      <c r="EM23" s="20">
        <f t="shared" si="19"/>
        <v>164.07325323089393</v>
      </c>
      <c r="EN23" s="59">
        <f t="shared" si="20"/>
        <v>457.40658656422727</v>
      </c>
      <c r="EO23" s="59">
        <f ca="1">AVERAGE(OFFSET($EN$3,0,0,'Données projet'!$E$15+1,1))-AVERAGE(OFFSET($H$3,0,0,'Données projet'!$E$15+1,1))</f>
        <v>209.93608079129638</v>
      </c>
      <c r="EP23" s="59">
        <f t="shared" si="46"/>
        <v>240.15652428700969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37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0.3</v>
      </c>
      <c r="EU23" s="16">
        <f>IF(ISNA(VLOOKUP(A23,'Données projet'!$A$191:$I$211,7,0)),0%,VLOOKUP(A23,'Données projet'!$A$191:$I$211,7,0))</f>
        <v>0.5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9.1521381428676971</v>
      </c>
      <c r="EX23" s="21">
        <f>EXP(-LN(2)/2)*EX22+(1-EXP(-LN(2)/2))/(LN(2)/2)*ER23*EU23*VLOOKUP('Données projet'!$B$15,Paramètres!$A$1:$I$89,3,0)*0.475*44/12</f>
        <v>13.070489642645519</v>
      </c>
      <c r="EY23" s="22">
        <f t="shared" si="21"/>
        <v>22.222627785513218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12.2</v>
      </c>
      <c r="N24" s="13">
        <f>IF('Données projet'!$A$36&gt;35,N23+M24-V23,IF(A24&lt;'Données projet'!$A$36,$K$205^A24,IF(A24='Données projet'!$A$36,'Données projet'!$B$36,N23+M24-V23)))</f>
        <v>64.2</v>
      </c>
      <c r="O24" s="13">
        <f>N24*VLOOKUP('Données projet'!$B$9,Paramètres!$A$1:$I$89,3,0)*VLOOKUP('Données projet'!$B$9,Paramètres!$A$1:$I$89,5,0)</f>
        <v>51.077520000000007</v>
      </c>
      <c r="P24" s="13">
        <f t="shared" si="33"/>
        <v>14.891687648984377</v>
      </c>
      <c r="Q24" s="20">
        <f t="shared" si="2"/>
        <v>114.89636998864779</v>
      </c>
      <c r="R24" s="59">
        <f t="shared" si="0"/>
        <v>408.22970332198111</v>
      </c>
      <c r="S24" s="59">
        <f ca="1">AVERAGE(OFFSET($R$3,0,0,'Données projet'!$E$9+1,1))-AVERAGE(OFFSET($H$3,0,0,'Données projet'!$E$9+1,1))</f>
        <v>199.58763537752952</v>
      </c>
      <c r="T24" s="59">
        <f t="shared" si="34"/>
        <v>242.62852778451929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4.8548035487085244</v>
      </c>
      <c r="AB24" s="21">
        <f>EXP(-LN(2)/2)*AB23+(1-EXP(-LN(2)/2))/(LN(2)/2)*V24*Y24*VLOOKUP('Données projet'!$B$9,Paramètres!$A$1:$I$89,3,0)*0.475*44/12</f>
        <v>5.7061414607029297</v>
      </c>
      <c r="AC24" s="22">
        <f t="shared" si="3"/>
        <v>10.560945009411455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10.1</v>
      </c>
      <c r="AI24" s="13">
        <f>IF('Données projet'!$A$62&gt;35,AI23+AH24-AQ23,IF(A24&lt;'Données projet'!$A$62,$AF$205^A24,IF(A24='Données projet'!$A$62,'Données projet'!$B$62,AI23+AH24-AQ23)))</f>
        <v>71.099999999999994</v>
      </c>
      <c r="AJ24" s="13">
        <f>AI24*VLOOKUP('Données projet'!$B$10,Paramètres!$A$1:$I$89,3,0)*VLOOKUP('Données projet'!$B$10,Paramètres!$A$1:$I$89,5,0)</f>
        <v>42.517799999999994</v>
      </c>
      <c r="AK24" s="13">
        <f t="shared" si="35"/>
        <v>12.66360075986489</v>
      </c>
      <c r="AL24" s="20">
        <f t="shared" si="4"/>
        <v>96.107606323431341</v>
      </c>
      <c r="AM24" s="59">
        <f t="shared" si="5"/>
        <v>389.44093965676467</v>
      </c>
      <c r="AN24" s="59">
        <f ca="1">AVERAGE(OFFSET($AM$3,0,0,'Données projet'!$E$10+1,1))-AVERAGE(OFFSET($H$3,0,0,'Données projet'!$E$10+1,1))</f>
        <v>287.78657453117694</v>
      </c>
      <c r="AO24" s="59">
        <f t="shared" si="36"/>
        <v>153.31562485362252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15.7</v>
      </c>
      <c r="BD24" s="12">
        <f>IF('Données projet'!$A$88&gt;35,BD23+BC24-BL23,IF(A24&lt;'Données projet'!$A$88,$BA$205^A24,IF(A24='Données projet'!$A$88,'Données projet'!$B$88,BD23+BC24-BL23)))</f>
        <v>112.84615384615383</v>
      </c>
      <c r="BE24" s="13">
        <f>BD24*VLOOKUP('Données projet'!$B$11,Paramètres!$A$1:$I$89,3,0)*VLOOKUP('Données projet'!$B$11,Paramètres!$A$1:$I$89,5,0)</f>
        <v>67.481999999999985</v>
      </c>
      <c r="BF24" s="13">
        <f t="shared" si="37"/>
        <v>19.046822454976283</v>
      </c>
      <c r="BG24" s="20">
        <f t="shared" si="7"/>
        <v>150.70436577575032</v>
      </c>
      <c r="BH24" s="59">
        <f t="shared" si="8"/>
        <v>444.03769910908363</v>
      </c>
      <c r="BI24" s="59">
        <f ca="1">AVERAGE(OFFSET($BH$3,0,0,'Données projet'!$E$11+1,1))-AVERAGE(OFFSET($H$3,0,0,'Données projet'!$E$11+1,1))</f>
        <v>250.93905519128998</v>
      </c>
      <c r="BJ24" s="59">
        <f t="shared" si="38"/>
        <v>222.32879462265032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7.8275945661382602</v>
      </c>
      <c r="BR24" s="21">
        <f>EXP(-LN(2)/2)*BR23+(1-EXP(-LN(2)/2))/(LN(2)/2)*BL24*BO24*VLOOKUP('Données projet'!$B$11,Paramètres!$A$1:$I$89,3,0)*0.475*44/12</f>
        <v>7.8775062100403881</v>
      </c>
      <c r="BS24" s="22">
        <f t="shared" si="9"/>
        <v>15.705100776178648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13.468131868131868</v>
      </c>
      <c r="BY24" s="12">
        <f>IF('Données projet'!$A$114&gt;35,BY23+BX24-CG23,IF(A24&lt;'Données projet'!$A$114,$BV$205^A24,IF(A24='Données projet'!$A$114,'Données projet'!$B$114,BY23+BX24-CG23)))</f>
        <v>116.5164835164835</v>
      </c>
      <c r="BZ24" s="13">
        <f>BY24*VLOOKUP('Données projet'!$B$12,Paramètres!$A$1:$I$89,3,0)*VLOOKUP('Données projet'!$B$12,Paramètres!$A$1:$I$89,5,0)</f>
        <v>69.676857142857145</v>
      </c>
      <c r="CA24" s="13">
        <f t="shared" si="39"/>
        <v>19.593188213653896</v>
      </c>
      <c r="CB24" s="20">
        <f t="shared" si="10"/>
        <v>155.47866232925674</v>
      </c>
      <c r="CC24" s="59">
        <f t="shared" si="11"/>
        <v>448.81199566259005</v>
      </c>
      <c r="CD24" s="59">
        <f ca="1">AVERAGE(OFFSET($CC$3,0,0,'Données projet'!$E$12+1,1))-AVERAGE(OFFSET($H$3,0,0,'Données projet'!$E$12+1,1))</f>
        <v>179.32848817523677</v>
      </c>
      <c r="CE24" s="59">
        <f t="shared" si="40"/>
        <v>131.3292389103035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3.6141025641025637</v>
      </c>
      <c r="CT24" s="12">
        <f>IF('Données projet'!$A$140&gt;35,CT23+CS24-DB23,IF(A24&lt;'Données projet'!$A$140,$CQ$205^A24,IF(A24='Données projet'!$A$140,'Données projet'!$B$140,CT23+CS24-DB23)))</f>
        <v>26.581850401329536</v>
      </c>
      <c r="CU24" s="17">
        <f>CT24*VLOOKUP('Données projet'!$B$13,Paramètres!$A$1:$I$89,3,0)*VLOOKUP('Données projet'!$B$13,Paramètres!$A$1:$I$89,5,0)</f>
        <v>24.051258243122962</v>
      </c>
      <c r="CV24" s="13">
        <f t="shared" si="41"/>
        <v>7.6546515572569298</v>
      </c>
      <c r="CW24" s="20">
        <f t="shared" si="13"/>
        <v>55.221126235661643</v>
      </c>
      <c r="CX24" s="59">
        <f t="shared" si="14"/>
        <v>348.55445956899496</v>
      </c>
      <c r="CY24" s="59">
        <f ca="1">AVERAGE(OFFSET($CX$3,0,0,'Données projet'!$E$13+1,1))-AVERAGE(OFFSET($H$3,0,0,'Données projet'!$E$13+1,1))</f>
        <v>309.07357540707869</v>
      </c>
      <c r="CZ24" s="59">
        <f t="shared" si="42"/>
        <v>155.9593924683299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9.1</v>
      </c>
      <c r="DO24" s="12">
        <f>IF('Données projet'!$A$166&gt;35,DO23+DN24-DW23,IF(A24&lt;'Données projet'!$A$166,$DL$205^A24,IF(A24='Données projet'!$A$166,'Données projet'!$B$166,DO23+DN24-DW23)))</f>
        <v>76.099999999999966</v>
      </c>
      <c r="DP24" s="17">
        <f>DO24*VLOOKUP('Données projet'!$B$14,Paramètres!$A$1:$I$89,3,0)*VLOOKUP('Données projet'!$B$14,Paramètres!$A$1:$I$89,5,0)</f>
        <v>66.480959999999982</v>
      </c>
      <c r="DQ24" s="13">
        <f t="shared" si="43"/>
        <v>18.79694987718403</v>
      </c>
      <c r="DR24" s="20">
        <f t="shared" si="16"/>
        <v>148.52569303609548</v>
      </c>
      <c r="DS24" s="59">
        <f t="shared" si="17"/>
        <v>441.85902636942876</v>
      </c>
      <c r="DT24" s="59">
        <f ca="1">AVERAGE(OFFSET($DS$3,0,0,'Données projet'!$E$14+1,1))-AVERAGE(OFFSET($H$3,0,0,'Données projet'!$E$14+1,1))</f>
        <v>210.07838338464626</v>
      </c>
      <c r="DU24" s="59">
        <f t="shared" si="44"/>
        <v>241.76003724236273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1.6692108193852706</v>
      </c>
      <c r="EB24" s="21">
        <f>EXP(-LN(2)/25)*EB23+(1-EXP(-LN(2)/25))/(LN(2)/25)*Calculateur!DW24*Calculateur!DY24*VLOOKUP('Données projet'!$B$14,Paramètres!$A$1:$I$89,3,0)*0.475*44/12</f>
        <v>7.4228383670375857</v>
      </c>
      <c r="EC24" s="21">
        <f>EXP(-LN(2)/2)*EC23+(1-EXP(-LN(2)/2))/(LN(2)/2)*DW24*DZ24*VLOOKUP('Données projet'!$B$14,Paramètres!$A$1:$I$89,3,0)*0.475*44/12</f>
        <v>10.753461663836326</v>
      </c>
      <c r="ED24" s="22">
        <f t="shared" si="18"/>
        <v>19.845510850259181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13.9</v>
      </c>
      <c r="EJ24" s="12">
        <f>IF('Données projet'!$A$192&gt;35,EJ23+EI24-ER23,IF(A24&lt;'Données projet'!$A$192,$EG$205^A24,IF(A24='Données projet'!$A$192,'Données projet'!$B$192,EJ23+EI24-ER23)))</f>
        <v>94.9</v>
      </c>
      <c r="EK24" s="17">
        <f>EJ24*VLOOKUP('Données projet'!$B$15,Paramètres!$A$1:$I$89,3,0)*VLOOKUP('Données projet'!$B$15,Paramètres!$A$1:$I$89,5,0)</f>
        <v>59.217600000000004</v>
      </c>
      <c r="EL24" s="13">
        <f t="shared" si="45"/>
        <v>16.970302883579741</v>
      </c>
      <c r="EM24" s="20">
        <f t="shared" si="19"/>
        <v>132.69393085556803</v>
      </c>
      <c r="EN24" s="59">
        <f t="shared" si="20"/>
        <v>426.02726418890131</v>
      </c>
      <c r="EO24" s="59">
        <f ca="1">AVERAGE(OFFSET($EN$3,0,0,'Données projet'!$E$15+1,1))-AVERAGE(OFFSET($H$3,0,0,'Données projet'!$E$15+1,1))</f>
        <v>209.93608079129638</v>
      </c>
      <c r="EP24" s="59">
        <f t="shared" si="46"/>
        <v>240.15652428700969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8.9018724440609525</v>
      </c>
      <c r="EX24" s="21">
        <f>EXP(-LN(2)/2)*EX23+(1-EXP(-LN(2)/2))/(LN(2)/2)*ER24*EU24*VLOOKUP('Données projet'!$B$15,Paramètres!$A$1:$I$89,3,0)*0.475*44/12</f>
        <v>9.2422318597431818</v>
      </c>
      <c r="EY24" s="22">
        <f t="shared" si="21"/>
        <v>18.144104303804134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12.2</v>
      </c>
      <c r="N25" s="13">
        <f>IF('Données projet'!$A$36&gt;35,N24+M25-V24,IF(A25&lt;'Données projet'!$A$36,$K$205^A25,IF(A25='Données projet'!$A$36,'Données projet'!$B$36,N24+M25-V24)))</f>
        <v>76.400000000000006</v>
      </c>
      <c r="O25" s="13">
        <f>N25*VLOOKUP('Données projet'!$B$9,Paramètres!$A$1:$I$89,3,0)*VLOOKUP('Données projet'!$B$9,Paramètres!$A$1:$I$89,5,0)</f>
        <v>60.783840000000012</v>
      </c>
      <c r="P25" s="13">
        <f t="shared" si="33"/>
        <v>17.366298404318218</v>
      </c>
      <c r="Q25" s="20">
        <f t="shared" si="2"/>
        <v>136.11149105418758</v>
      </c>
      <c r="R25" s="59">
        <f t="shared" si="0"/>
        <v>429.4448243875209</v>
      </c>
      <c r="S25" s="59">
        <f ca="1">AVERAGE(OFFSET($R$3,0,0,'Données projet'!$E$9+1,1))-AVERAGE(OFFSET($H$3,0,0,'Données projet'!$E$9+1,1))</f>
        <v>199.58763537752952</v>
      </c>
      <c r="T25" s="59">
        <f t="shared" si="34"/>
        <v>242.62852778451929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4.7220486903660666</v>
      </c>
      <c r="AB25" s="21">
        <f>EXP(-LN(2)/2)*AB24+(1-EXP(-LN(2)/2))/(LN(2)/2)*V25*Y25*VLOOKUP('Données projet'!$B$9,Paramètres!$A$1:$I$89,3,0)*0.475*44/12</f>
        <v>4.034851321272753</v>
      </c>
      <c r="AC25" s="22">
        <f t="shared" si="3"/>
        <v>8.7569000116388196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10.1</v>
      </c>
      <c r="AI25" s="13">
        <f>IF('Données projet'!$A$62&gt;35,AI24+AH25-AQ24,IF(A25&lt;'Données projet'!$A$62,$AF$205^A25,IF(A25='Données projet'!$A$62,'Données projet'!$B$62,AI24+AH25-AQ24)))</f>
        <v>81.199999999999989</v>
      </c>
      <c r="AJ25" s="13">
        <f>AI25*VLOOKUP('Données projet'!$B$10,Paramètres!$A$1:$I$89,3,0)*VLOOKUP('Données projet'!$B$10,Paramètres!$A$1:$I$89,5,0)</f>
        <v>48.557600000000001</v>
      </c>
      <c r="AK25" s="13">
        <f t="shared" si="35"/>
        <v>14.240621334597055</v>
      </c>
      <c r="AL25" s="20">
        <f t="shared" si="4"/>
        <v>109.3735688244232</v>
      </c>
      <c r="AM25" s="59">
        <f t="shared" si="5"/>
        <v>402.70690215775653</v>
      </c>
      <c r="AN25" s="59">
        <f ca="1">AVERAGE(OFFSET($AM$3,0,0,'Données projet'!$E$10+1,1))-AVERAGE(OFFSET($H$3,0,0,'Données projet'!$E$10+1,1))</f>
        <v>287.78657453117694</v>
      </c>
      <c r="AO25" s="59">
        <f t="shared" si="36"/>
        <v>153.31562485362252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15.7</v>
      </c>
      <c r="BD25" s="12">
        <f>IF('Données projet'!$A$88&gt;35,BD24+BC25-BL24,IF(A25&lt;'Données projet'!$A$88,$BA$205^A25,IF(A25='Données projet'!$A$88,'Données projet'!$B$88,BD24+BC25-BL24)))</f>
        <v>128.54615384615383</v>
      </c>
      <c r="BE25" s="13">
        <f>BD25*VLOOKUP('Données projet'!$B$11,Paramètres!$A$1:$I$89,3,0)*VLOOKUP('Données projet'!$B$11,Paramètres!$A$1:$I$89,5,0)</f>
        <v>76.870599999999996</v>
      </c>
      <c r="BF25" s="13">
        <f t="shared" si="37"/>
        <v>21.370261683634599</v>
      </c>
      <c r="BG25" s="20">
        <f t="shared" si="7"/>
        <v>171.10283409899691</v>
      </c>
      <c r="BH25" s="59">
        <f t="shared" si="8"/>
        <v>464.43616743233019</v>
      </c>
      <c r="BI25" s="59">
        <f ca="1">AVERAGE(OFFSET($BH$3,0,0,'Données projet'!$E$11+1,1))-AVERAGE(OFFSET($H$3,0,0,'Données projet'!$E$11+1,1))</f>
        <v>250.93905519128998</v>
      </c>
      <c r="BJ25" s="59">
        <f t="shared" si="38"/>
        <v>222.32879462265032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7.6135485810919015</v>
      </c>
      <c r="BR25" s="21">
        <f>EXP(-LN(2)/2)*BR24+(1-EXP(-LN(2)/2))/(LN(2)/2)*BL25*BO25*VLOOKUP('Données projet'!$B$11,Paramètres!$A$1:$I$89,3,0)*0.475*44/12</f>
        <v>5.5702380599586983</v>
      </c>
      <c r="BS25" s="22">
        <f t="shared" si="9"/>
        <v>13.183786641050599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>
        <f>VLOOKUP(A25,'Données projet'!$A$113:$I$133,2,0)</f>
        <v>129.98461538461538</v>
      </c>
      <c r="BW25" s="12">
        <f>VLOOKUP(A25,'Données projet'!$A$113:$I$133,9,0)</f>
        <v>13.468131868131868</v>
      </c>
      <c r="BX25" s="12">
        <f t="array" ref="BX25">INDEX(BW:BW,MIN(IF(ISNUMBER(BW25:BW221),ROW(BW25:BW221),"")))</f>
        <v>13.468131868131868</v>
      </c>
      <c r="BY25" s="12">
        <f>IF('Données projet'!$A$114&gt;35,BY24+BX25-CG24,IF(A25&lt;'Données projet'!$A$114,$BV$205^A25,IF(A25='Données projet'!$A$114,'Données projet'!$B$114,BY24+BX25-CG24)))</f>
        <v>129.98461538461538</v>
      </c>
      <c r="BZ25" s="13">
        <f>BY25*VLOOKUP('Données projet'!$B$12,Paramètres!$A$1:$I$89,3,0)*VLOOKUP('Données projet'!$B$12,Paramètres!$A$1:$I$89,5,0)</f>
        <v>77.730800000000002</v>
      </c>
      <c r="CA25" s="13">
        <f t="shared" si="39"/>
        <v>21.581427176601697</v>
      </c>
      <c r="CB25" s="20">
        <f t="shared" si="10"/>
        <v>172.96879566591463</v>
      </c>
      <c r="CC25" s="59">
        <f t="shared" si="11"/>
        <v>466.30212899924794</v>
      </c>
      <c r="CD25" s="59">
        <f ca="1">AVERAGE(OFFSET($CC$3,0,0,'Données projet'!$E$12+1,1))-AVERAGE(OFFSET($H$3,0,0,'Données projet'!$E$12+1,1))</f>
        <v>179.32848817523677</v>
      </c>
      <c r="CE25" s="59">
        <f t="shared" si="40"/>
        <v>131.3292389103035</v>
      </c>
      <c r="CF25" s="15">
        <f>IF(ISNA(VLOOKUP(A25,'Données projet'!$A$113:$I$133,3,0)),0,VLOOKUP(A25,'Données projet'!$A$113:$I$133,3,0))</f>
        <v>1</v>
      </c>
      <c r="CG25" s="15">
        <f>IF(ISNA(VLOOKUP(A25,'Données projet'!$A$113:$I$133,4,0)),0,VLOOKUP(A25,'Données projet'!$A$113:$I$133,4,0))</f>
        <v>52.746153846153838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0.22500000000000001</v>
      </c>
      <c r="CJ25" s="16">
        <f>IF(ISNA(VLOOKUP(A25,'Données projet'!$A$113:$I$133,7,0)),0%,VLOOKUP(A25,'Données projet'!$A$113:$I$133,7,0))</f>
        <v>0.5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9.377552356092826</v>
      </c>
      <c r="CM25" s="21">
        <f>EXP(-LN(2)/2)*CM24+(1-EXP(-LN(2)/2))/(LN(2)/2)*CG25*CJ25*VLOOKUP('Données projet'!$B$12,Paramètres!$A$1:$I$89,3,0)*0.475*44/12</f>
        <v>17.856548787519642</v>
      </c>
      <c r="CN25" s="22">
        <f t="shared" si="12"/>
        <v>27.23410114361247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3.6141025641025637</v>
      </c>
      <c r="CT25" s="12">
        <f>IF('Données projet'!$A$140&gt;35,CT24+CS25-DB24,IF(A25&lt;'Données projet'!$A$140,$CQ$205^A25,IF(A25='Données projet'!$A$140,'Données projet'!$B$140,CT24+CS25-DB24)))</f>
        <v>31.075820231445945</v>
      </c>
      <c r="CU25" s="17">
        <f>CT25*VLOOKUP('Données projet'!$B$13,Paramètres!$A$1:$I$89,3,0)*VLOOKUP('Données projet'!$B$13,Paramètres!$A$1:$I$89,5,0)</f>
        <v>28.117402145412289</v>
      </c>
      <c r="CV25" s="13">
        <f t="shared" si="41"/>
        <v>8.7875244189279336</v>
      </c>
      <c r="CW25" s="20">
        <f t="shared" si="13"/>
        <v>64.276080432892542</v>
      </c>
      <c r="CX25" s="59">
        <f t="shared" si="14"/>
        <v>357.60941376622588</v>
      </c>
      <c r="CY25" s="59">
        <f ca="1">AVERAGE(OFFSET($CX$3,0,0,'Données projet'!$E$13+1,1))-AVERAGE(OFFSET($H$3,0,0,'Données projet'!$E$13+1,1))</f>
        <v>309.07357540707869</v>
      </c>
      <c r="CZ25" s="59">
        <f t="shared" si="42"/>
        <v>155.9593924683299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9.1</v>
      </c>
      <c r="DO25" s="12">
        <f>IF('Données projet'!$A$166&gt;35,DO24+DN25-DW24,IF(A25&lt;'Données projet'!$A$166,$DL$205^A25,IF(A25='Données projet'!$A$166,'Données projet'!$B$166,DO24+DN25-DW24)))</f>
        <v>85.19999999999996</v>
      </c>
      <c r="DP25" s="17">
        <f>DO25*VLOOKUP('Données projet'!$B$14,Paramètres!$A$1:$I$89,3,0)*VLOOKUP('Données projet'!$B$14,Paramètres!$A$1:$I$89,5,0)</f>
        <v>74.43071999999998</v>
      </c>
      <c r="DQ25" s="13">
        <f t="shared" si="43"/>
        <v>20.76980057385482</v>
      </c>
      <c r="DR25" s="20">
        <f t="shared" si="16"/>
        <v>165.80757333279709</v>
      </c>
      <c r="DS25" s="59">
        <f t="shared" si="17"/>
        <v>459.14090666613038</v>
      </c>
      <c r="DT25" s="59">
        <f ca="1">AVERAGE(OFFSET($DS$3,0,0,'Données projet'!$E$14+1,1))-AVERAGE(OFFSET($H$3,0,0,'Données projet'!$E$14+1,1))</f>
        <v>210.07838338464626</v>
      </c>
      <c r="DU25" s="59">
        <f t="shared" si="44"/>
        <v>241.76003724236273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1.6364786133351945</v>
      </c>
      <c r="EB25" s="21">
        <f>EXP(-LN(2)/25)*EB24+(1-EXP(-LN(2)/25))/(LN(2)/25)*Calculateur!DW25*Calculateur!DY25*VLOOKUP('Données projet'!$B$14,Paramètres!$A$1:$I$89,3,0)*0.475*44/12</f>
        <v>7.2198604615408382</v>
      </c>
      <c r="EC25" s="21">
        <f>EXP(-LN(2)/2)*EC24+(1-EXP(-LN(2)/2))/(LN(2)/2)*DW25*DZ25*VLOOKUP('Données projet'!$B$14,Paramètres!$A$1:$I$89,3,0)*0.475*44/12</f>
        <v>7.603845663728241</v>
      </c>
      <c r="ED25" s="22">
        <f t="shared" si="18"/>
        <v>16.460184738604273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13.9</v>
      </c>
      <c r="EJ25" s="12">
        <f>IF('Données projet'!$A$192&gt;35,EJ24+EI25-ER24,IF(A25&lt;'Données projet'!$A$192,$EG$205^A25,IF(A25='Données projet'!$A$192,'Données projet'!$B$192,EJ24+EI25-ER24)))</f>
        <v>108.80000000000001</v>
      </c>
      <c r="EK25" s="17">
        <f>EJ25*VLOOKUP('Données projet'!$B$15,Paramètres!$A$1:$I$89,3,0)*VLOOKUP('Données projet'!$B$15,Paramètres!$A$1:$I$89,5,0)</f>
        <v>67.891200000000012</v>
      </c>
      <c r="EL25" s="13">
        <f t="shared" si="45"/>
        <v>19.148839553800077</v>
      </c>
      <c r="EM25" s="20">
        <f t="shared" si="19"/>
        <v>151.59473555620181</v>
      </c>
      <c r="EN25" s="59">
        <f t="shared" si="20"/>
        <v>444.9280688895351</v>
      </c>
      <c r="EO25" s="59">
        <f ca="1">AVERAGE(OFFSET($EN$3,0,0,'Données projet'!$E$15+1,1))-AVERAGE(OFFSET($H$3,0,0,'Données projet'!$E$15+1,1))</f>
        <v>209.93608079129638</v>
      </c>
      <c r="EP25" s="59">
        <f t="shared" si="46"/>
        <v>240.15652428700969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8.6584502739489793</v>
      </c>
      <c r="EX25" s="21">
        <f>EXP(-LN(2)/2)*EX24+(1-EXP(-LN(2)/2))/(LN(2)/2)*ER25*EU25*VLOOKUP('Données projet'!$B$15,Paramètres!$A$1:$I$89,3,0)*0.475*44/12</f>
        <v>6.5352448213227605</v>
      </c>
      <c r="EY25" s="22">
        <f t="shared" si="21"/>
        <v>15.193695095271739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12.2</v>
      </c>
      <c r="N26" s="13">
        <f>IF('Données projet'!$A$36&gt;35,N25+M26-V25,IF(A26&lt;'Données projet'!$A$36,$K$205^A26,IF(A26='Données projet'!$A$36,'Données projet'!$B$36,N25+M26-V25)))</f>
        <v>88.600000000000009</v>
      </c>
      <c r="O26" s="13">
        <f>N26*VLOOKUP('Données projet'!$B$9,Paramètres!$A$1:$I$89,3,0)*VLOOKUP('Données projet'!$B$9,Paramètres!$A$1:$I$89,5,0)</f>
        <v>70.490160000000017</v>
      </c>
      <c r="P26" s="13">
        <f t="shared" si="33"/>
        <v>19.795132097024002</v>
      </c>
      <c r="Q26" s="20">
        <f t="shared" si="2"/>
        <v>157.24688373565013</v>
      </c>
      <c r="R26" s="59">
        <f t="shared" si="0"/>
        <v>450.58021706898342</v>
      </c>
      <c r="S26" s="59">
        <f ca="1">AVERAGE(OFFSET($R$3,0,0,'Données projet'!$E$9+1,1))-AVERAGE(OFFSET($H$3,0,0,'Données projet'!$E$9+1,1))</f>
        <v>199.58763537752952</v>
      </c>
      <c r="T26" s="59">
        <f t="shared" si="34"/>
        <v>242.62852778451929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4.592924020606258</v>
      </c>
      <c r="AB26" s="21">
        <f>EXP(-LN(2)/2)*AB25+(1-EXP(-LN(2)/2))/(LN(2)/2)*V26*Y26*VLOOKUP('Données projet'!$B$9,Paramètres!$A$1:$I$89,3,0)*0.475*44/12</f>
        <v>2.8530707303514649</v>
      </c>
      <c r="AC26" s="22">
        <f t="shared" si="3"/>
        <v>7.4459947509577233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10.1</v>
      </c>
      <c r="AI26" s="13">
        <f>IF('Données projet'!$A$62&gt;35,AI25+AH26-AQ25,IF(A26&lt;'Données projet'!$A$62,$AF$205^A26,IF(A26='Données projet'!$A$62,'Données projet'!$B$62,AI25+AH26-AQ25)))</f>
        <v>91.299999999999983</v>
      </c>
      <c r="AJ26" s="13">
        <f>AI26*VLOOKUP('Données projet'!$B$10,Paramètres!$A$1:$I$89,3,0)*VLOOKUP('Données projet'!$B$10,Paramètres!$A$1:$I$89,5,0)</f>
        <v>54.597399999999986</v>
      </c>
      <c r="AK26" s="13">
        <f t="shared" si="35"/>
        <v>15.794911980274648</v>
      </c>
      <c r="AL26" s="20">
        <f t="shared" si="4"/>
        <v>122.59994336564496</v>
      </c>
      <c r="AM26" s="59">
        <f t="shared" si="5"/>
        <v>415.93327669897826</v>
      </c>
      <c r="AN26" s="59">
        <f ca="1">AVERAGE(OFFSET($AM$3,0,0,'Données projet'!$E$10+1,1))-AVERAGE(OFFSET($H$3,0,0,'Données projet'!$E$10+1,1))</f>
        <v>287.78657453117694</v>
      </c>
      <c r="AO26" s="59">
        <f t="shared" si="36"/>
        <v>153.31562485362252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15.7</v>
      </c>
      <c r="BD26" s="12">
        <f>IF('Données projet'!$A$88&gt;35,BD25+BC26-BL25,IF(A26&lt;'Données projet'!$A$88,$BA$205^A26,IF(A26='Données projet'!$A$88,'Données projet'!$B$88,BD25+BC26-BL25)))</f>
        <v>144.24615384615382</v>
      </c>
      <c r="BE26" s="13">
        <f>BD26*VLOOKUP('Données projet'!$B$11,Paramètres!$A$1:$I$89,3,0)*VLOOKUP('Données projet'!$B$11,Paramètres!$A$1:$I$89,5,0)</f>
        <v>86.259199999999993</v>
      </c>
      <c r="BF26" s="13">
        <f t="shared" si="37"/>
        <v>23.660817147545782</v>
      </c>
      <c r="BG26" s="20">
        <f t="shared" si="7"/>
        <v>191.44402986530886</v>
      </c>
      <c r="BH26" s="59">
        <f t="shared" si="8"/>
        <v>484.77736319864221</v>
      </c>
      <c r="BI26" s="59">
        <f ca="1">AVERAGE(OFFSET($BH$3,0,0,'Données projet'!$E$11+1,1))-AVERAGE(OFFSET($H$3,0,0,'Données projet'!$E$11+1,1))</f>
        <v>250.93905519128998</v>
      </c>
      <c r="BJ26" s="59">
        <f t="shared" si="38"/>
        <v>222.32879462265032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7.4053556947628243</v>
      </c>
      <c r="BR26" s="21">
        <f>EXP(-LN(2)/2)*BR25+(1-EXP(-LN(2)/2))/(LN(2)/2)*BL26*BO26*VLOOKUP('Données projet'!$B$11,Paramètres!$A$1:$I$89,3,0)*0.475*44/12</f>
        <v>3.9387531050201945</v>
      </c>
      <c r="BS26" s="22">
        <f t="shared" si="9"/>
        <v>11.344108799783019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12.695384615384615</v>
      </c>
      <c r="BY26" s="12">
        <f>IF('Données projet'!$A$114&gt;35,BY25+BX26-CG25,IF(A26&lt;'Données projet'!$A$114,$BV$205^A26,IF(A26='Données projet'!$A$114,'Données projet'!$B$114,BY25+BX26-CG25)))</f>
        <v>89.933846153846162</v>
      </c>
      <c r="BZ26" s="13">
        <f>BY26*VLOOKUP('Données projet'!$B$12,Paramètres!$A$1:$I$89,3,0)*VLOOKUP('Données projet'!$B$12,Paramètres!$A$1:$I$89,5,0)</f>
        <v>53.780440000000013</v>
      </c>
      <c r="CA26" s="13">
        <f t="shared" si="39"/>
        <v>15.5858948320701</v>
      </c>
      <c r="CB26" s="20">
        <f t="shared" si="10"/>
        <v>120.81303316585546</v>
      </c>
      <c r="CC26" s="59">
        <f t="shared" si="11"/>
        <v>414.14636649918879</v>
      </c>
      <c r="CD26" s="59">
        <f ca="1">AVERAGE(OFFSET($CC$3,0,0,'Données projet'!$E$12+1,1))-AVERAGE(OFFSET($H$3,0,0,'Données projet'!$E$12+1,1))</f>
        <v>179.32848817523677</v>
      </c>
      <c r="CE26" s="59">
        <f t="shared" si="40"/>
        <v>131.3292389103035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9.1211226937714223</v>
      </c>
      <c r="CM26" s="21">
        <f>EXP(-LN(2)/2)*CM25+(1-EXP(-LN(2)/2))/(LN(2)/2)*CG26*CJ26*VLOOKUP('Données projet'!$B$12,Paramètres!$A$1:$I$89,3,0)*0.475*44/12</f>
        <v>12.626486736243564</v>
      </c>
      <c r="CN26" s="22">
        <f t="shared" si="12"/>
        <v>21.747609430014986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3.6141025641025637</v>
      </c>
      <c r="CT26" s="12">
        <f>IF('Données projet'!$A$140&gt;35,CT25+CS26-DB25,IF(A26&lt;'Données projet'!$A$140,$CQ$205^A26,IF(A26='Données projet'!$A$140,'Données projet'!$B$140,CT25+CS26-DB25)))</f>
        <v>36.329547735655126</v>
      </c>
      <c r="CU26" s="17">
        <f>CT26*VLOOKUP('Données projet'!$B$13,Paramètres!$A$1:$I$89,3,0)*VLOOKUP('Données projet'!$B$13,Paramètres!$A$1:$I$89,5,0)</f>
        <v>32.87097479122076</v>
      </c>
      <c r="CV26" s="13">
        <f t="shared" si="41"/>
        <v>10.088060159975067</v>
      </c>
      <c r="CW26" s="20">
        <f t="shared" si="13"/>
        <v>74.820319206666056</v>
      </c>
      <c r="CX26" s="59">
        <f t="shared" si="14"/>
        <v>368.15365253999937</v>
      </c>
      <c r="CY26" s="59">
        <f ca="1">AVERAGE(OFFSET($CX$3,0,0,'Données projet'!$E$13+1,1))-AVERAGE(OFFSET($H$3,0,0,'Données projet'!$E$13+1,1))</f>
        <v>309.07357540707869</v>
      </c>
      <c r="CZ26" s="59">
        <f t="shared" si="42"/>
        <v>155.9593924683299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9.1</v>
      </c>
      <c r="DO26" s="12">
        <f>IF('Données projet'!$A$166&gt;35,DO25+DN26-DW25,IF(A26&lt;'Données projet'!$A$166,$DL$205^A26,IF(A26='Données projet'!$A$166,'Données projet'!$B$166,DO25+DN26-DW25)))</f>
        <v>94.299999999999955</v>
      </c>
      <c r="DP26" s="17">
        <f>DO26*VLOOKUP('Données projet'!$B$14,Paramètres!$A$1:$I$89,3,0)*VLOOKUP('Données projet'!$B$14,Paramètres!$A$1:$I$89,5,0)</f>
        <v>82.380479999999963</v>
      </c>
      <c r="DQ26" s="13">
        <f t="shared" si="43"/>
        <v>22.718226877103955</v>
      </c>
      <c r="DR26" s="20">
        <f t="shared" si="16"/>
        <v>183.04691447762266</v>
      </c>
      <c r="DS26" s="59">
        <f t="shared" si="17"/>
        <v>476.38024781095601</v>
      </c>
      <c r="DT26" s="59">
        <f ca="1">AVERAGE(OFFSET($DS$3,0,0,'Données projet'!$E$14+1,1))-AVERAGE(OFFSET($H$3,0,0,'Données projet'!$E$14+1,1))</f>
        <v>210.07838338464626</v>
      </c>
      <c r="DU26" s="59">
        <f t="shared" si="44"/>
        <v>241.76003724236273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1.604388265881086</v>
      </c>
      <c r="EB26" s="21">
        <f>EXP(-LN(2)/25)*EB25+(1-EXP(-LN(2)/25))/(LN(2)/25)*Calculateur!DW26*Calculateur!DY26*VLOOKUP('Données projet'!$B$14,Paramètres!$A$1:$I$89,3,0)*0.475*44/12</f>
        <v>7.0224329975440432</v>
      </c>
      <c r="EC26" s="21">
        <f>EXP(-LN(2)/2)*EC25+(1-EXP(-LN(2)/2))/(LN(2)/2)*DW26*DZ26*VLOOKUP('Données projet'!$B$14,Paramètres!$A$1:$I$89,3,0)*0.475*44/12</f>
        <v>5.3767308319181639</v>
      </c>
      <c r="ED26" s="22">
        <f t="shared" si="18"/>
        <v>14.003552095343291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13.9</v>
      </c>
      <c r="EJ26" s="12">
        <f>IF('Données projet'!$A$192&gt;35,EJ25+EI26-ER25,IF(A26&lt;'Données projet'!$A$192,$EG$205^A26,IF(A26='Données projet'!$A$192,'Données projet'!$B$192,EJ25+EI26-ER25)))</f>
        <v>122.70000000000002</v>
      </c>
      <c r="EK26" s="17">
        <f>EJ26*VLOOKUP('Données projet'!$B$15,Paramètres!$A$1:$I$89,3,0)*VLOOKUP('Données projet'!$B$15,Paramètres!$A$1:$I$89,5,0)</f>
        <v>76.56480000000002</v>
      </c>
      <c r="EL26" s="13">
        <f t="shared" si="45"/>
        <v>21.295126483826621</v>
      </c>
      <c r="EM26" s="20">
        <f t="shared" si="19"/>
        <v>170.4393719593314</v>
      </c>
      <c r="EN26" s="59">
        <f t="shared" si="20"/>
        <v>463.77270529266468</v>
      </c>
      <c r="EO26" s="59">
        <f ca="1">AVERAGE(OFFSET($EN$3,0,0,'Données projet'!$E$15+1,1))-AVERAGE(OFFSET($H$3,0,0,'Données projet'!$E$15+1,1))</f>
        <v>209.93608079129638</v>
      </c>
      <c r="EP26" s="59">
        <f t="shared" si="46"/>
        <v>240.15652428700969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8.4216844958797346</v>
      </c>
      <c r="EX26" s="21">
        <f>EXP(-LN(2)/2)*EX25+(1-EXP(-LN(2)/2))/(LN(2)/2)*ER26*EU26*VLOOKUP('Données projet'!$B$15,Paramètres!$A$1:$I$89,3,0)*0.475*44/12</f>
        <v>4.6211159298715918</v>
      </c>
      <c r="EY26" s="22">
        <f t="shared" si="21"/>
        <v>13.042800425751327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12.2</v>
      </c>
      <c r="N27" s="13">
        <f>IF('Données projet'!$A$36&gt;35,N26+M27-V26,IF(A27&lt;'Données projet'!$A$36,$K$205^A27,IF(A27='Données projet'!$A$36,'Données projet'!$B$36,N26+M27-V26)))</f>
        <v>100.80000000000001</v>
      </c>
      <c r="O27" s="13">
        <f>N27*VLOOKUP('Données projet'!$B$9,Paramètres!$A$1:$I$89,3,0)*VLOOKUP('Données projet'!$B$9,Paramètres!$A$1:$I$89,5,0)</f>
        <v>80.196480000000022</v>
      </c>
      <c r="P27" s="13">
        <f t="shared" si="33"/>
        <v>22.185217649516332</v>
      </c>
      <c r="Q27" s="20">
        <f t="shared" si="2"/>
        <v>178.31479007290764</v>
      </c>
      <c r="R27" s="59">
        <f t="shared" si="0"/>
        <v>471.64812340624098</v>
      </c>
      <c r="S27" s="59">
        <f ca="1">AVERAGE(OFFSET($R$3,0,0,'Données projet'!$E$9+1,1))-AVERAGE(OFFSET($H$3,0,0,'Données projet'!$E$9+1,1))</f>
        <v>199.58763537752952</v>
      </c>
      <c r="T27" s="59">
        <f t="shared" si="34"/>
        <v>242.62852778451929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4.4673302717314032</v>
      </c>
      <c r="AB27" s="21">
        <f>EXP(-LN(2)/2)*AB26+(1-EXP(-LN(2)/2))/(LN(2)/2)*V27*Y27*VLOOKUP('Données projet'!$B$9,Paramètres!$A$1:$I$89,3,0)*0.475*44/12</f>
        <v>2.0174256606363765</v>
      </c>
      <c r="AC27" s="22">
        <f t="shared" si="3"/>
        <v>6.4847559323677793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10.1</v>
      </c>
      <c r="AI27" s="13">
        <f>IF('Données projet'!$A$62&gt;35,AI26+AH27-AQ26,IF(A27&lt;'Données projet'!$A$62,$AF$205^A27,IF(A27='Données projet'!$A$62,'Données projet'!$B$62,AI26+AH27-AQ26)))</f>
        <v>101.39999999999998</v>
      </c>
      <c r="AJ27" s="13">
        <f>AI27*VLOOKUP('Données projet'!$B$10,Paramètres!$A$1:$I$89,3,0)*VLOOKUP('Données projet'!$B$10,Paramètres!$A$1:$I$89,5,0)</f>
        <v>60.637199999999993</v>
      </c>
      <c r="AK27" s="13">
        <f t="shared" si="35"/>
        <v>17.329273980075424</v>
      </c>
      <c r="AL27" s="20">
        <f t="shared" si="4"/>
        <v>135.79160884863137</v>
      </c>
      <c r="AM27" s="59">
        <f t="shared" si="5"/>
        <v>429.12494218196468</v>
      </c>
      <c r="AN27" s="59">
        <f ca="1">AVERAGE(OFFSET($AM$3,0,0,'Données projet'!$E$10+1,1))-AVERAGE(OFFSET($H$3,0,0,'Données projet'!$E$10+1,1))</f>
        <v>287.78657453117694</v>
      </c>
      <c r="AO27" s="59">
        <f t="shared" si="36"/>
        <v>153.31562485362252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>
        <f>VLOOKUP(A27,'Données projet'!$A$87:$I$107,2,0)</f>
        <v>159.94615384615383</v>
      </c>
      <c r="BB27" s="12">
        <f>VLOOKUP(A27,'Données projet'!$A$87:$I$107,9,0)</f>
        <v>15.7</v>
      </c>
      <c r="BC27" s="12">
        <f t="array" ref="BC27">INDEX(BB:BB,MIN(IF(ISNUMBER(BB27:BB223),ROW(BB27:BB223),"")))</f>
        <v>15.7</v>
      </c>
      <c r="BD27" s="12">
        <f>IF('Données projet'!$A$88&gt;35,BD26+BC27-BL26,IF(A27&lt;'Données projet'!$A$88,$BA$205^A27,IF(A27='Données projet'!$A$88,'Données projet'!$B$88,BD26+BC27-BL26)))</f>
        <v>159.94615384615381</v>
      </c>
      <c r="BE27" s="13">
        <f>BD27*VLOOKUP('Données projet'!$B$11,Paramètres!$A$1:$I$89,3,0)*VLOOKUP('Données projet'!$B$11,Paramètres!$A$1:$I$89,5,0)</f>
        <v>95.647799999999989</v>
      </c>
      <c r="BF27" s="13">
        <f t="shared" si="37"/>
        <v>25.922476046044615</v>
      </c>
      <c r="BG27" s="20">
        <f t="shared" si="7"/>
        <v>211.73489744686097</v>
      </c>
      <c r="BH27" s="59">
        <f t="shared" si="8"/>
        <v>505.06823078019431</v>
      </c>
      <c r="BI27" s="59">
        <f ca="1">AVERAGE(OFFSET($BH$3,0,0,'Données projet'!$E$11+1,1))-AVERAGE(OFFSET($H$3,0,0,'Données projet'!$E$11+1,1))</f>
        <v>250.93905519128998</v>
      </c>
      <c r="BJ27" s="59">
        <f t="shared" si="38"/>
        <v>222.32879462265032</v>
      </c>
      <c r="BK27" s="15">
        <f>IF(ISNA(VLOOKUP(A27,'Données projet'!$A$87:$I$107,3,0)),0,VLOOKUP(A27,'Données projet'!$A$87:$I$107,3,0))</f>
        <v>2</v>
      </c>
      <c r="BL27" s="15">
        <f>IF(ISNA(VLOOKUP(A27,'Données projet'!$A$87:$I$107,4,0)),0,VLOOKUP(A27,'Données projet'!$A$87:$I$107,4,0))</f>
        <v>40.41538461538461</v>
      </c>
      <c r="BM27" s="16">
        <f>IF(ISNA(VLOOKUP(A27,'Données projet'!$A$87:$I$107,5,0)),0%,VLOOKUP(A27,'Données projet'!$A$87:$I$107,5,0)*VLOOKUP('Données projet'!$B$11,Paramètres!$A$1:$I$89,7,0))</f>
        <v>4.5000000000000005E-2</v>
      </c>
      <c r="BN27" s="16">
        <f>IF(ISNA(VLOOKUP(A27,'Données projet'!$A$87:$I$107,6,0)),0%,VLOOKUP(A27,'Données projet'!$A$87:$I$107,6,0)*VLOOKUP('Données projet'!$B$11,Paramètres!$A$1:$I$89,7,0))</f>
        <v>0.20250000000000001</v>
      </c>
      <c r="BO27" s="16">
        <f>IF(ISNA(VLOOKUP(A27,'Données projet'!$A$87:$I$107,7,0)),0%,VLOOKUP(A27,'Données projet'!$A$87:$I$107,7,0))</f>
        <v>0.45</v>
      </c>
      <c r="BP27" s="21">
        <f>EXP(-LN(2)/35)*BP26+(1-EXP(-LN(2)/35))/(LN(2)/35)*BL27*BM27*VLOOKUP('Données projet'!$B$11,Paramètres!$A$1:$I$89,3,0)*0.475*44/12</f>
        <v>1.4427423173180245</v>
      </c>
      <c r="BQ27" s="21">
        <f>EXP(-LN(2)/25)*BQ26+(1-EXP(-LN(2)/25))/(LN(2)/25)*Calculateur!BL27*Calculateur!BN27*VLOOKUP('Données projet'!$B$11,Paramètres!$A$1:$I$89,3,0)*0.475*44/12</f>
        <v>13.669633463749506</v>
      </c>
      <c r="BR27" s="21">
        <f>EXP(-LN(2)/2)*BR26+(1-EXP(-LN(2)/2))/(LN(2)/2)*BL27*BO27*VLOOKUP('Données projet'!$B$11,Paramètres!$A$1:$I$89,3,0)*0.475*44/12</f>
        <v>15.099028406771737</v>
      </c>
      <c r="BS27" s="22">
        <f t="shared" si="9"/>
        <v>30.211404187839268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12.695384615384615</v>
      </c>
      <c r="BY27" s="12">
        <f>IF('Données projet'!$A$114&gt;35,BY26+BX27-CG26,IF(A27&lt;'Données projet'!$A$114,$BV$205^A27,IF(A27='Données projet'!$A$114,'Données projet'!$B$114,BY26+BX27-CG26)))</f>
        <v>102.62923076923077</v>
      </c>
      <c r="BZ27" s="13">
        <f>BY27*VLOOKUP('Données projet'!$B$12,Paramètres!$A$1:$I$89,3,0)*VLOOKUP('Données projet'!$B$12,Paramètres!$A$1:$I$89,5,0)</f>
        <v>61.372280000000011</v>
      </c>
      <c r="CA27" s="13">
        <f t="shared" si="39"/>
        <v>17.514766499235456</v>
      </c>
      <c r="CB27" s="20">
        <f t="shared" si="10"/>
        <v>137.39493931950179</v>
      </c>
      <c r="CC27" s="59">
        <f t="shared" si="11"/>
        <v>430.72827265283513</v>
      </c>
      <c r="CD27" s="59">
        <f ca="1">AVERAGE(OFFSET($CC$3,0,0,'Données projet'!$E$12+1,1))-AVERAGE(OFFSET($H$3,0,0,'Données projet'!$E$12+1,1))</f>
        <v>179.32848817523677</v>
      </c>
      <c r="CE27" s="59">
        <f t="shared" si="40"/>
        <v>131.3292389103035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8.8717051140512471</v>
      </c>
      <c r="CM27" s="21">
        <f>EXP(-LN(2)/2)*CM26+(1-EXP(-LN(2)/2))/(LN(2)/2)*CG27*CJ27*VLOOKUP('Données projet'!$B$12,Paramètres!$A$1:$I$89,3,0)*0.475*44/12</f>
        <v>8.928274393759823</v>
      </c>
      <c r="CN27" s="22">
        <f t="shared" si="12"/>
        <v>17.79997950781107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3.6141025641025637</v>
      </c>
      <c r="CT27" s="12">
        <f>IF('Données projet'!$A$140&gt;35,CT26+CS27-DB26,IF(A27&lt;'Données projet'!$A$140,$CQ$205^A27,IF(A27='Données projet'!$A$140,'Données projet'!$B$140,CT26+CS27-DB26)))</f>
        <v>42.47147875252827</v>
      </c>
      <c r="CU27" s="17">
        <f>CT27*VLOOKUP('Données projet'!$B$13,Paramètres!$A$1:$I$89,3,0)*VLOOKUP('Données projet'!$B$13,Paramètres!$A$1:$I$89,5,0)</f>
        <v>38.428193975287577</v>
      </c>
      <c r="CV27" s="13">
        <f t="shared" si="41"/>
        <v>11.581072545536303</v>
      </c>
      <c r="CW27" s="20">
        <f t="shared" si="13"/>
        <v>87.099472523768256</v>
      </c>
      <c r="CX27" s="59">
        <f t="shared" si="14"/>
        <v>380.43280585710158</v>
      </c>
      <c r="CY27" s="59">
        <f ca="1">AVERAGE(OFFSET($CX$3,0,0,'Données projet'!$E$13+1,1))-AVERAGE(OFFSET($H$3,0,0,'Données projet'!$E$13+1,1))</f>
        <v>309.07357540707869</v>
      </c>
      <c r="CZ27" s="59">
        <f t="shared" si="42"/>
        <v>155.9593924683299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9.1</v>
      </c>
      <c r="DO27" s="12">
        <f>IF('Données projet'!$A$166&gt;35,DO26+DN27-DW26,IF(A27&lt;'Données projet'!$A$166,$DL$205^A27,IF(A27='Données projet'!$A$166,'Données projet'!$B$166,DO26+DN27-DW26)))</f>
        <v>103.39999999999995</v>
      </c>
      <c r="DP27" s="17">
        <f>DO27*VLOOKUP('Données projet'!$B$14,Paramètres!$A$1:$I$89,3,0)*VLOOKUP('Données projet'!$B$14,Paramètres!$A$1:$I$89,5,0)</f>
        <v>90.330239999999961</v>
      </c>
      <c r="DQ27" s="13">
        <f t="shared" si="43"/>
        <v>24.644853944123636</v>
      </c>
      <c r="DR27" s="20">
        <f t="shared" si="16"/>
        <v>200.24828861934861</v>
      </c>
      <c r="DS27" s="59">
        <f t="shared" si="17"/>
        <v>493.58162195268193</v>
      </c>
      <c r="DT27" s="59">
        <f ca="1">AVERAGE(OFFSET($DS$3,0,0,'Données projet'!$E$14+1,1))-AVERAGE(OFFSET($H$3,0,0,'Données projet'!$E$14+1,1))</f>
        <v>210.07838338464626</v>
      </c>
      <c r="DU27" s="59">
        <f t="shared" si="44"/>
        <v>241.76003724236273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1.5729271905673732</v>
      </c>
      <c r="EB27" s="21">
        <f>EXP(-LN(2)/25)*EB26+(1-EXP(-LN(2)/25))/(LN(2)/25)*Calculateur!DW27*Calculateur!DY27*VLOOKUP('Données projet'!$B$14,Paramètres!$A$1:$I$89,3,0)*0.475*44/12</f>
        <v>6.8304041979325003</v>
      </c>
      <c r="EC27" s="21">
        <f>EXP(-LN(2)/2)*EC26+(1-EXP(-LN(2)/2))/(LN(2)/2)*DW27*DZ27*VLOOKUP('Données projet'!$B$14,Paramètres!$A$1:$I$89,3,0)*0.475*44/12</f>
        <v>3.8019228318641209</v>
      </c>
      <c r="ED27" s="22">
        <f t="shared" si="18"/>
        <v>12.205254220363994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13.9</v>
      </c>
      <c r="EJ27" s="12">
        <f>IF('Données projet'!$A$192&gt;35,EJ26+EI27-ER26,IF(A27&lt;'Données projet'!$A$192,$EG$205^A27,IF(A27='Données projet'!$A$192,'Données projet'!$B$192,EJ26+EI27-ER26)))</f>
        <v>136.60000000000002</v>
      </c>
      <c r="EK27" s="17">
        <f>EJ27*VLOOKUP('Données projet'!$B$15,Paramètres!$A$1:$I$89,3,0)*VLOOKUP('Données projet'!$B$15,Paramètres!$A$1:$I$89,5,0)</f>
        <v>85.238400000000013</v>
      </c>
      <c r="EL27" s="13">
        <f t="shared" si="45"/>
        <v>23.413234033238567</v>
      </c>
      <c r="EM27" s="20">
        <f t="shared" si="19"/>
        <v>189.2349292745572</v>
      </c>
      <c r="EN27" s="59">
        <f t="shared" si="20"/>
        <v>482.56826260789052</v>
      </c>
      <c r="EO27" s="59">
        <f ca="1">AVERAGE(OFFSET($EN$3,0,0,'Données projet'!$E$15+1,1))-AVERAGE(OFFSET($H$3,0,0,'Données projet'!$E$15+1,1))</f>
        <v>209.93608079129638</v>
      </c>
      <c r="EP27" s="59">
        <f t="shared" si="46"/>
        <v>240.15652428700969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8.1913930904627641</v>
      </c>
      <c r="EX27" s="21">
        <f>EXP(-LN(2)/2)*EX26+(1-EXP(-LN(2)/2))/(LN(2)/2)*ER27*EU27*VLOOKUP('Données projet'!$B$15,Paramètres!$A$1:$I$89,3,0)*0.475*44/12</f>
        <v>3.2676224106613811</v>
      </c>
      <c r="EY27" s="22">
        <f t="shared" si="21"/>
        <v>11.459015501124146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12.2</v>
      </c>
      <c r="N28" s="13">
        <f>IF('Données projet'!$A$36&gt;35,N27+M28-V27,IF(A28&lt;'Données projet'!$A$36,$K$205^A28,IF(A28='Données projet'!$A$36,'Données projet'!$B$36,N27+M28-V27)))</f>
        <v>113.00000000000001</v>
      </c>
      <c r="O28" s="13">
        <f>N28*VLOOKUP('Données projet'!$B$9,Paramètres!$A$1:$I$89,3,0)*VLOOKUP('Données projet'!$B$9,Paramètres!$A$1:$I$89,5,0)</f>
        <v>89.902800000000013</v>
      </c>
      <c r="P28" s="13">
        <f t="shared" si="33"/>
        <v>24.541781220398729</v>
      </c>
      <c r="Q28" s="20">
        <f t="shared" si="2"/>
        <v>199.32431229219446</v>
      </c>
      <c r="R28" s="59">
        <f t="shared" si="0"/>
        <v>492.65764562552778</v>
      </c>
      <c r="S28" s="59">
        <f ca="1">AVERAGE(OFFSET($R$3,0,0,'Données projet'!$E$9+1,1))-AVERAGE(OFFSET($H$3,0,0,'Données projet'!$E$9+1,1))</f>
        <v>199.58763537752952</v>
      </c>
      <c r="T28" s="59">
        <f t="shared" si="34"/>
        <v>242.62852778451929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4.3451708905242192</v>
      </c>
      <c r="AB28" s="21">
        <f>EXP(-LN(2)/2)*AB27+(1-EXP(-LN(2)/2))/(LN(2)/2)*V28*Y28*VLOOKUP('Données projet'!$B$9,Paramètres!$A$1:$I$89,3,0)*0.475*44/12</f>
        <v>1.4265353651757324</v>
      </c>
      <c r="AC28" s="22">
        <f t="shared" si="3"/>
        <v>5.7717062556999519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10.1</v>
      </c>
      <c r="AI28" s="13">
        <f>IF('Données projet'!$A$62&gt;35,AI27+AH28-AQ27,IF(A28&lt;'Données projet'!$A$62,$AF$205^A28,IF(A28='Données projet'!$A$62,'Données projet'!$B$62,AI27+AH28-AQ27)))</f>
        <v>111.49999999999997</v>
      </c>
      <c r="AJ28" s="13">
        <f>AI28*VLOOKUP('Données projet'!$B$10,Paramètres!$A$1:$I$89,3,0)*VLOOKUP('Données projet'!$B$10,Paramètres!$A$1:$I$89,5,0)</f>
        <v>66.676999999999992</v>
      </c>
      <c r="AK28" s="13">
        <f t="shared" si="35"/>
        <v>18.845918291779732</v>
      </c>
      <c r="AL28" s="20">
        <f t="shared" si="4"/>
        <v>148.95241602484967</v>
      </c>
      <c r="AM28" s="59">
        <f t="shared" si="5"/>
        <v>442.28574935818301</v>
      </c>
      <c r="AN28" s="59">
        <f ca="1">AVERAGE(OFFSET($AM$3,0,0,'Données projet'!$E$10+1,1))-AVERAGE(OFFSET($H$3,0,0,'Données projet'!$E$10+1,1))</f>
        <v>287.78657453117694</v>
      </c>
      <c r="AO28" s="59">
        <f t="shared" si="36"/>
        <v>153.31562485362252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16.020512820512824</v>
      </c>
      <c r="BD28" s="12">
        <f>IF('Données projet'!$A$88&gt;35,BD27+BC28-BL27,IF(A28&lt;'Données projet'!$A$88,$BA$205^A28,IF(A28='Données projet'!$A$88,'Données projet'!$B$88,BD27+BC28-BL27)))</f>
        <v>135.55128205128204</v>
      </c>
      <c r="BE28" s="13">
        <f>BD28*VLOOKUP('Données projet'!$B$11,Paramètres!$A$1:$I$89,3,0)*VLOOKUP('Données projet'!$B$11,Paramètres!$A$1:$I$89,5,0)</f>
        <v>81.059666666666672</v>
      </c>
      <c r="BF28" s="13">
        <f t="shared" si="37"/>
        <v>22.396079377742645</v>
      </c>
      <c r="BG28" s="20">
        <f t="shared" si="7"/>
        <v>180.18542436067958</v>
      </c>
      <c r="BH28" s="59">
        <f t="shared" si="8"/>
        <v>473.51875769401289</v>
      </c>
      <c r="BI28" s="59">
        <f ca="1">AVERAGE(OFFSET($BH$3,0,0,'Données projet'!$E$11+1,1))-AVERAGE(OFFSET($H$3,0,0,'Données projet'!$E$11+1,1))</f>
        <v>250.93905519128998</v>
      </c>
      <c r="BJ28" s="59">
        <f t="shared" si="38"/>
        <v>222.32879462265032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1.4144510204613403</v>
      </c>
      <c r="BQ28" s="21">
        <f>EXP(-LN(2)/25)*BQ27+(1-EXP(-LN(2)/25))/(LN(2)/25)*Calculateur!BL28*Calculateur!BN28*VLOOKUP('Données projet'!$B$11,Paramètres!$A$1:$I$89,3,0)*0.475*44/12</f>
        <v>13.295836617828494</v>
      </c>
      <c r="BR28" s="21">
        <f>EXP(-LN(2)/2)*BR27+(1-EXP(-LN(2)/2))/(LN(2)/2)*BL28*BO28*VLOOKUP('Données projet'!$B$11,Paramètres!$A$1:$I$89,3,0)*0.475*44/12</f>
        <v>10.676625375756609</v>
      </c>
      <c r="BS28" s="22">
        <f t="shared" si="9"/>
        <v>25.386913014046442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12.695384615384615</v>
      </c>
      <c r="BY28" s="12">
        <f>IF('Données projet'!$A$114&gt;35,BY27+BX28-CG27,IF(A28&lt;'Données projet'!$A$114,$BV$205^A28,IF(A28='Données projet'!$A$114,'Données projet'!$B$114,BY27+BX28-CG27)))</f>
        <v>115.32461538461538</v>
      </c>
      <c r="BZ28" s="13">
        <f>BY28*VLOOKUP('Données projet'!$B$12,Paramètres!$A$1:$I$89,3,0)*VLOOKUP('Données projet'!$B$12,Paramètres!$A$1:$I$89,5,0)</f>
        <v>68.964120000000008</v>
      </c>
      <c r="CA28" s="13">
        <f t="shared" si="39"/>
        <v>19.415989273317052</v>
      </c>
      <c r="CB28" s="20">
        <f t="shared" si="10"/>
        <v>153.92869031769388</v>
      </c>
      <c r="CC28" s="59">
        <f t="shared" si="11"/>
        <v>447.26202365102722</v>
      </c>
      <c r="CD28" s="59">
        <f ca="1">AVERAGE(OFFSET($CC$3,0,0,'Données projet'!$E$12+1,1))-AVERAGE(OFFSET($H$3,0,0,'Données projet'!$E$12+1,1))</f>
        <v>179.32848817523677</v>
      </c>
      <c r="CE28" s="59">
        <f t="shared" si="40"/>
        <v>131.3292389103035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8.6291078711648197</v>
      </c>
      <c r="CM28" s="21">
        <f>EXP(-LN(2)/2)*CM27+(1-EXP(-LN(2)/2))/(LN(2)/2)*CG28*CJ28*VLOOKUP('Données projet'!$B$12,Paramètres!$A$1:$I$89,3,0)*0.475*44/12</f>
        <v>6.3132433681217828</v>
      </c>
      <c r="CN28" s="22">
        <f t="shared" si="12"/>
        <v>14.942351239286602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3.6141025641025637</v>
      </c>
      <c r="CT28" s="12">
        <f>IF('Données projet'!$A$140&gt;35,CT27+CS28-DB27,IF(A28&lt;'Données projet'!$A$140,$CQ$205^A28,IF(A28='Données projet'!$A$140,'Données projet'!$B$140,CT27+CS28-DB27)))</f>
        <v>49.651774378025635</v>
      </c>
      <c r="CU28" s="17">
        <f>CT28*VLOOKUP('Données projet'!$B$13,Paramètres!$A$1:$I$89,3,0)*VLOOKUP('Données projet'!$B$13,Paramètres!$A$1:$I$89,5,0)</f>
        <v>44.924925457237592</v>
      </c>
      <c r="CV28" s="13">
        <f t="shared" si="41"/>
        <v>13.295047727521297</v>
      </c>
      <c r="CW28" s="20">
        <f t="shared" si="13"/>
        <v>101.39978663012171</v>
      </c>
      <c r="CX28" s="59">
        <f t="shared" si="14"/>
        <v>394.73311996345501</v>
      </c>
      <c r="CY28" s="59">
        <f ca="1">AVERAGE(OFFSET($CX$3,0,0,'Données projet'!$E$13+1,1))-AVERAGE(OFFSET($H$3,0,0,'Données projet'!$E$13+1,1))</f>
        <v>309.07357540707869</v>
      </c>
      <c r="CZ28" s="59">
        <f t="shared" si="42"/>
        <v>155.9593924683299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9.1</v>
      </c>
      <c r="DO28" s="12">
        <f>IF('Données projet'!$A$166&gt;35,DO27+DN28-DW27,IF(A28&lt;'Données projet'!$A$166,$DL$205^A28,IF(A28='Données projet'!$A$166,'Données projet'!$B$166,DO27+DN28-DW27)))</f>
        <v>112.49999999999994</v>
      </c>
      <c r="DP28" s="17">
        <f>DO28*VLOOKUP('Données projet'!$B$14,Paramètres!$A$1:$I$89,3,0)*VLOOKUP('Données projet'!$B$14,Paramètres!$A$1:$I$89,5,0)</f>
        <v>98.279999999999959</v>
      </c>
      <c r="DQ28" s="13">
        <f t="shared" si="43"/>
        <v>26.551818424463448</v>
      </c>
      <c r="DR28" s="20">
        <f t="shared" si="16"/>
        <v>217.41541708927375</v>
      </c>
      <c r="DS28" s="59">
        <f t="shared" si="17"/>
        <v>510.74875042260703</v>
      </c>
      <c r="DT28" s="59">
        <f ca="1">AVERAGE(OFFSET($DS$3,0,0,'Données projet'!$E$14+1,1))-AVERAGE(OFFSET($H$3,0,0,'Données projet'!$E$14+1,1))</f>
        <v>210.07838338464626</v>
      </c>
      <c r="DU28" s="59">
        <f t="shared" si="44"/>
        <v>241.76003724236273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1.5420830477512013</v>
      </c>
      <c r="EB28" s="21">
        <f>EXP(-LN(2)/25)*EB27+(1-EXP(-LN(2)/25))/(LN(2)/25)*Calculateur!DW28*Calculateur!DY28*VLOOKUP('Données projet'!$B$14,Paramètres!$A$1:$I$89,3,0)*0.475*44/12</f>
        <v>6.6436264359446904</v>
      </c>
      <c r="EC28" s="21">
        <f>EXP(-LN(2)/2)*EC27+(1-EXP(-LN(2)/2))/(LN(2)/2)*DW28*DZ28*VLOOKUP('Données projet'!$B$14,Paramètres!$A$1:$I$89,3,0)*0.475*44/12</f>
        <v>2.6883654159590824</v>
      </c>
      <c r="ED28" s="22">
        <f t="shared" si="18"/>
        <v>10.874074899654975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13.9</v>
      </c>
      <c r="EJ28" s="12">
        <f>IF('Données projet'!$A$192&gt;35,EJ27+EI28-ER27,IF(A28&lt;'Données projet'!$A$192,$EG$205^A28,IF(A28='Données projet'!$A$192,'Données projet'!$B$192,EJ27+EI28-ER27)))</f>
        <v>150.50000000000003</v>
      </c>
      <c r="EK28" s="17">
        <f>EJ28*VLOOKUP('Données projet'!$B$15,Paramètres!$A$1:$I$89,3,0)*VLOOKUP('Données projet'!$B$15,Paramètres!$A$1:$I$89,5,0)</f>
        <v>93.91200000000002</v>
      </c>
      <c r="EL28" s="13">
        <f t="shared" si="45"/>
        <v>25.506356157232645</v>
      </c>
      <c r="EM28" s="20">
        <f t="shared" si="19"/>
        <v>207.9869703071802</v>
      </c>
      <c r="EN28" s="59">
        <f t="shared" si="20"/>
        <v>501.32030364051354</v>
      </c>
      <c r="EO28" s="59">
        <f ca="1">AVERAGE(OFFSET($EN$3,0,0,'Données projet'!$E$15+1,1))-AVERAGE(OFFSET($H$3,0,0,'Données projet'!$E$15+1,1))</f>
        <v>209.93608079129638</v>
      </c>
      <c r="EP28" s="59">
        <f t="shared" si="46"/>
        <v>240.15652428700969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7.9673990156374188</v>
      </c>
      <c r="EX28" s="21">
        <f>EXP(-LN(2)/2)*EX27+(1-EXP(-LN(2)/2))/(LN(2)/2)*ER28*EU28*VLOOKUP('Données projet'!$B$15,Paramètres!$A$1:$I$89,3,0)*0.475*44/12</f>
        <v>2.3105579649357963</v>
      </c>
      <c r="EY28" s="22">
        <f t="shared" si="21"/>
        <v>10.277956980573215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12.2</v>
      </c>
      <c r="N29" s="13">
        <f>IF('Données projet'!$A$36&gt;35,N28+M29-V28,IF(A29&lt;'Données projet'!$A$36,$K$205^A29,IF(A29='Données projet'!$A$36,'Données projet'!$B$36,N28+M29-V28)))</f>
        <v>125.20000000000002</v>
      </c>
      <c r="O29" s="13">
        <f>N29*VLOOKUP('Données projet'!$B$9,Paramètres!$A$1:$I$89,3,0)*VLOOKUP('Données projet'!$B$9,Paramètres!$A$1:$I$89,5,0)</f>
        <v>99.609120000000019</v>
      </c>
      <c r="P29" s="13">
        <f t="shared" si="33"/>
        <v>26.868854563103099</v>
      </c>
      <c r="Q29" s="20">
        <f t="shared" si="2"/>
        <v>220.28247236407125</v>
      </c>
      <c r="R29" s="59">
        <f t="shared" si="0"/>
        <v>513.61580569740454</v>
      </c>
      <c r="S29" s="59">
        <f ca="1">AVERAGE(OFFSET($R$3,0,0,'Données projet'!$E$9+1,1))-AVERAGE(OFFSET($H$3,0,0,'Données projet'!$E$9+1,1))</f>
        <v>199.58763537752952</v>
      </c>
      <c r="T29" s="59">
        <f t="shared" si="34"/>
        <v>242.62852778451929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4.2263519640202283</v>
      </c>
      <c r="AB29" s="21">
        <f>EXP(-LN(2)/2)*AB28+(1-EXP(-LN(2)/2))/(LN(2)/2)*V29*Y29*VLOOKUP('Données projet'!$B$9,Paramètres!$A$1:$I$89,3,0)*0.475*44/12</f>
        <v>1.0087128303181883</v>
      </c>
      <c r="AC29" s="22">
        <f t="shared" si="3"/>
        <v>5.2350647943384168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10.1</v>
      </c>
      <c r="AI29" s="13">
        <f>IF('Données projet'!$A$62&gt;35,AI28+AH29-AQ28,IF(A29&lt;'Données projet'!$A$62,$AF$205^A29,IF(A29='Données projet'!$A$62,'Données projet'!$B$62,AI28+AH29-AQ28)))</f>
        <v>121.59999999999997</v>
      </c>
      <c r="AJ29" s="13">
        <f>AI29*VLOOKUP('Données projet'!$B$10,Paramètres!$A$1:$I$89,3,0)*VLOOKUP('Données projet'!$B$10,Paramètres!$A$1:$I$89,5,0)</f>
        <v>72.716799999999978</v>
      </c>
      <c r="AK29" s="13">
        <f t="shared" si="35"/>
        <v>20.346632355147253</v>
      </c>
      <c r="AL29" s="20">
        <f t="shared" si="4"/>
        <v>162.08547801854809</v>
      </c>
      <c r="AM29" s="59">
        <f t="shared" si="5"/>
        <v>455.4188113518814</v>
      </c>
      <c r="AN29" s="59">
        <f ca="1">AVERAGE(OFFSET($AM$3,0,0,'Données projet'!$E$10+1,1))-AVERAGE(OFFSET($H$3,0,0,'Données projet'!$E$10+1,1))</f>
        <v>287.78657453117694</v>
      </c>
      <c r="AO29" s="59">
        <f t="shared" si="36"/>
        <v>153.31562485362252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16.020512820512824</v>
      </c>
      <c r="BD29" s="12">
        <f>IF('Données projet'!$A$88&gt;35,BD28+BC29-BL28,IF(A29&lt;'Données projet'!$A$88,$BA$205^A29,IF(A29='Données projet'!$A$88,'Données projet'!$B$88,BD28+BC29-BL28)))</f>
        <v>151.57179487179488</v>
      </c>
      <c r="BE29" s="13">
        <f>BD29*VLOOKUP('Données projet'!$B$11,Paramètres!$A$1:$I$89,3,0)*VLOOKUP('Données projet'!$B$11,Paramètres!$A$1:$I$89,5,0)</f>
        <v>90.639933333333346</v>
      </c>
      <c r="BF29" s="13">
        <f t="shared" si="37"/>
        <v>24.719497804626467</v>
      </c>
      <c r="BG29" s="20">
        <f t="shared" si="7"/>
        <v>200.91767589861334</v>
      </c>
      <c r="BH29" s="59">
        <f t="shared" si="8"/>
        <v>494.25100923194668</v>
      </c>
      <c r="BI29" s="59">
        <f ca="1">AVERAGE(OFFSET($BH$3,0,0,'Données projet'!$E$11+1,1))-AVERAGE(OFFSET($H$3,0,0,'Données projet'!$E$11+1,1))</f>
        <v>250.93905519128998</v>
      </c>
      <c r="BJ29" s="59">
        <f t="shared" si="38"/>
        <v>222.32879462265032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1.3867144986800284</v>
      </c>
      <c r="BQ29" s="21">
        <f>EXP(-LN(2)/25)*BQ28+(1-EXP(-LN(2)/25))/(LN(2)/25)*Calculateur!BL29*Calculateur!BN29*VLOOKUP('Données projet'!$B$11,Paramètres!$A$1:$I$89,3,0)*0.475*44/12</f>
        <v>12.932261266316313</v>
      </c>
      <c r="BR29" s="21">
        <f>EXP(-LN(2)/2)*BR28+(1-EXP(-LN(2)/2))/(LN(2)/2)*BL29*BO29*VLOOKUP('Données projet'!$B$11,Paramètres!$A$1:$I$89,3,0)*0.475*44/12</f>
        <v>7.5495142033858702</v>
      </c>
      <c r="BS29" s="22">
        <f t="shared" si="9"/>
        <v>21.868489968382214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12.695384615384615</v>
      </c>
      <c r="BY29" s="12">
        <f>IF('Données projet'!$A$114&gt;35,BY28+BX29-CG28,IF(A29&lt;'Données projet'!$A$114,$BV$205^A29,IF(A29='Données projet'!$A$114,'Données projet'!$B$114,BY28+BX29-CG28)))</f>
        <v>128.02000000000001</v>
      </c>
      <c r="BZ29" s="13">
        <f>BY29*VLOOKUP('Données projet'!$B$12,Paramètres!$A$1:$I$89,3,0)*VLOOKUP('Données projet'!$B$12,Paramètres!$A$1:$I$89,5,0)</f>
        <v>76.555960000000013</v>
      </c>
      <c r="CA29" s="13">
        <f t="shared" si="39"/>
        <v>21.292953972936246</v>
      </c>
      <c r="CB29" s="20">
        <f t="shared" si="10"/>
        <v>170.42019183619729</v>
      </c>
      <c r="CC29" s="59">
        <f t="shared" si="11"/>
        <v>463.75352516953058</v>
      </c>
      <c r="CD29" s="59">
        <f ca="1">AVERAGE(OFFSET($CC$3,0,0,'Données projet'!$E$12+1,1))-AVERAGE(OFFSET($H$3,0,0,'Données projet'!$E$12+1,1))</f>
        <v>179.32848817523677</v>
      </c>
      <c r="CE29" s="59">
        <f t="shared" si="40"/>
        <v>131.3292389103035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8.3931444626427574</v>
      </c>
      <c r="CM29" s="21">
        <f>EXP(-LN(2)/2)*CM28+(1-EXP(-LN(2)/2))/(LN(2)/2)*CG29*CJ29*VLOOKUP('Données projet'!$B$12,Paramètres!$A$1:$I$89,3,0)*0.475*44/12</f>
        <v>4.4641371968799124</v>
      </c>
      <c r="CN29" s="22">
        <f t="shared" si="12"/>
        <v>12.85728165952267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3.6141025641025637</v>
      </c>
      <c r="CT29" s="12">
        <f>IF('Données projet'!$A$140&gt;35,CT28+CS29-DB28,IF(A29&lt;'Données projet'!$A$140,$CQ$205^A29,IF(A29='Données projet'!$A$140,'Données projet'!$B$140,CT28+CS29-DB28)))</f>
        <v>58.045982181385838</v>
      </c>
      <c r="CU29" s="17">
        <f>CT29*VLOOKUP('Données projet'!$B$13,Paramètres!$A$1:$I$89,3,0)*VLOOKUP('Données projet'!$B$13,Paramètres!$A$1:$I$89,5,0)</f>
        <v>52.520004677717907</v>
      </c>
      <c r="CV29" s="13">
        <f t="shared" si="41"/>
        <v>15.262687750384339</v>
      </c>
      <c r="CW29" s="20">
        <f t="shared" si="13"/>
        <v>118.05485597894473</v>
      </c>
      <c r="CX29" s="59">
        <f t="shared" si="14"/>
        <v>411.38818931227803</v>
      </c>
      <c r="CY29" s="59">
        <f ca="1">AVERAGE(OFFSET($CX$3,0,0,'Données projet'!$E$13+1,1))-AVERAGE(OFFSET($H$3,0,0,'Données projet'!$E$13+1,1))</f>
        <v>309.07357540707869</v>
      </c>
      <c r="CZ29" s="59">
        <f t="shared" si="42"/>
        <v>155.9593924683299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9.1</v>
      </c>
      <c r="DO29" s="12">
        <f>IF('Données projet'!$A$166&gt;35,DO28+DN29-DW28,IF(A29&lt;'Données projet'!$A$166,$DL$205^A29,IF(A29='Données projet'!$A$166,'Données projet'!$B$166,DO28+DN29-DW28)))</f>
        <v>121.59999999999994</v>
      </c>
      <c r="DP29" s="17">
        <f>DO29*VLOOKUP('Données projet'!$B$14,Paramètres!$A$1:$I$89,3,0)*VLOOKUP('Données projet'!$B$14,Paramètres!$A$1:$I$89,5,0)</f>
        <v>106.22975999999997</v>
      </c>
      <c r="DQ29" s="13">
        <f t="shared" si="43"/>
        <v>28.440891625171467</v>
      </c>
      <c r="DR29" s="20">
        <f t="shared" si="16"/>
        <v>234.55138491384025</v>
      </c>
      <c r="DS29" s="59">
        <f t="shared" si="17"/>
        <v>527.88471824717362</v>
      </c>
      <c r="DT29" s="59">
        <f ca="1">AVERAGE(OFFSET($DS$3,0,0,'Données projet'!$E$14+1,1))-AVERAGE(OFFSET($H$3,0,0,'Données projet'!$E$14+1,1))</f>
        <v>210.07838338464626</v>
      </c>
      <c r="DU29" s="59">
        <f t="shared" si="44"/>
        <v>241.76003724236273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1.511843739762585</v>
      </c>
      <c r="EB29" s="21">
        <f>EXP(-LN(2)/25)*EB28+(1-EXP(-LN(2)/25))/(LN(2)/25)*Calculateur!DW29*Calculateur!DY29*VLOOKUP('Données projet'!$B$14,Paramètres!$A$1:$I$89,3,0)*0.475*44/12</f>
        <v>6.4619561216806529</v>
      </c>
      <c r="EC29" s="21">
        <f>EXP(-LN(2)/2)*EC28+(1-EXP(-LN(2)/2))/(LN(2)/2)*DW29*DZ29*VLOOKUP('Données projet'!$B$14,Paramètres!$A$1:$I$89,3,0)*0.475*44/12</f>
        <v>1.9009614159320609</v>
      </c>
      <c r="ED29" s="22">
        <f t="shared" si="18"/>
        <v>9.8747612773752991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13.9</v>
      </c>
      <c r="EJ29" s="12">
        <f>IF('Données projet'!$A$192&gt;35,EJ28+EI29-ER28,IF(A29&lt;'Données projet'!$A$192,$EG$205^A29,IF(A29='Données projet'!$A$192,'Données projet'!$B$192,EJ28+EI29-ER28)))</f>
        <v>164.40000000000003</v>
      </c>
      <c r="EK29" s="17">
        <f>EJ29*VLOOKUP('Données projet'!$B$15,Paramètres!$A$1:$I$89,3,0)*VLOOKUP('Données projet'!$B$15,Paramètres!$A$1:$I$89,5,0)</f>
        <v>102.58560000000003</v>
      </c>
      <c r="EL29" s="13">
        <f t="shared" si="45"/>
        <v>27.577062948792328</v>
      </c>
      <c r="EM29" s="20">
        <f t="shared" si="19"/>
        <v>226.69997130248001</v>
      </c>
      <c r="EN29" s="59">
        <f t="shared" si="20"/>
        <v>520.03330463581335</v>
      </c>
      <c r="EO29" s="59">
        <f ca="1">AVERAGE(OFFSET($EN$3,0,0,'Données projet'!$E$15+1,1))-AVERAGE(OFFSET($H$3,0,0,'Données projet'!$E$15+1,1))</f>
        <v>209.93608079129638</v>
      </c>
      <c r="EP29" s="59">
        <f t="shared" si="46"/>
        <v>240.15652428700969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7.7495300705675092</v>
      </c>
      <c r="EX29" s="21">
        <f>EXP(-LN(2)/2)*EX28+(1-EXP(-LN(2)/2))/(LN(2)/2)*ER29*EU29*VLOOKUP('Données projet'!$B$15,Paramètres!$A$1:$I$89,3,0)*0.475*44/12</f>
        <v>1.6338112053306908</v>
      </c>
      <c r="EY29" s="22">
        <f t="shared" si="21"/>
        <v>9.3833412758982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12.2</v>
      </c>
      <c r="N30" s="13">
        <f>IF('Données projet'!$A$36&gt;35,N29+M30-V29,IF(A30&lt;'Données projet'!$A$36,$K$205^A30,IF(A30='Données projet'!$A$36,'Données projet'!$B$36,N29+M30-V29)))</f>
        <v>137.4</v>
      </c>
      <c r="O30" s="13">
        <f>N30*VLOOKUP('Données projet'!$B$9,Paramètres!$A$1:$I$89,3,0)*VLOOKUP('Données projet'!$B$9,Paramètres!$A$1:$I$89,5,0)</f>
        <v>109.31544</v>
      </c>
      <c r="P30" s="13">
        <f t="shared" si="33"/>
        <v>29.169638343948144</v>
      </c>
      <c r="Q30" s="20">
        <f t="shared" si="2"/>
        <v>241.19484478237635</v>
      </c>
      <c r="R30" s="59">
        <f t="shared" si="0"/>
        <v>534.52817811570969</v>
      </c>
      <c r="S30" s="59">
        <f ca="1">AVERAGE(OFFSET($R$3,0,0,'Données projet'!$E$9+1,1))-AVERAGE(OFFSET($H$3,0,0,'Données projet'!$E$9+1,1))</f>
        <v>199.58763537752952</v>
      </c>
      <c r="T30" s="59">
        <f t="shared" si="34"/>
        <v>242.62852778451929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4.1107821473099051</v>
      </c>
      <c r="AB30" s="21">
        <f>EXP(-LN(2)/2)*AB29+(1-EXP(-LN(2)/2))/(LN(2)/2)*V30*Y30*VLOOKUP('Données projet'!$B$9,Paramètres!$A$1:$I$89,3,0)*0.475*44/12</f>
        <v>0.71326768258786621</v>
      </c>
      <c r="AC30" s="22">
        <f t="shared" si="3"/>
        <v>4.8240498298977714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10.1</v>
      </c>
      <c r="AI30" s="13">
        <f>IF('Données projet'!$A$62&gt;35,AI29+AH30-AQ29,IF(A30&lt;'Données projet'!$A$62,$AF$205^A30,IF(A30='Données projet'!$A$62,'Données projet'!$B$62,AI29+AH30-AQ29)))</f>
        <v>131.69999999999996</v>
      </c>
      <c r="AJ30" s="13">
        <f>AI30*VLOOKUP('Données projet'!$B$10,Paramètres!$A$1:$I$89,3,0)*VLOOKUP('Données projet'!$B$10,Paramètres!$A$1:$I$89,5,0)</f>
        <v>78.756599999999992</v>
      </c>
      <c r="AK30" s="13">
        <f t="shared" si="35"/>
        <v>21.832889754370328</v>
      </c>
      <c r="AL30" s="20">
        <f t="shared" si="4"/>
        <v>175.19336132219496</v>
      </c>
      <c r="AM30" s="59">
        <f t="shared" si="5"/>
        <v>468.52669465552827</v>
      </c>
      <c r="AN30" s="59">
        <f ca="1">AVERAGE(OFFSET($AM$3,0,0,'Données projet'!$E$10+1,1))-AVERAGE(OFFSET($H$3,0,0,'Données projet'!$E$10+1,1))</f>
        <v>287.78657453117694</v>
      </c>
      <c r="AO30" s="59">
        <f t="shared" si="36"/>
        <v>153.31562485362252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16.020512820512824</v>
      </c>
      <c r="BD30" s="12">
        <f>IF('Données projet'!$A$88&gt;35,BD29+BC30-BL29,IF(A30&lt;'Données projet'!$A$88,$BA$205^A30,IF(A30='Données projet'!$A$88,'Données projet'!$B$88,BD29+BC30-BL29)))</f>
        <v>167.59230769230771</v>
      </c>
      <c r="BE30" s="13">
        <f>BD30*VLOOKUP('Données projet'!$B$11,Paramètres!$A$1:$I$89,3,0)*VLOOKUP('Données projet'!$B$11,Paramètres!$A$1:$I$89,5,0)</f>
        <v>100.22020000000002</v>
      </c>
      <c r="BF30" s="13">
        <f t="shared" si="37"/>
        <v>27.014450444334749</v>
      </c>
      <c r="BG30" s="20">
        <f t="shared" si="7"/>
        <v>221.60034952388301</v>
      </c>
      <c r="BH30" s="59">
        <f t="shared" si="8"/>
        <v>514.93368285721635</v>
      </c>
      <c r="BI30" s="59">
        <f ca="1">AVERAGE(OFFSET($BH$3,0,0,'Données projet'!$E$11+1,1))-AVERAGE(OFFSET($H$3,0,0,'Données projet'!$E$11+1,1))</f>
        <v>250.93905519128998</v>
      </c>
      <c r="BJ30" s="59">
        <f t="shared" si="38"/>
        <v>222.32879462265032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1.3595218731732401</v>
      </c>
      <c r="BQ30" s="21">
        <f>EXP(-LN(2)/25)*BQ29+(1-EXP(-LN(2)/25))/(LN(2)/25)*Calculateur!BL30*Calculateur!BN30*VLOOKUP('Données projet'!$B$11,Paramètres!$A$1:$I$89,3,0)*0.475*44/12</f>
        <v>12.578627901910831</v>
      </c>
      <c r="BR30" s="21">
        <f>EXP(-LN(2)/2)*BR29+(1-EXP(-LN(2)/2))/(LN(2)/2)*BL30*BO30*VLOOKUP('Données projet'!$B$11,Paramètres!$A$1:$I$89,3,0)*0.475*44/12</f>
        <v>5.3383126878783056</v>
      </c>
      <c r="BS30" s="22">
        <f t="shared" si="9"/>
        <v>19.276462462962378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>
        <f>VLOOKUP(A30,'Données projet'!$A$113:$I$133,2,0)</f>
        <v>140.71538461538461</v>
      </c>
      <c r="BW30" s="12">
        <f>VLOOKUP(A30,'Données projet'!$A$113:$I$133,9,0)</f>
        <v>12.695384615384615</v>
      </c>
      <c r="BX30" s="12">
        <f t="array" ref="BX30">INDEX(BW:BW,MIN(IF(ISNUMBER(BW30:BW226),ROW(BW30:BW226),"")))</f>
        <v>12.695384615384615</v>
      </c>
      <c r="BY30" s="12">
        <f>IF('Données projet'!$A$114&gt;35,BY29+BX30-CG29,IF(A30&lt;'Données projet'!$A$114,$BV$205^A30,IF(A30='Données projet'!$A$114,'Données projet'!$B$114,BY29+BX30-CG29)))</f>
        <v>140.71538461538464</v>
      </c>
      <c r="BZ30" s="13">
        <f>BY30*VLOOKUP('Données projet'!$B$12,Paramètres!$A$1:$I$89,3,0)*VLOOKUP('Données projet'!$B$12,Paramètres!$A$1:$I$89,5,0)</f>
        <v>84.147800000000018</v>
      </c>
      <c r="CA30" s="13">
        <f t="shared" si="39"/>
        <v>23.148340019013897</v>
      </c>
      <c r="CB30" s="20">
        <f t="shared" si="10"/>
        <v>186.8741105331159</v>
      </c>
      <c r="CC30" s="59">
        <f t="shared" si="11"/>
        <v>480.20744386644924</v>
      </c>
      <c r="CD30" s="59">
        <f ca="1">AVERAGE(OFFSET($CC$3,0,0,'Données projet'!$E$12+1,1))-AVERAGE(OFFSET($H$3,0,0,'Données projet'!$E$12+1,1))</f>
        <v>179.32848817523677</v>
      </c>
      <c r="CE30" s="59">
        <f t="shared" si="40"/>
        <v>131.3292389103035</v>
      </c>
      <c r="CF30" s="15">
        <f>IF(ISNA(VLOOKUP(A30,'Données projet'!$A$113:$I$133,3,0)),0,VLOOKUP(A30,'Données projet'!$A$113:$I$133,3,0))</f>
        <v>2</v>
      </c>
      <c r="CG30" s="15">
        <f>IF(ISNA(VLOOKUP(A30,'Données projet'!$A$113:$I$133,4,0)),0,VLOOKUP(A30,'Données projet'!$A$113:$I$133,4,0))</f>
        <v>34.646153846153844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0.22500000000000001</v>
      </c>
      <c r="CJ30" s="16">
        <f>IF(ISNA(VLOOKUP(A30,'Données projet'!$A$113:$I$133,7,0)),0%,VLOOKUP(A30,'Données projet'!$A$113:$I$133,7,0))</f>
        <v>0.5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14.323250783856185</v>
      </c>
      <c r="CM30" s="21">
        <f>EXP(-LN(2)/2)*CM29+(1-EXP(-LN(2)/2))/(LN(2)/2)*CG30*CJ30*VLOOKUP('Données projet'!$B$12,Paramètres!$A$1:$I$89,3,0)*0.475*44/12</f>
        <v>14.885642500597056</v>
      </c>
      <c r="CN30" s="22">
        <f t="shared" si="12"/>
        <v>29.208893284453239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3.6141025641025637</v>
      </c>
      <c r="CT30" s="12">
        <f>IF('Données projet'!$A$140&gt;35,CT29+CS30-DB29,IF(A30&lt;'Données projet'!$A$140,$CQ$205^A30,IF(A30='Données projet'!$A$140,'Données projet'!$B$140,CT29+CS30-DB29)))</f>
        <v>67.859328082601763</v>
      </c>
      <c r="CU30" s="17">
        <f>CT30*VLOOKUP('Données projet'!$B$13,Paramètres!$A$1:$I$89,3,0)*VLOOKUP('Données projet'!$B$13,Paramètres!$A$1:$I$89,5,0)</f>
        <v>61.39912004913807</v>
      </c>
      <c r="CV30" s="13">
        <f t="shared" si="41"/>
        <v>17.521534494646211</v>
      </c>
      <c r="CW30" s="20">
        <f t="shared" si="13"/>
        <v>137.45347333042426</v>
      </c>
      <c r="CX30" s="59">
        <f t="shared" si="14"/>
        <v>430.7868066637576</v>
      </c>
      <c r="CY30" s="59">
        <f ca="1">AVERAGE(OFFSET($CX$3,0,0,'Données projet'!$E$13+1,1))-AVERAGE(OFFSET($H$3,0,0,'Données projet'!$E$13+1,1))</f>
        <v>309.07357540707869</v>
      </c>
      <c r="CZ30" s="59">
        <f t="shared" si="42"/>
        <v>155.9593924683299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9.1</v>
      </c>
      <c r="DO30" s="12">
        <f>IF('Données projet'!$A$166&gt;35,DO29+DN30-DW29,IF(A30&lt;'Données projet'!$A$166,$DL$205^A30,IF(A30='Données projet'!$A$166,'Données projet'!$B$166,DO29+DN30-DW29)))</f>
        <v>130.69999999999993</v>
      </c>
      <c r="DP30" s="17">
        <f>DO30*VLOOKUP('Données projet'!$B$14,Paramètres!$A$1:$I$89,3,0)*VLOOKUP('Données projet'!$B$14,Paramètres!$A$1:$I$89,5,0)</f>
        <v>114.17951999999995</v>
      </c>
      <c r="DQ30" s="13">
        <f t="shared" si="43"/>
        <v>30.313564695312358</v>
      </c>
      <c r="DR30" s="20">
        <f t="shared" si="16"/>
        <v>251.65878917766895</v>
      </c>
      <c r="DS30" s="59">
        <f t="shared" si="17"/>
        <v>544.99212251100221</v>
      </c>
      <c r="DT30" s="59">
        <f ca="1">AVERAGE(OFFSET($DS$3,0,0,'Données projet'!$E$14+1,1))-AVERAGE(OFFSET($H$3,0,0,'Données projet'!$E$14+1,1))</f>
        <v>210.07838338464626</v>
      </c>
      <c r="DU30" s="59">
        <f t="shared" si="44"/>
        <v>241.76003724236273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1.4821974061594689</v>
      </c>
      <c r="EB30" s="21">
        <f>EXP(-LN(2)/25)*EB29+(1-EXP(-LN(2)/25))/(LN(2)/25)*Calculateur!DW30*Calculateur!DY30*VLOOKUP('Données projet'!$B$14,Paramètres!$A$1:$I$89,3,0)*0.475*44/12</f>
        <v>6.2852535917137917</v>
      </c>
      <c r="EC30" s="21">
        <f>EXP(-LN(2)/2)*EC29+(1-EXP(-LN(2)/2))/(LN(2)/2)*DW30*DZ30*VLOOKUP('Données projet'!$B$14,Paramètres!$A$1:$I$89,3,0)*0.475*44/12</f>
        <v>1.3441827079795414</v>
      </c>
      <c r="ED30" s="22">
        <f t="shared" si="18"/>
        <v>9.1116337058528014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13.9</v>
      </c>
      <c r="EJ30" s="12">
        <f>IF('Données projet'!$A$192&gt;35,EJ29+EI30-ER29,IF(A30&lt;'Données projet'!$A$192,$EG$205^A30,IF(A30='Données projet'!$A$192,'Données projet'!$B$192,EJ29+EI30-ER29)))</f>
        <v>178.30000000000004</v>
      </c>
      <c r="EK30" s="17">
        <f>EJ30*VLOOKUP('Données projet'!$B$15,Paramètres!$A$1:$I$89,3,0)*VLOOKUP('Données projet'!$B$15,Paramètres!$A$1:$I$89,5,0)</f>
        <v>111.25920000000002</v>
      </c>
      <c r="EL30" s="13">
        <f t="shared" si="45"/>
        <v>29.627465095165842</v>
      </c>
      <c r="EM30" s="20">
        <f t="shared" si="19"/>
        <v>245.37760837408052</v>
      </c>
      <c r="EN30" s="59">
        <f t="shared" si="20"/>
        <v>538.71094170741389</v>
      </c>
      <c r="EO30" s="59">
        <f ca="1">AVERAGE(OFFSET($EN$3,0,0,'Données projet'!$E$15+1,1))-AVERAGE(OFFSET($H$3,0,0,'Données projet'!$E$15+1,1))</f>
        <v>209.93608079129638</v>
      </c>
      <c r="EP30" s="59">
        <f t="shared" si="46"/>
        <v>240.15652428700969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7.5376187632577665</v>
      </c>
      <c r="EX30" s="21">
        <f>EXP(-LN(2)/2)*EX29+(1-EXP(-LN(2)/2))/(LN(2)/2)*ER30*EU30*VLOOKUP('Données projet'!$B$15,Paramètres!$A$1:$I$89,3,0)*0.475*44/12</f>
        <v>1.1552789824678984</v>
      </c>
      <c r="EY30" s="22">
        <f t="shared" si="21"/>
        <v>8.6928977457256646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12.2</v>
      </c>
      <c r="N31" s="13">
        <f>IF('Données projet'!$A$36&gt;35,N30+M31-V30,IF(A31&lt;'Données projet'!$A$36,$K$205^A31,IF(A31='Données projet'!$A$36,'Données projet'!$B$36,N30+M31-V30)))</f>
        <v>149.6</v>
      </c>
      <c r="O31" s="13">
        <f>N31*VLOOKUP('Données projet'!$B$9,Paramètres!$A$1:$I$89,3,0)*VLOOKUP('Données projet'!$B$9,Paramètres!$A$1:$I$89,5,0)</f>
        <v>119.02175999999999</v>
      </c>
      <c r="P31" s="13">
        <f t="shared" si="33"/>
        <v>31.446732299897718</v>
      </c>
      <c r="Q31" s="20">
        <f t="shared" si="2"/>
        <v>262.06595742232184</v>
      </c>
      <c r="R31" s="59">
        <f t="shared" si="0"/>
        <v>555.3992907556551</v>
      </c>
      <c r="S31" s="59">
        <f ca="1">AVERAGE(OFFSET($R$3,0,0,'Données projet'!$E$9+1,1))-AVERAGE(OFFSET($H$3,0,0,'Données projet'!$E$9+1,1))</f>
        <v>199.58763537752952</v>
      </c>
      <c r="T31" s="59">
        <f t="shared" si="34"/>
        <v>242.62852778451929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3.9983725933150778</v>
      </c>
      <c r="AB31" s="21">
        <f>EXP(-LN(2)/2)*AB30+(1-EXP(-LN(2)/2))/(LN(2)/2)*V31*Y31*VLOOKUP('Données projet'!$B$9,Paramètres!$A$1:$I$89,3,0)*0.475*44/12</f>
        <v>0.50435641515909413</v>
      </c>
      <c r="AC31" s="22">
        <f t="shared" si="3"/>
        <v>4.502729008474172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10.1</v>
      </c>
      <c r="AI31" s="13">
        <f>IF('Données projet'!$A$62&gt;35,AI30+AH31-AQ30,IF(A31&lt;'Données projet'!$A$62,$AF$205^A31,IF(A31='Données projet'!$A$62,'Données projet'!$B$62,AI30+AH31-AQ30)))</f>
        <v>141.79999999999995</v>
      </c>
      <c r="AJ31" s="13">
        <f>AI31*VLOOKUP('Données projet'!$B$10,Paramètres!$A$1:$I$89,3,0)*VLOOKUP('Données projet'!$B$10,Paramètres!$A$1:$I$89,5,0)</f>
        <v>84.796399999999977</v>
      </c>
      <c r="AK31" s="13">
        <f t="shared" si="35"/>
        <v>23.305925219278951</v>
      </c>
      <c r="AL31" s="20">
        <f t="shared" si="4"/>
        <v>188.27821642357745</v>
      </c>
      <c r="AM31" s="59">
        <f t="shared" si="5"/>
        <v>481.61154975691079</v>
      </c>
      <c r="AN31" s="59">
        <f ca="1">AVERAGE(OFFSET($AM$3,0,0,'Données projet'!$E$10+1,1))-AVERAGE(OFFSET($H$3,0,0,'Données projet'!$E$10+1,1))</f>
        <v>287.78657453117694</v>
      </c>
      <c r="AO31" s="59">
        <f t="shared" si="36"/>
        <v>153.31562485362252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16.020512820512824</v>
      </c>
      <c r="BD31" s="12">
        <f>IF('Données projet'!$A$88&gt;35,BD30+BC31-BL30,IF(A31&lt;'Données projet'!$A$88,$BA$205^A31,IF(A31='Données projet'!$A$88,'Données projet'!$B$88,BD30+BC31-BL30)))</f>
        <v>183.61282051282055</v>
      </c>
      <c r="BE31" s="13">
        <f>BD31*VLOOKUP('Données projet'!$B$11,Paramètres!$A$1:$I$89,3,0)*VLOOKUP('Données projet'!$B$11,Paramètres!$A$1:$I$89,5,0)</f>
        <v>109.80046666666669</v>
      </c>
      <c r="BF31" s="13">
        <f t="shared" si="37"/>
        <v>29.283967996494283</v>
      </c>
      <c r="BG31" s="20">
        <f t="shared" si="7"/>
        <v>242.23872370500536</v>
      </c>
      <c r="BH31" s="59">
        <f t="shared" si="8"/>
        <v>535.5720570383387</v>
      </c>
      <c r="BI31" s="59">
        <f ca="1">AVERAGE(OFFSET($BH$3,0,0,'Données projet'!$E$11+1,1))-AVERAGE(OFFSET($H$3,0,0,'Données projet'!$E$11+1,1))</f>
        <v>250.93905519128998</v>
      </c>
      <c r="BJ31" s="59">
        <f t="shared" si="38"/>
        <v>222.32879462265032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1.3328624784667762</v>
      </c>
      <c r="BQ31" s="21">
        <f>EXP(-LN(2)/25)*BQ30+(1-EXP(-LN(2)/25))/(LN(2)/25)*Calculateur!BL31*Calculateur!BN31*VLOOKUP('Données projet'!$B$11,Paramètres!$A$1:$I$89,3,0)*0.475*44/12</f>
        <v>12.234664660451788</v>
      </c>
      <c r="BR31" s="21">
        <f>EXP(-LN(2)/2)*BR30+(1-EXP(-LN(2)/2))/(LN(2)/2)*BL31*BO31*VLOOKUP('Données projet'!$B$11,Paramètres!$A$1:$I$89,3,0)*0.475*44/12</f>
        <v>3.7747571016929355</v>
      </c>
      <c r="BS31" s="22">
        <f t="shared" si="9"/>
        <v>17.342284240611498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12.97179487179487</v>
      </c>
      <c r="BY31" s="12">
        <f>IF('Données projet'!$A$114&gt;35,BY30+BX31-CG30,IF(A31&lt;'Données projet'!$A$114,$BV$205^A31,IF(A31='Données projet'!$A$114,'Données projet'!$B$114,BY30+BX31-CG30)))</f>
        <v>119.04102564102564</v>
      </c>
      <c r="BZ31" s="13">
        <f>BY31*VLOOKUP('Données projet'!$B$12,Paramètres!$A$1:$I$89,3,0)*VLOOKUP('Données projet'!$B$12,Paramètres!$A$1:$I$89,5,0)</f>
        <v>71.18653333333333</v>
      </c>
      <c r="CA31" s="13">
        <f t="shared" si="39"/>
        <v>19.967826748678</v>
      </c>
      <c r="CB31" s="20">
        <f t="shared" si="10"/>
        <v>158.76051047616974</v>
      </c>
      <c r="CC31" s="59">
        <f t="shared" si="11"/>
        <v>452.09384380950303</v>
      </c>
      <c r="CD31" s="59">
        <f ca="1">AVERAGE(OFFSET($CC$3,0,0,'Données projet'!$E$12+1,1))-AVERAGE(OFFSET($H$3,0,0,'Données projet'!$E$12+1,1))</f>
        <v>179.32848817523677</v>
      </c>
      <c r="CE31" s="59">
        <f t="shared" si="40"/>
        <v>131.3292389103035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13.931580737944616</v>
      </c>
      <c r="CM31" s="21">
        <f>EXP(-LN(2)/2)*CM30+(1-EXP(-LN(2)/2))/(LN(2)/2)*CG31*CJ31*VLOOKUP('Données projet'!$B$12,Paramètres!$A$1:$I$89,3,0)*0.475*44/12</f>
        <v>10.525738754490856</v>
      </c>
      <c r="CN31" s="22">
        <f t="shared" si="12"/>
        <v>24.457319492435474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3.6141025641025637</v>
      </c>
      <c r="CT31" s="12">
        <f>IF('Données projet'!$A$140&gt;35,CT30+CS31-DB30,IF(A31&lt;'Données projet'!$A$140,$CQ$205^A31,IF(A31='Données projet'!$A$140,'Données projet'!$B$140,CT30+CS31-DB30)))</f>
        <v>79.331733821516394</v>
      </c>
      <c r="CU31" s="17">
        <f>CT31*VLOOKUP('Données projet'!$B$13,Paramètres!$A$1:$I$89,3,0)*VLOOKUP('Données projet'!$B$13,Paramètres!$A$1:$I$89,5,0)</f>
        <v>71.779352761708026</v>
      </c>
      <c r="CV31" s="13">
        <f t="shared" si="41"/>
        <v>20.114685962788318</v>
      </c>
      <c r="CW31" s="20">
        <f t="shared" si="13"/>
        <v>160.04878411183111</v>
      </c>
      <c r="CX31" s="59">
        <f t="shared" si="14"/>
        <v>453.38211744516445</v>
      </c>
      <c r="CY31" s="59">
        <f ca="1">AVERAGE(OFFSET($CX$3,0,0,'Données projet'!$E$13+1,1))-AVERAGE(OFFSET($H$3,0,0,'Données projet'!$E$13+1,1))</f>
        <v>309.07357540707869</v>
      </c>
      <c r="CZ31" s="59">
        <f t="shared" si="42"/>
        <v>155.9593924683299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9.1</v>
      </c>
      <c r="DO31" s="12">
        <f>IF('Données projet'!$A$166&gt;35,DO30+DN31-DW30,IF(A31&lt;'Données projet'!$A$166,$DL$205^A31,IF(A31='Données projet'!$A$166,'Données projet'!$B$166,DO30+DN31-DW30)))</f>
        <v>139.79999999999993</v>
      </c>
      <c r="DP31" s="17">
        <f>DO31*VLOOKUP('Données projet'!$B$14,Paramètres!$A$1:$I$89,3,0)*VLOOKUP('Données projet'!$B$14,Paramètres!$A$1:$I$89,5,0)</f>
        <v>122.12927999999995</v>
      </c>
      <c r="DQ31" s="13">
        <f t="shared" si="43"/>
        <v>32.171109382958164</v>
      </c>
      <c r="DR31" s="20">
        <f t="shared" si="16"/>
        <v>268.73984484198542</v>
      </c>
      <c r="DS31" s="59">
        <f t="shared" si="17"/>
        <v>562.07317817531873</v>
      </c>
      <c r="DT31" s="59">
        <f ca="1">AVERAGE(OFFSET($DS$3,0,0,'Données projet'!$E$14+1,1))-AVERAGE(OFFSET($H$3,0,0,'Données projet'!$E$14+1,1))</f>
        <v>210.07838338464626</v>
      </c>
      <c r="DU31" s="59">
        <f t="shared" si="44"/>
        <v>241.76003724236273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1.4531324190758319</v>
      </c>
      <c r="EB31" s="21">
        <f>EXP(-LN(2)/25)*EB30+(1-EXP(-LN(2)/25))/(LN(2)/25)*Calculateur!DW31*Calculateur!DY31*VLOOKUP('Données projet'!$B$14,Paramètres!$A$1:$I$89,3,0)*0.475*44/12</f>
        <v>6.1133830017212567</v>
      </c>
      <c r="EC31" s="21">
        <f>EXP(-LN(2)/2)*EC30+(1-EXP(-LN(2)/2))/(LN(2)/2)*DW31*DZ31*VLOOKUP('Données projet'!$B$14,Paramètres!$A$1:$I$89,3,0)*0.475*44/12</f>
        <v>0.95048070796603057</v>
      </c>
      <c r="ED31" s="22">
        <f t="shared" si="18"/>
        <v>8.51699612876312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13.9</v>
      </c>
      <c r="EJ31" s="12">
        <f>IF('Données projet'!$A$192&gt;35,EJ30+EI31-ER30,IF(A31&lt;'Données projet'!$A$192,$EG$205^A31,IF(A31='Données projet'!$A$192,'Données projet'!$B$192,EJ30+EI31-ER30)))</f>
        <v>192.20000000000005</v>
      </c>
      <c r="EK31" s="17">
        <f>EJ31*VLOOKUP('Données projet'!$B$15,Paramètres!$A$1:$I$89,3,0)*VLOOKUP('Données projet'!$B$15,Paramètres!$A$1:$I$89,5,0)</f>
        <v>119.93280000000003</v>
      </c>
      <c r="EL31" s="13">
        <f t="shared" si="45"/>
        <v>31.659325486741768</v>
      </c>
      <c r="EM31" s="20">
        <f t="shared" si="19"/>
        <v>264.0229518894086</v>
      </c>
      <c r="EN31" s="59">
        <f t="shared" si="20"/>
        <v>557.35628522274192</v>
      </c>
      <c r="EO31" s="59">
        <f ca="1">AVERAGE(OFFSET($EN$3,0,0,'Données projet'!$E$15+1,1))-AVERAGE(OFFSET($H$3,0,0,'Données projet'!$E$15+1,1))</f>
        <v>209.93608079129638</v>
      </c>
      <c r="EP31" s="59">
        <f t="shared" si="46"/>
        <v>240.15652428700969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7.3315021817903396</v>
      </c>
      <c r="EX31" s="21">
        <f>EXP(-LN(2)/2)*EX30+(1-EXP(-LN(2)/2))/(LN(2)/2)*ER31*EU31*VLOOKUP('Données projet'!$B$15,Paramètres!$A$1:$I$89,3,0)*0.475*44/12</f>
        <v>0.81690560266534551</v>
      </c>
      <c r="EY31" s="22">
        <f t="shared" si="21"/>
        <v>8.148407784455685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12.2</v>
      </c>
      <c r="N32" s="13">
        <f>IF('Données projet'!$A$36&gt;35,N31+M32-V31,IF(A32&lt;'Données projet'!$A$36,$K$205^A32,IF(A32='Données projet'!$A$36,'Données projet'!$B$36,N31+M32-V31)))</f>
        <v>161.79999999999998</v>
      </c>
      <c r="O32" s="13">
        <f>N32*VLOOKUP('Données projet'!$B$9,Paramètres!$A$1:$I$89,3,0)*VLOOKUP('Données projet'!$B$9,Paramètres!$A$1:$I$89,5,0)</f>
        <v>128.72807999999998</v>
      </c>
      <c r="P32" s="13">
        <f t="shared" si="33"/>
        <v>33.702287995285367</v>
      </c>
      <c r="Q32" s="20">
        <f t="shared" si="2"/>
        <v>282.89955759178861</v>
      </c>
      <c r="R32" s="59">
        <f t="shared" si="0"/>
        <v>576.23289092512186</v>
      </c>
      <c r="S32" s="59">
        <f ca="1">AVERAGE(OFFSET($R$3,0,0,'Données projet'!$E$9+1,1))-AVERAGE(OFFSET($H$3,0,0,'Données projet'!$E$9+1,1))</f>
        <v>199.58763537752952</v>
      </c>
      <c r="T32" s="59">
        <f t="shared" si="34"/>
        <v>242.62852778451929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3.8890368844856007</v>
      </c>
      <c r="AB32" s="21">
        <f>EXP(-LN(2)/2)*AB31+(1-EXP(-LN(2)/2))/(LN(2)/2)*V32*Y32*VLOOKUP('Données projet'!$B$9,Paramètres!$A$1:$I$89,3,0)*0.475*44/12</f>
        <v>0.35663384129393311</v>
      </c>
      <c r="AC32" s="22">
        <f t="shared" si="3"/>
        <v>4.2456707257795339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10.1</v>
      </c>
      <c r="AI32" s="13">
        <f>IF('Données projet'!$A$62&gt;35,AI31+AH32-AQ31,IF(A32&lt;'Données projet'!$A$62,$AF$205^A32,IF(A32='Données projet'!$A$62,'Données projet'!$B$62,AI31+AH32-AQ31)))</f>
        <v>151.89999999999995</v>
      </c>
      <c r="AJ32" s="13">
        <f>AI32*VLOOKUP('Données projet'!$B$10,Paramètres!$A$1:$I$89,3,0)*VLOOKUP('Données projet'!$B$10,Paramètres!$A$1:$I$89,5,0)</f>
        <v>90.836199999999977</v>
      </c>
      <c r="AK32" s="13">
        <f t="shared" si="35"/>
        <v>24.76678762118631</v>
      </c>
      <c r="AL32" s="20">
        <f t="shared" si="4"/>
        <v>201.34187010689945</v>
      </c>
      <c r="AM32" s="59">
        <f t="shared" si="5"/>
        <v>494.67520344023274</v>
      </c>
      <c r="AN32" s="59">
        <f ca="1">AVERAGE(OFFSET($AM$3,0,0,'Données projet'!$E$10+1,1))-AVERAGE(OFFSET($H$3,0,0,'Données projet'!$E$10+1,1))</f>
        <v>287.78657453117694</v>
      </c>
      <c r="AO32" s="59">
        <f t="shared" si="36"/>
        <v>153.31562485362252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16.020512820512824</v>
      </c>
      <c r="BD32" s="12">
        <f>IF('Données projet'!$A$88&gt;35,BD31+BC32-BL31,IF(A32&lt;'Données projet'!$A$88,$BA$205^A32,IF(A32='Données projet'!$A$88,'Données projet'!$B$88,BD31+BC32-BL31)))</f>
        <v>199.63333333333338</v>
      </c>
      <c r="BE32" s="13">
        <f>BD32*VLOOKUP('Données projet'!$B$11,Paramètres!$A$1:$I$89,3,0)*VLOOKUP('Données projet'!$B$11,Paramètres!$A$1:$I$89,5,0)</f>
        <v>119.38073333333337</v>
      </c>
      <c r="BF32" s="13">
        <f t="shared" si="37"/>
        <v>31.530522050233152</v>
      </c>
      <c r="BG32" s="20">
        <f t="shared" si="7"/>
        <v>262.83710312637839</v>
      </c>
      <c r="BH32" s="59">
        <f t="shared" si="8"/>
        <v>556.17043645971171</v>
      </c>
      <c r="BI32" s="59">
        <f ca="1">AVERAGE(OFFSET($BH$3,0,0,'Données projet'!$E$11+1,1))-AVERAGE(OFFSET($H$3,0,0,'Données projet'!$E$11+1,1))</f>
        <v>250.93905519128998</v>
      </c>
      <c r="BJ32" s="59">
        <f t="shared" si="38"/>
        <v>222.32879462265032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1.3067258582298809</v>
      </c>
      <c r="BQ32" s="21">
        <f>EXP(-LN(2)/25)*BQ31+(1-EXP(-LN(2)/25))/(LN(2)/25)*Calculateur!BL32*Calculateur!BN32*VLOOKUP('Données projet'!$B$11,Paramètres!$A$1:$I$89,3,0)*0.475*44/12</f>
        <v>11.900107111918683</v>
      </c>
      <c r="BR32" s="21">
        <f>EXP(-LN(2)/2)*BR31+(1-EXP(-LN(2)/2))/(LN(2)/2)*BL32*BO32*VLOOKUP('Données projet'!$B$11,Paramètres!$A$1:$I$89,3,0)*0.475*44/12</f>
        <v>2.6691563439391532</v>
      </c>
      <c r="BS32" s="22">
        <f t="shared" si="9"/>
        <v>15.875989314087716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12.97179487179487</v>
      </c>
      <c r="BY32" s="12">
        <f>IF('Données projet'!$A$114&gt;35,BY31+BX32-CG31,IF(A32&lt;'Données projet'!$A$114,$BV$205^A32,IF(A32='Données projet'!$A$114,'Données projet'!$B$114,BY31+BX32-CG31)))</f>
        <v>132.0128205128205</v>
      </c>
      <c r="BZ32" s="13">
        <f>BY32*VLOOKUP('Données projet'!$B$12,Paramètres!$A$1:$I$89,3,0)*VLOOKUP('Données projet'!$B$12,Paramètres!$A$1:$I$89,5,0)</f>
        <v>78.943666666666658</v>
      </c>
      <c r="CA32" s="13">
        <f t="shared" si="39"/>
        <v>21.878705672057272</v>
      </c>
      <c r="CB32" s="20">
        <f t="shared" si="10"/>
        <v>175.59896515661083</v>
      </c>
      <c r="CC32" s="59">
        <f t="shared" si="11"/>
        <v>468.93229848994417</v>
      </c>
      <c r="CD32" s="59">
        <f ca="1">AVERAGE(OFFSET($CC$3,0,0,'Données projet'!$E$12+1,1))-AVERAGE(OFFSET($H$3,0,0,'Données projet'!$E$12+1,1))</f>
        <v>179.32848817523677</v>
      </c>
      <c r="CE32" s="59">
        <f t="shared" si="40"/>
        <v>131.3292389103035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13.55062093003553</v>
      </c>
      <c r="CM32" s="21">
        <f>EXP(-LN(2)/2)*CM31+(1-EXP(-LN(2)/2))/(LN(2)/2)*CG32*CJ32*VLOOKUP('Données projet'!$B$12,Paramètres!$A$1:$I$89,3,0)*0.475*44/12</f>
        <v>7.4428212502985298</v>
      </c>
      <c r="CN32" s="22">
        <f t="shared" si="12"/>
        <v>20.993442180334061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3.6141025641025637</v>
      </c>
      <c r="CT32" s="12">
        <f>IF('Données projet'!$A$140&gt;35,CT31+CS32-DB31,IF(A32&lt;'Données projet'!$A$140,$CQ$205^A32,IF(A32='Données projet'!$A$140,'Données projet'!$B$140,CT31+CS32-DB31)))</f>
        <v>92.74368268820956</v>
      </c>
      <c r="CU32" s="17">
        <f>CT32*VLOOKUP('Données projet'!$B$13,Paramètres!$A$1:$I$89,3,0)*VLOOKUP('Données projet'!$B$13,Paramètres!$A$1:$I$89,5,0)</f>
        <v>83.914484096292014</v>
      </c>
      <c r="CV32" s="13">
        <f t="shared" si="41"/>
        <v>23.091618574002229</v>
      </c>
      <c r="CW32" s="20">
        <f t="shared" si="13"/>
        <v>186.36896215076243</v>
      </c>
      <c r="CX32" s="59">
        <f t="shared" si="14"/>
        <v>479.70229548409577</v>
      </c>
      <c r="CY32" s="59">
        <f ca="1">AVERAGE(OFFSET($CX$3,0,0,'Données projet'!$E$13+1,1))-AVERAGE(OFFSET($H$3,0,0,'Données projet'!$E$13+1,1))</f>
        <v>309.07357540707869</v>
      </c>
      <c r="CZ32" s="59">
        <f t="shared" si="42"/>
        <v>155.9593924683299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9.1</v>
      </c>
      <c r="DO32" s="12">
        <f>IF('Données projet'!$A$166&gt;35,DO31+DN32-DW31,IF(A32&lt;'Données projet'!$A$166,$DL$205^A32,IF(A32='Données projet'!$A$166,'Données projet'!$B$166,DO31+DN32-DW31)))</f>
        <v>148.89999999999992</v>
      </c>
      <c r="DP32" s="17">
        <f>DO32*VLOOKUP('Données projet'!$B$14,Paramètres!$A$1:$I$89,3,0)*VLOOKUP('Données projet'!$B$14,Paramètres!$A$1:$I$89,5,0)</f>
        <v>130.07903999999994</v>
      </c>
      <c r="DQ32" s="13">
        <f t="shared" si="43"/>
        <v>34.014622509548083</v>
      </c>
      <c r="DR32" s="20">
        <f t="shared" si="16"/>
        <v>285.79646220412945</v>
      </c>
      <c r="DS32" s="59">
        <f t="shared" si="17"/>
        <v>579.12979553746277</v>
      </c>
      <c r="DT32" s="59">
        <f ca="1">AVERAGE(OFFSET($DS$3,0,0,'Données projet'!$E$14+1,1))-AVERAGE(OFFSET($H$3,0,0,'Données projet'!$E$14+1,1))</f>
        <v>210.07838338464626</v>
      </c>
      <c r="DU32" s="59">
        <f t="shared" si="44"/>
        <v>241.76003724236273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1.4246373786610134</v>
      </c>
      <c r="EB32" s="21">
        <f>EXP(-LN(2)/25)*EB31+(1-EXP(-LN(2)/25))/(LN(2)/25)*Calculateur!DW32*Calculateur!DY32*VLOOKUP('Données projet'!$B$14,Paramètres!$A$1:$I$89,3,0)*0.475*44/12</f>
        <v>5.9462122220503488</v>
      </c>
      <c r="EC32" s="21">
        <f>EXP(-LN(2)/2)*EC31+(1-EXP(-LN(2)/2))/(LN(2)/2)*DW32*DZ32*VLOOKUP('Données projet'!$B$14,Paramètres!$A$1:$I$89,3,0)*0.475*44/12</f>
        <v>0.67209135398977082</v>
      </c>
      <c r="ED32" s="22">
        <f t="shared" si="18"/>
        <v>8.0429409547011339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13.9</v>
      </c>
      <c r="EJ32" s="12">
        <f>IF('Données projet'!$A$192&gt;35,EJ31+EI32-ER31,IF(A32&lt;'Données projet'!$A$192,$EG$205^A32,IF(A32='Données projet'!$A$192,'Données projet'!$B$192,EJ31+EI32-ER31)))</f>
        <v>206.10000000000005</v>
      </c>
      <c r="EK32" s="17">
        <f>EJ32*VLOOKUP('Données projet'!$B$15,Paramètres!$A$1:$I$89,3,0)*VLOOKUP('Données projet'!$B$15,Paramètres!$A$1:$I$89,5,0)</f>
        <v>128.60640000000004</v>
      </c>
      <c r="EL32" s="13">
        <f t="shared" si="45"/>
        <v>33.67413757380087</v>
      </c>
      <c r="EM32" s="20">
        <f t="shared" si="19"/>
        <v>282.63860294103654</v>
      </c>
      <c r="EN32" s="59">
        <f t="shared" si="20"/>
        <v>575.97193627436991</v>
      </c>
      <c r="EO32" s="59">
        <f ca="1">AVERAGE(OFFSET($EN$3,0,0,'Données projet'!$E$15+1,1))-AVERAGE(OFFSET($H$3,0,0,'Données projet'!$E$15+1,1))</f>
        <v>209.93608079129638</v>
      </c>
      <c r="EP32" s="59">
        <f t="shared" si="46"/>
        <v>240.15652428700969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7.131021869082339</v>
      </c>
      <c r="EX32" s="21">
        <f>EXP(-LN(2)/2)*EX31+(1-EXP(-LN(2)/2))/(LN(2)/2)*ER32*EU32*VLOOKUP('Données projet'!$B$15,Paramètres!$A$1:$I$89,3,0)*0.475*44/12</f>
        <v>0.5776394912339492</v>
      </c>
      <c r="EY32" s="22">
        <f t="shared" si="21"/>
        <v>7.7086613603162881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174</v>
      </c>
      <c r="L33" s="12">
        <f>VLOOKUP(A33,'Données projet'!$A$35:$I$55,9,0)</f>
        <v>12.2</v>
      </c>
      <c r="M33" s="12">
        <f t="array" ref="M33">INDEX(L:L,MIN(IF(ISNUMBER(L33:L229),ROW(L33:L229),"")))</f>
        <v>12.2</v>
      </c>
      <c r="N33" s="13">
        <f>IF('Données projet'!$A$36&gt;35,N32+M33-V32,IF(A33&lt;'Données projet'!$A$36,$K$205^A33,IF(A33='Données projet'!$A$36,'Données projet'!$B$36,N32+M33-V32)))</f>
        <v>173.99999999999997</v>
      </c>
      <c r="O33" s="13">
        <f>N33*VLOOKUP('Données projet'!$B$9,Paramètres!$A$1:$I$89,3,0)*VLOOKUP('Données projet'!$B$9,Paramètres!$A$1:$I$89,5,0)</f>
        <v>138.43439999999998</v>
      </c>
      <c r="P33" s="13">
        <f t="shared" si="33"/>
        <v>35.938114113553581</v>
      </c>
      <c r="Q33" s="20">
        <f t="shared" si="2"/>
        <v>303.69879541443913</v>
      </c>
      <c r="R33" s="59">
        <f t="shared" si="0"/>
        <v>597.0321287477725</v>
      </c>
      <c r="S33" s="59">
        <f ca="1">AVERAGE(OFFSET($R$3,0,0,'Données projet'!$E$9+1,1))-AVERAGE(OFFSET($H$3,0,0,'Données projet'!$E$9+1,1))</f>
        <v>199.58763537752952</v>
      </c>
      <c r="T33" s="59">
        <f t="shared" si="34"/>
        <v>242.62852778451929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56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0.13250000000000001</v>
      </c>
      <c r="Y33" s="16">
        <f>IF(ISNA(VLOOKUP(A33,'Données projet'!$A$35:$I$55,7,0)),0%,VLOOKUP(A33,'Données projet'!$A$35:$I$55,7,0))</f>
        <v>0.25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10.282976469411818</v>
      </c>
      <c r="AB33" s="21">
        <f>EXP(-LN(2)/2)*AB32+(1-EXP(-LN(2)/2))/(LN(2)/2)*V33*Y33*VLOOKUP('Données projet'!$B$9,Paramètres!$A$1:$I$89,3,0)*0.475*44/12</f>
        <v>10.761558393220204</v>
      </c>
      <c r="AC33" s="22">
        <f t="shared" si="3"/>
        <v>21.04453486263202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162</v>
      </c>
      <c r="AG33" s="12">
        <f>VLOOKUP(A33,'Données projet'!$A$61:$I$81,9,0)</f>
        <v>10.1</v>
      </c>
      <c r="AH33" s="12">
        <f t="array" ref="AH33">INDEX(AG:AG,MIN(IF(ISNUMBER(AG33:AG229),ROW(AG33:AG229),"")))</f>
        <v>10.1</v>
      </c>
      <c r="AI33" s="13">
        <f>IF('Données projet'!$A$62&gt;35,AI32+AH33-AQ32,IF(A33&lt;'Données projet'!$A$62,$AF$205^A33,IF(A33='Données projet'!$A$62,'Données projet'!$B$62,AI32+AH33-AQ32)))</f>
        <v>161.99999999999994</v>
      </c>
      <c r="AJ33" s="13">
        <f>AI33*VLOOKUP('Données projet'!$B$10,Paramètres!$A$1:$I$89,3,0)*VLOOKUP('Données projet'!$B$10,Paramètres!$A$1:$I$89,5,0)</f>
        <v>96.875999999999976</v>
      </c>
      <c r="AK33" s="13">
        <f t="shared" si="35"/>
        <v>26.216378459450219</v>
      </c>
      <c r="AL33" s="20">
        <f t="shared" si="4"/>
        <v>214.38589248354242</v>
      </c>
      <c r="AM33" s="59">
        <f t="shared" si="5"/>
        <v>507.71922581687573</v>
      </c>
      <c r="AN33" s="59">
        <f ca="1">AVERAGE(OFFSET($AM$3,0,0,'Données projet'!$E$10+1,1))-AVERAGE(OFFSET($H$3,0,0,'Données projet'!$E$10+1,1))</f>
        <v>287.78657453117694</v>
      </c>
      <c r="AO33" s="59">
        <f t="shared" si="36"/>
        <v>153.31562485362252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41</v>
      </c>
      <c r="AR33" s="16">
        <f>IF(ISNA(VLOOKUP(A33,'Données projet'!$A$61:$I$81,5,0)),0%,VLOOKUP(A33,'Données projet'!$A$61:$I$81,5,0)*VLOOKUP('Données projet'!$B$10,Paramètres!$A$1:$I$89,7,0))</f>
        <v>9.0000000000000011E-2</v>
      </c>
      <c r="AS33" s="16">
        <f>IF(ISNA(VLOOKUP(A33,'Données projet'!$A$61:$I$81,6,0)),0%,VLOOKUP(A33,'Données projet'!$A$61:$I$81,6,0)*VLOOKUP('Données projet'!$B$10,Paramètres!$A$1:$I$89,7,0))</f>
        <v>0.18000000000000002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2.9272236586619989</v>
      </c>
      <c r="AV33" s="21">
        <f>EXP(-LN(2)/25)*AV32+(1-EXP(-LN(2)/25))/(LN(2)/25)*Calculateur!AQ33*Calculateur!AS33*VLOOKUP('Données projet'!$B$10,Paramètres!$A$1:$I$89,3,0)*0.475*44/12</f>
        <v>5.8313961275163786</v>
      </c>
      <c r="AW33" s="21">
        <f>EXP(-LN(2)/2)*AW32+(1-EXP(-LN(2)/2))/(LN(2)/2)*AQ33*AT33*VLOOKUP('Données projet'!$B$10,Paramètres!$A$1:$I$89,3,0)*0.475*44/12</f>
        <v>11.104028588301558</v>
      </c>
      <c r="AX33" s="21">
        <f t="shared" si="6"/>
        <v>19.862648374479935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215.65384615384616</v>
      </c>
      <c r="BB33" s="12">
        <f>VLOOKUP(A33,'Données projet'!$A$87:$I$107,9,0)</f>
        <v>16.020512820512824</v>
      </c>
      <c r="BC33" s="12">
        <f t="array" ref="BC33">INDEX(BB:BB,MIN(IF(ISNUMBER(BB33:BB229),ROW(BB33:BB229),"")))</f>
        <v>16.020512820512824</v>
      </c>
      <c r="BD33" s="12">
        <f>IF('Données projet'!$A$88&gt;35,BD32+BC33-BL32,IF(A33&lt;'Données projet'!$A$88,$BA$205^A33,IF(A33='Données projet'!$A$88,'Données projet'!$B$88,BD32+BC33-BL32)))</f>
        <v>215.65384615384622</v>
      </c>
      <c r="BE33" s="13">
        <f>BD33*VLOOKUP('Données projet'!$B$11,Paramètres!$A$1:$I$89,3,0)*VLOOKUP('Données projet'!$B$11,Paramètres!$A$1:$I$89,5,0)</f>
        <v>128.96100000000004</v>
      </c>
      <c r="BF33" s="13">
        <f t="shared" si="37"/>
        <v>33.756164929705356</v>
      </c>
      <c r="BG33" s="20">
        <f t="shared" si="7"/>
        <v>283.39906225257022</v>
      </c>
      <c r="BH33" s="59">
        <f t="shared" si="8"/>
        <v>576.73239558590353</v>
      </c>
      <c r="BI33" s="59">
        <f ca="1">AVERAGE(OFFSET($BH$3,0,0,'Données projet'!$E$11+1,1))-AVERAGE(OFFSET($H$3,0,0,'Données projet'!$E$11+1,1))</f>
        <v>250.93905519128998</v>
      </c>
      <c r="BJ33" s="59">
        <f t="shared" si="38"/>
        <v>222.32879462265032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55.869230769230761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1.2811017611740667</v>
      </c>
      <c r="BQ33" s="21">
        <f>EXP(-LN(2)/25)*BQ32+(1-EXP(-LN(2)/25))/(LN(2)/25)*Calculateur!BL33*Calculateur!BN33*VLOOKUP('Données projet'!$B$11,Paramètres!$A$1:$I$89,3,0)*0.475*44/12</f>
        <v>11.574698057143831</v>
      </c>
      <c r="BR33" s="21">
        <f>EXP(-LN(2)/2)*BR32+(1-EXP(-LN(2)/2))/(LN(2)/2)*BL33*BO33*VLOOKUP('Données projet'!$B$11,Paramètres!$A$1:$I$89,3,0)*0.475*44/12</f>
        <v>1.8873785508464682</v>
      </c>
      <c r="BS33" s="22">
        <f t="shared" si="9"/>
        <v>14.743178369164367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12.97179487179487</v>
      </c>
      <c r="BY33" s="12">
        <f>IF('Données projet'!$A$114&gt;35,BY32+BX33-CG32,IF(A33&lt;'Données projet'!$A$114,$BV$205^A33,IF(A33='Données projet'!$A$114,'Données projet'!$B$114,BY32+BX33-CG32)))</f>
        <v>144.98461538461538</v>
      </c>
      <c r="BZ33" s="13">
        <f>BY33*VLOOKUP('Données projet'!$B$12,Paramètres!$A$1:$I$89,3,0)*VLOOKUP('Données projet'!$B$12,Paramètres!$A$1:$I$89,5,0)</f>
        <v>86.700800000000001</v>
      </c>
      <c r="CA33" s="13">
        <f t="shared" si="39"/>
        <v>23.767816195343574</v>
      </c>
      <c r="CB33" s="20">
        <f t="shared" si="10"/>
        <v>192.39950654022337</v>
      </c>
      <c r="CC33" s="59">
        <f t="shared" si="11"/>
        <v>485.73283987355671</v>
      </c>
      <c r="CD33" s="59">
        <f ca="1">AVERAGE(OFFSET($CC$3,0,0,'Données projet'!$E$12+1,1))-AVERAGE(OFFSET($H$3,0,0,'Données projet'!$E$12+1,1))</f>
        <v>179.32848817523677</v>
      </c>
      <c r="CE33" s="59">
        <f t="shared" si="40"/>
        <v>131.3292389103035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13.180078488107524</v>
      </c>
      <c r="CM33" s="21">
        <f>EXP(-LN(2)/2)*CM32+(1-EXP(-LN(2)/2))/(LN(2)/2)*CG33*CJ33*VLOOKUP('Données projet'!$B$12,Paramètres!$A$1:$I$89,3,0)*0.475*44/12</f>
        <v>5.2628693772454289</v>
      </c>
      <c r="CN33" s="22">
        <f t="shared" si="12"/>
        <v>18.442947865352952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108.42307692307691</v>
      </c>
      <c r="CR33" s="12">
        <f>VLOOKUP(A33,'Données projet'!$A$139:$I$159,9,0)</f>
        <v>3.6141025641025637</v>
      </c>
      <c r="CS33" s="12">
        <f t="array" ref="CS33">INDEX(CR:CR,MIN(IF(ISNUMBER(CR33:CR229),ROW(CR33:CR229),"")))</f>
        <v>3.6141025641025637</v>
      </c>
      <c r="CT33" s="12">
        <f>IF('Données projet'!$A$140&gt;35,CT32+CS33-DB32,IF(A33&lt;'Données projet'!$A$140,$CQ$205^A33,IF(A33='Données projet'!$A$140,'Données projet'!$B$140,CT32+CS33-DB32)))</f>
        <v>108.42307692307691</v>
      </c>
      <c r="CU33" s="17">
        <f>CT33*VLOOKUP('Données projet'!$B$13,Paramètres!$A$1:$I$89,3,0)*VLOOKUP('Données projet'!$B$13,Paramètres!$A$1:$I$89,5,0)</f>
        <v>98.101199999999977</v>
      </c>
      <c r="CV33" s="13">
        <f t="shared" si="41"/>
        <v>26.509131156889861</v>
      </c>
      <c r="CW33" s="20">
        <f t="shared" si="13"/>
        <v>217.02966009824979</v>
      </c>
      <c r="CX33" s="59">
        <f t="shared" si="14"/>
        <v>510.36299343158311</v>
      </c>
      <c r="CY33" s="59">
        <f ca="1">AVERAGE(OFFSET($CX$3,0,0,'Données projet'!$E$13+1,1))-AVERAGE(OFFSET($H$3,0,0,'Données projet'!$E$13+1,1))</f>
        <v>309.07357540707869</v>
      </c>
      <c r="CZ33" s="59">
        <f t="shared" si="42"/>
        <v>155.9593924683299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158</v>
      </c>
      <c r="DM33" s="12">
        <f>VLOOKUP(A33,'Données projet'!$A$165:$I$185,9,0)</f>
        <v>9.1</v>
      </c>
      <c r="DN33" s="12">
        <f t="array" ref="DN33">INDEX(DM:DM,MIN(IF(ISNUMBER(DM33:DM229),ROW(DM33:DM229),"")))</f>
        <v>9.1</v>
      </c>
      <c r="DO33" s="12">
        <f>IF('Données projet'!$A$166&gt;35,DO32+DN33-DW32,IF(A33&lt;'Données projet'!$A$166,$DL$205^A33,IF(A33='Données projet'!$A$166,'Données projet'!$B$166,DO32+DN33-DW32)))</f>
        <v>157.99999999999991</v>
      </c>
      <c r="DP33" s="17">
        <f>DO33*VLOOKUP('Données projet'!$B$14,Paramètres!$A$1:$I$89,3,0)*VLOOKUP('Données projet'!$B$14,Paramètres!$A$1:$I$89,5,0)</f>
        <v>138.02879999999993</v>
      </c>
      <c r="DQ33" s="13">
        <f t="shared" si="43"/>
        <v>35.845059256813073</v>
      </c>
      <c r="DR33" s="20">
        <f t="shared" si="16"/>
        <v>302.83030487228262</v>
      </c>
      <c r="DS33" s="59">
        <f t="shared" si="17"/>
        <v>596.16363820561594</v>
      </c>
      <c r="DT33" s="59">
        <f ca="1">AVERAGE(OFFSET($DS$3,0,0,'Données projet'!$E$14+1,1))-AVERAGE(OFFSET($H$3,0,0,'Données projet'!$E$14+1,1))</f>
        <v>210.07838338464626</v>
      </c>
      <c r="DU33" s="59">
        <f t="shared" si="44"/>
        <v>241.76003724236273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47</v>
      </c>
      <c r="DX33" s="16">
        <f>IF(ISNA(VLOOKUP(A33,'Données projet'!$A$165:$I$185,5,0)),0%,VLOOKUP(A33,'Données projet'!$A$165:$I$185,5,0)*VLOOKUP('Données projet'!$B$14,Paramètres!$A$1:$I$89,7,0))</f>
        <v>8.6000000000000007E-2</v>
      </c>
      <c r="DY33" s="16">
        <f>IF(ISNA(VLOOKUP(A33,'Données projet'!$A$165:$I$185,6,0)),0%,VLOOKUP(A33,'Données projet'!$A$165:$I$185,6,0)*VLOOKUP('Données projet'!$B$14,Paramètres!$A$1:$I$89,7,0))</f>
        <v>0.17200000000000001</v>
      </c>
      <c r="DZ33" s="16">
        <f>IF(ISNA(VLOOKUP(A33,'Données projet'!$A$165:$I$185,7,0)),0%,VLOOKUP(A33,'Données projet'!$A$165:$I$185,7,0))</f>
        <v>0.4</v>
      </c>
      <c r="EA33" s="21">
        <f>EXP(-LN(2)/35)*EA32+(1-EXP(-LN(2)/35))/(LN(2)/35)*DW33*DX33*VLOOKUP('Données projet'!$B$14,Paramètres!$A$1:$I$89,3,0)*0.475*44/12</f>
        <v>5.3002178376379323</v>
      </c>
      <c r="EB33" s="21">
        <f>EXP(-LN(2)/25)*EB32+(1-EXP(-LN(2)/25))/(LN(2)/25)*Calculateur!DW33*Calculateur!DY33*VLOOKUP('Données projet'!$B$14,Paramètres!$A$1:$I$89,3,0)*0.475*44/12</f>
        <v>13.559906928762253</v>
      </c>
      <c r="EC33" s="21">
        <f>EXP(-LN(2)/2)*EC32+(1-EXP(-LN(2)/2))/(LN(2)/2)*DW33*DZ33*VLOOKUP('Données projet'!$B$14,Paramètres!$A$1:$I$89,3,0)*0.475*44/12</f>
        <v>15.971424470849238</v>
      </c>
      <c r="ED33" s="22">
        <f t="shared" si="18"/>
        <v>34.831549237249419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220</v>
      </c>
      <c r="EH33" s="12">
        <f>VLOOKUP(A33,'Données projet'!$A$191:$I$211,9,0)</f>
        <v>13.9</v>
      </c>
      <c r="EI33" s="12">
        <f t="array" ref="EI33">INDEX(EH:EH,MIN(IF(ISNUMBER(EH33:EH229),ROW(EH33:EH229),"")))</f>
        <v>13.9</v>
      </c>
      <c r="EJ33" s="12">
        <f>IF('Données projet'!$A$192&gt;35,EJ32+EI33-ER32,IF(A33&lt;'Données projet'!$A$192,$EG$205^A33,IF(A33='Données projet'!$A$192,'Données projet'!$B$192,EJ32+EI33-ER32)))</f>
        <v>220.00000000000006</v>
      </c>
      <c r="EK33" s="17">
        <f>EJ33*VLOOKUP('Données projet'!$B$15,Paramètres!$A$1:$I$89,3,0)*VLOOKUP('Données projet'!$B$15,Paramètres!$A$1:$I$89,5,0)</f>
        <v>137.28000000000003</v>
      </c>
      <c r="EL33" s="13">
        <f t="shared" si="45"/>
        <v>35.673181961873446</v>
      </c>
      <c r="EM33" s="20">
        <f t="shared" si="19"/>
        <v>301.22679191692964</v>
      </c>
      <c r="EN33" s="59">
        <f t="shared" si="20"/>
        <v>594.5601252502629</v>
      </c>
      <c r="EO33" s="59">
        <f ca="1">AVERAGE(OFFSET($EN$3,0,0,'Données projet'!$E$15+1,1))-AVERAGE(OFFSET($H$3,0,0,'Données projet'!$E$15+1,1))</f>
        <v>209.93608079129638</v>
      </c>
      <c r="EP33" s="59">
        <f t="shared" si="46"/>
        <v>240.15652428700969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70</v>
      </c>
      <c r="ES33" s="16">
        <f>IF(ISNA(VLOOKUP(A33,'Données projet'!$A$191:$I$211,5,0)),0%,VLOOKUP(A33,'Données projet'!$A$191:$I$211,5,0)*VLOOKUP('Données projet'!$B$15,Paramètres!$A$1:$I$89,7,0))</f>
        <v>0.12</v>
      </c>
      <c r="ET33" s="16">
        <f>IF(ISNA(VLOOKUP(A33,'Données projet'!$A$191:$I$211,6,0)),0%,VLOOKUP(A33,'Données projet'!$A$191:$I$211,6,0)*VLOOKUP('Données projet'!$B$15,Paramètres!$A$1:$I$89,7,0))</f>
        <v>0.24</v>
      </c>
      <c r="EU33" s="16">
        <f>IF(ISNA(VLOOKUP(A33,'Données projet'!$A$191:$I$211,7,0)),0%,VLOOKUP(A33,'Données projet'!$A$191:$I$211,7,0))</f>
        <v>0.4</v>
      </c>
      <c r="EV33" s="21">
        <f>EXP(-LN(2)/35)*EV32+(1-EXP(-LN(2)/35))/(LN(2)/35)*ER33*ES33*VLOOKUP('Données projet'!$B$15,Paramètres!$A$1:$I$89,3,0)*0.475*44/12</f>
        <v>6.9533202496318935</v>
      </c>
      <c r="EW33" s="21">
        <f>EXP(-LN(2)/25)*EW32+(1-EXP(-LN(2)/25))/(LN(2)/25)*Calculateur!ER33*Calculateur!ET33*VLOOKUP('Données projet'!$B$15,Paramètres!$A$1:$I$89,3,0)*0.475*44/12</f>
        <v>20.787908457840874</v>
      </c>
      <c r="EX33" s="21">
        <f>EXP(-LN(2)/2)*EX32+(1-EXP(-LN(2)/2))/(LN(2)/2)*ER33*EU33*VLOOKUP('Données projet'!$B$15,Paramètres!$A$1:$I$89,3,0)*0.475*44/12</f>
        <v>20.190815503715083</v>
      </c>
      <c r="EY33" s="22">
        <f t="shared" si="21"/>
        <v>47.932044211187851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10.199999999999999</v>
      </c>
      <c r="N34" s="13">
        <f>IF('Données projet'!$A$36&gt;35,N33+M34-V33,IF(A34&lt;'Données projet'!$A$36,$K$205^A34,IF(A34='Données projet'!$A$36,'Données projet'!$B$36,N33+M34-V33)))</f>
        <v>128.19999999999996</v>
      </c>
      <c r="O34" s="13">
        <f>N34*VLOOKUP('Données projet'!$B$9,Paramètres!$A$1:$I$89,3,0)*VLOOKUP('Données projet'!$B$9,Paramètres!$A$1:$I$89,5,0)</f>
        <v>101.99591999999997</v>
      </c>
      <c r="P34" s="13">
        <f t="shared" si="33"/>
        <v>27.436949671708501</v>
      </c>
      <c r="Q34" s="20">
        <f t="shared" si="2"/>
        <v>225.42891467822554</v>
      </c>
      <c r="R34" s="59">
        <f t="shared" si="0"/>
        <v>518.76224801155888</v>
      </c>
      <c r="S34" s="59">
        <f ca="1">AVERAGE(OFFSET($R$3,0,0,'Données projet'!$E$9+1,1))-AVERAGE(OFFSET($H$3,0,0,'Données projet'!$E$9+1,1))</f>
        <v>199.58763537752952</v>
      </c>
      <c r="T34" s="59">
        <f t="shared" si="34"/>
        <v>242.62852778451929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10.001787937097522</v>
      </c>
      <c r="AB34" s="21">
        <f>EXP(-LN(2)/2)*AB33+(1-EXP(-LN(2)/2))/(LN(2)/2)*V34*Y34*VLOOKUP('Données projet'!$B$9,Paramètres!$A$1:$I$89,3,0)*0.475*44/12</f>
        <v>7.6095709159810134</v>
      </c>
      <c r="AC34" s="22">
        <f t="shared" si="3"/>
        <v>17.611358853078535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12.9</v>
      </c>
      <c r="AI34" s="13">
        <f>IF('Données projet'!$A$62&gt;35,AI33+AH34-AQ33,IF(A34&lt;'Données projet'!$A$62,$AF$205^A34,IF(A34='Données projet'!$A$62,'Données projet'!$B$62,AI33+AH34-AQ33)))</f>
        <v>133.89999999999995</v>
      </c>
      <c r="AJ34" s="13">
        <f>AI34*VLOOKUP('Données projet'!$B$10,Paramètres!$A$1:$I$89,3,0)*VLOOKUP('Données projet'!$B$10,Paramètres!$A$1:$I$89,5,0)</f>
        <v>80.072199999999981</v>
      </c>
      <c r="AK34" s="13">
        <f t="shared" si="35"/>
        <v>22.154836477071722</v>
      </c>
      <c r="AL34" s="20">
        <f t="shared" si="4"/>
        <v>178.04542186423319</v>
      </c>
      <c r="AM34" s="59">
        <f t="shared" si="5"/>
        <v>471.37875519756653</v>
      </c>
      <c r="AN34" s="59">
        <f ca="1">AVERAGE(OFFSET($AM$3,0,0,'Données projet'!$E$10+1,1))-AVERAGE(OFFSET($H$3,0,0,'Données projet'!$E$10+1,1))</f>
        <v>287.78657453117694</v>
      </c>
      <c r="AO34" s="59">
        <f t="shared" si="36"/>
        <v>153.31562485362252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2.8698225881457722</v>
      </c>
      <c r="AV34" s="21">
        <f>EXP(-LN(2)/25)*AV33+(1-EXP(-LN(2)/25))/(LN(2)/25)*Calculateur!AQ34*Calculateur!AS34*VLOOKUP('Données projet'!$B$10,Paramètres!$A$1:$I$89,3,0)*0.475*44/12</f>
        <v>5.6719362937496491</v>
      </c>
      <c r="AW34" s="21">
        <f>EXP(-LN(2)/2)*AW33+(1-EXP(-LN(2)/2))/(LN(2)/2)*AQ34*AT34*VLOOKUP('Données projet'!$B$10,Paramètres!$A$1:$I$89,3,0)*0.475*44/12</f>
        <v>7.851733913277319</v>
      </c>
      <c r="AX34" s="21">
        <f t="shared" si="6"/>
        <v>16.39349279517274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15.48351648351648</v>
      </c>
      <c r="BD34" s="12">
        <f>IF('Données projet'!$A$88&gt;35,BD33+BC34-BL33,IF(A34&lt;'Données projet'!$A$88,$BA$205^A34,IF(A34='Données projet'!$A$88,'Données projet'!$B$88,BD33+BC34-BL33)))</f>
        <v>175.26813186813192</v>
      </c>
      <c r="BE34" s="13">
        <f>BD34*VLOOKUP('Données projet'!$B$11,Paramètres!$A$1:$I$89,3,0)*VLOOKUP('Données projet'!$B$11,Paramètres!$A$1:$I$89,5,0)</f>
        <v>104.8103428571429</v>
      </c>
      <c r="BF34" s="13">
        <f t="shared" si="37"/>
        <v>28.104843056220705</v>
      </c>
      <c r="BG34" s="20">
        <f t="shared" si="7"/>
        <v>231.49394879910827</v>
      </c>
      <c r="BH34" s="59">
        <f t="shared" si="8"/>
        <v>524.82728213244161</v>
      </c>
      <c r="BI34" s="59">
        <f ca="1">AVERAGE(OFFSET($BH$3,0,0,'Données projet'!$E$11+1,1))-AVERAGE(OFFSET($H$3,0,0,'Données projet'!$E$11+1,1))</f>
        <v>250.93905519128998</v>
      </c>
      <c r="BJ34" s="59">
        <f t="shared" si="38"/>
        <v>222.32879462265032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1.2559801370323613</v>
      </c>
      <c r="BQ34" s="21">
        <f>EXP(-LN(2)/25)*BQ33+(1-EXP(-LN(2)/25))/(LN(2)/25)*Calculateur!BL34*Calculateur!BN34*VLOOKUP('Données projet'!$B$11,Paramètres!$A$1:$I$89,3,0)*0.475*44/12</f>
        <v>11.258187330084317</v>
      </c>
      <c r="BR34" s="21">
        <f>EXP(-LN(2)/2)*BR33+(1-EXP(-LN(2)/2))/(LN(2)/2)*BL34*BO34*VLOOKUP('Données projet'!$B$11,Paramètres!$A$1:$I$89,3,0)*0.475*44/12</f>
        <v>1.3345781719695768</v>
      </c>
      <c r="BS34" s="22">
        <f t="shared" si="9"/>
        <v>13.848745639086255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12.97179487179487</v>
      </c>
      <c r="BY34" s="12">
        <f>IF('Données projet'!$A$114&gt;35,BY33+BX34-CG33,IF(A34&lt;'Données projet'!$A$114,$BV$205^A34,IF(A34='Données projet'!$A$114,'Données projet'!$B$114,BY33+BX34-CG33)))</f>
        <v>157.95641025641027</v>
      </c>
      <c r="BZ34" s="13">
        <f>BY34*VLOOKUP('Données projet'!$B$12,Paramètres!$A$1:$I$89,3,0)*VLOOKUP('Données projet'!$B$12,Paramètres!$A$1:$I$89,5,0)</f>
        <v>94.457933333333344</v>
      </c>
      <c r="CA34" s="13">
        <f t="shared" si="39"/>
        <v>25.637327417415943</v>
      </c>
      <c r="CB34" s="20">
        <f t="shared" si="10"/>
        <v>209.16591247422164</v>
      </c>
      <c r="CC34" s="59">
        <f t="shared" si="11"/>
        <v>502.49924580755498</v>
      </c>
      <c r="CD34" s="59">
        <f ca="1">AVERAGE(OFFSET($CC$3,0,0,'Données projet'!$E$12+1,1))-AVERAGE(OFFSET($H$3,0,0,'Données projet'!$E$12+1,1))</f>
        <v>179.32848817523677</v>
      </c>
      <c r="CE34" s="59">
        <f t="shared" si="40"/>
        <v>131.3292389103035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12.819668548740019</v>
      </c>
      <c r="CM34" s="21">
        <f>EXP(-LN(2)/2)*CM33+(1-EXP(-LN(2)/2))/(LN(2)/2)*CG34*CJ34*VLOOKUP('Données projet'!$B$12,Paramètres!$A$1:$I$89,3,0)*0.475*44/12</f>
        <v>3.7214106251492653</v>
      </c>
      <c r="CN34" s="22">
        <f t="shared" si="12"/>
        <v>16.541079173889283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8.3413461538461533</v>
      </c>
      <c r="CT34" s="12">
        <f>IF('Données projet'!$A$140&gt;35,CT33+CS34-DB33,IF(A34&lt;'Données projet'!$A$140,$CQ$205^A34,IF(A34='Données projet'!$A$140,'Données projet'!$B$140,CT33+CS34-DB33)))</f>
        <v>116.76442307692307</v>
      </c>
      <c r="CU34" s="17">
        <f>CT34*VLOOKUP('Données projet'!$B$13,Paramètres!$A$1:$I$89,3,0)*VLOOKUP('Données projet'!$B$13,Paramètres!$A$1:$I$89,5,0)</f>
        <v>105.64845</v>
      </c>
      <c r="CV34" s="13">
        <f t="shared" si="41"/>
        <v>28.30332943441833</v>
      </c>
      <c r="CW34" s="20">
        <f t="shared" si="13"/>
        <v>233.29934918161189</v>
      </c>
      <c r="CX34" s="59">
        <f t="shared" si="14"/>
        <v>526.63268251494515</v>
      </c>
      <c r="CY34" s="59">
        <f ca="1">AVERAGE(OFFSET($CX$3,0,0,'Données projet'!$E$13+1,1))-AVERAGE(OFFSET($H$3,0,0,'Données projet'!$E$13+1,1))</f>
        <v>309.07357540707869</v>
      </c>
      <c r="CZ34" s="59">
        <f t="shared" si="42"/>
        <v>155.9593924683299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8.1</v>
      </c>
      <c r="DO34" s="12">
        <f>IF('Données projet'!$A$166&gt;35,DO33+DN34-DW33,IF(A34&lt;'Données projet'!$A$166,$DL$205^A34,IF(A34='Données projet'!$A$166,'Données projet'!$B$166,DO33+DN34-DW33)))</f>
        <v>119.09999999999991</v>
      </c>
      <c r="DP34" s="17">
        <f>DO34*VLOOKUP('Données projet'!$B$14,Paramètres!$A$1:$I$89,3,0)*VLOOKUP('Données projet'!$B$14,Paramètres!$A$1:$I$89,5,0)</f>
        <v>104.04575999999993</v>
      </c>
      <c r="DQ34" s="13">
        <f t="shared" si="43"/>
        <v>27.923608029814616</v>
      </c>
      <c r="DR34" s="20">
        <f t="shared" si="16"/>
        <v>229.84664931859365</v>
      </c>
      <c r="DS34" s="59">
        <f t="shared" si="17"/>
        <v>523.17998265192693</v>
      </c>
      <c r="DT34" s="59">
        <f ca="1">AVERAGE(OFFSET($DS$3,0,0,'Données projet'!$E$14+1,1))-AVERAGE(OFFSET($H$3,0,0,'Données projet'!$E$14+1,1))</f>
        <v>210.07838338464626</v>
      </c>
      <c r="DU34" s="59">
        <f t="shared" si="44"/>
        <v>241.76003724236273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5.1962837986555197</v>
      </c>
      <c r="EB34" s="21">
        <f>EXP(-LN(2)/25)*EB33+(1-EXP(-LN(2)/25))/(LN(2)/25)*Calculateur!DW34*Calculateur!DY34*VLOOKUP('Données projet'!$B$14,Paramètres!$A$1:$I$89,3,0)*0.475*44/12</f>
        <v>13.189110560710736</v>
      </c>
      <c r="EC34" s="21">
        <f>EXP(-LN(2)/2)*EC33+(1-EXP(-LN(2)/2))/(LN(2)/2)*DW34*DZ34*VLOOKUP('Données projet'!$B$14,Paramètres!$A$1:$I$89,3,0)*0.475*44/12</f>
        <v>11.293502548546263</v>
      </c>
      <c r="ED34" s="22">
        <f t="shared" si="18"/>
        <v>29.678896907912517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13.3</v>
      </c>
      <c r="EJ34" s="12">
        <f>IF('Données projet'!$A$192&gt;35,EJ33+EI34-ER33,IF(A34&lt;'Données projet'!$A$192,$EG$205^A34,IF(A34='Données projet'!$A$192,'Données projet'!$B$192,EJ33+EI34-ER33)))</f>
        <v>163.30000000000007</v>
      </c>
      <c r="EK34" s="17">
        <f>EJ34*VLOOKUP('Données projet'!$B$15,Paramètres!$A$1:$I$89,3,0)*VLOOKUP('Données projet'!$B$15,Paramètres!$A$1:$I$89,5,0)</f>
        <v>101.89920000000004</v>
      </c>
      <c r="EL34" s="13">
        <f t="shared" si="45"/>
        <v>27.413959140905018</v>
      </c>
      <c r="EM34" s="20">
        <f t="shared" si="19"/>
        <v>225.22041883707629</v>
      </c>
      <c r="EN34" s="59">
        <f t="shared" si="20"/>
        <v>518.55375217040955</v>
      </c>
      <c r="EO34" s="59">
        <f ca="1">AVERAGE(OFFSET($EN$3,0,0,'Données projet'!$E$15+1,1))-AVERAGE(OFFSET($H$3,0,0,'Données projet'!$E$15+1,1))</f>
        <v>209.93608079129638</v>
      </c>
      <c r="EP34" s="59">
        <f t="shared" si="46"/>
        <v>240.15652428700969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6.8169698806431898</v>
      </c>
      <c r="EW34" s="21">
        <f>EXP(-LN(2)/25)*EW33+(1-EXP(-LN(2)/25))/(LN(2)/25)*Calculateur!ER34*Calculateur!ET34*VLOOKUP('Données projet'!$B$15,Paramètres!$A$1:$I$89,3,0)*0.475*44/12</f>
        <v>20.219462007872622</v>
      </c>
      <c r="EX34" s="21">
        <f>EXP(-LN(2)/2)*EX33+(1-EXP(-LN(2)/2))/(LN(2)/2)*ER34*EU34*VLOOKUP('Données projet'!$B$15,Paramètres!$A$1:$I$89,3,0)*0.475*44/12</f>
        <v>14.277062560363413</v>
      </c>
      <c r="EY34" s="22">
        <f t="shared" si="21"/>
        <v>41.313494448879226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10.199999999999999</v>
      </c>
      <c r="N35" s="13">
        <f>IF('Données projet'!$A$36&gt;35,N34+M35-V34,IF(A35&lt;'Données projet'!$A$36,$K$205^A35,IF(A35='Données projet'!$A$36,'Données projet'!$B$36,N34+M35-V34)))</f>
        <v>138.39999999999995</v>
      </c>
      <c r="O35" s="13">
        <f>N35*VLOOKUP('Données projet'!$B$9,Paramètres!$A$1:$I$89,3,0)*VLOOKUP('Données projet'!$B$9,Paramètres!$A$1:$I$89,5,0)</f>
        <v>110.11103999999996</v>
      </c>
      <c r="P35" s="13">
        <f t="shared" si="33"/>
        <v>29.357144926198423</v>
      </c>
      <c r="Q35" s="20">
        <f t="shared" ref="Q35:Q66" si="53">(O35+P35)*0.475*44/12</f>
        <v>242.90708874646216</v>
      </c>
      <c r="R35" s="59">
        <f t="shared" si="0"/>
        <v>536.24042207979551</v>
      </c>
      <c r="S35" s="59">
        <f ca="1">AVERAGE(OFFSET($R$3,0,0,'Données projet'!$E$9+1,1))-AVERAGE(OFFSET($H$3,0,0,'Données projet'!$E$9+1,1))</f>
        <v>199.58763537752952</v>
      </c>
      <c r="T35" s="59">
        <f t="shared" si="34"/>
        <v>242.62852778451929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9.7282885199864211</v>
      </c>
      <c r="AB35" s="21">
        <f>EXP(-LN(2)/2)*AB34+(1-EXP(-LN(2)/2))/(LN(2)/2)*V35*Y35*VLOOKUP('Données projet'!$B$9,Paramètres!$A$1:$I$89,3,0)*0.475*44/12</f>
        <v>5.3807791966101028</v>
      </c>
      <c r="AC35" s="22">
        <f t="shared" si="3"/>
        <v>15.109067716596524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12.9</v>
      </c>
      <c r="AI35" s="13">
        <f>IF('Données projet'!$A$62&gt;35,AI34+AH35-AQ34,IF(A35&lt;'Données projet'!$A$62,$AF$205^A35,IF(A35='Données projet'!$A$62,'Données projet'!$B$62,AI34+AH35-AQ34)))</f>
        <v>146.79999999999995</v>
      </c>
      <c r="AJ35" s="13">
        <f>AI35*VLOOKUP('Données projet'!$B$10,Paramètres!$A$1:$I$89,3,0)*VLOOKUP('Données projet'!$B$10,Paramètres!$A$1:$I$89,5,0)</f>
        <v>87.786399999999972</v>
      </c>
      <c r="AK35" s="13">
        <f t="shared" si="35"/>
        <v>24.030586680166522</v>
      </c>
      <c r="AL35" s="20">
        <f t="shared" si="4"/>
        <v>194.74791846795665</v>
      </c>
      <c r="AM35" s="59">
        <f t="shared" si="5"/>
        <v>488.08125180128997</v>
      </c>
      <c r="AN35" s="59">
        <f ca="1">AVERAGE(OFFSET($AM$3,0,0,'Données projet'!$E$10+1,1))-AVERAGE(OFFSET($H$3,0,0,'Données projet'!$E$10+1,1))</f>
        <v>287.78657453117694</v>
      </c>
      <c r="AO35" s="59">
        <f t="shared" si="36"/>
        <v>153.31562485362252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2.813547117611173</v>
      </c>
      <c r="AV35" s="21">
        <f>EXP(-LN(2)/25)*AV34+(1-EXP(-LN(2)/25))/(LN(2)/25)*Calculateur!AQ35*Calculateur!AS35*VLOOKUP('Données projet'!$B$10,Paramètres!$A$1:$I$89,3,0)*0.475*44/12</f>
        <v>5.5168368975228983</v>
      </c>
      <c r="AW35" s="21">
        <f>EXP(-LN(2)/2)*AW34+(1-EXP(-LN(2)/2))/(LN(2)/2)*AQ35*AT35*VLOOKUP('Données projet'!$B$10,Paramètres!$A$1:$I$89,3,0)*0.475*44/12</f>
        <v>5.55201429415078</v>
      </c>
      <c r="AX35" s="21">
        <f t="shared" si="6"/>
        <v>13.882398309284852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15.48351648351648</v>
      </c>
      <c r="BD35" s="12">
        <f>IF('Données projet'!$A$88&gt;35,BD34+BC35-BL34,IF(A35&lt;'Données projet'!$A$88,$BA$205^A35,IF(A35='Données projet'!$A$88,'Données projet'!$B$88,BD34+BC35-BL34)))</f>
        <v>190.75164835164838</v>
      </c>
      <c r="BE35" s="13">
        <f>BD35*VLOOKUP('Données projet'!$B$11,Paramètres!$A$1:$I$89,3,0)*VLOOKUP('Données projet'!$B$11,Paramètres!$A$1:$I$89,5,0)</f>
        <v>114.06948571428575</v>
      </c>
      <c r="BF35" s="13">
        <f t="shared" si="37"/>
        <v>30.287750600607666</v>
      </c>
      <c r="BG35" s="20">
        <f t="shared" si="7"/>
        <v>251.42218658177271</v>
      </c>
      <c r="BH35" s="59">
        <f t="shared" si="8"/>
        <v>544.75551991510599</v>
      </c>
      <c r="BI35" s="59">
        <f ca="1">AVERAGE(OFFSET($BH$3,0,0,'Données projet'!$E$11+1,1))-AVERAGE(OFFSET($H$3,0,0,'Données projet'!$E$11+1,1))</f>
        <v>250.93905519128998</v>
      </c>
      <c r="BJ35" s="59">
        <f t="shared" si="38"/>
        <v>222.32879462265032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1.2313511326173969</v>
      </c>
      <c r="BQ35" s="21">
        <f>EXP(-LN(2)/25)*BQ34+(1-EXP(-LN(2)/25))/(LN(2)/25)*Calculateur!BL35*Calculateur!BN35*VLOOKUP('Données projet'!$B$11,Paramètres!$A$1:$I$89,3,0)*0.475*44/12</f>
        <v>10.95033160550082</v>
      </c>
      <c r="BR35" s="21">
        <f>EXP(-LN(2)/2)*BR34+(1-EXP(-LN(2)/2))/(LN(2)/2)*BL35*BO35*VLOOKUP('Données projet'!$B$11,Paramètres!$A$1:$I$89,3,0)*0.475*44/12</f>
        <v>0.94368927542323422</v>
      </c>
      <c r="BS35" s="22">
        <f t="shared" si="9"/>
        <v>13.125372013541449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12.97179487179487</v>
      </c>
      <c r="BY35" s="12">
        <f>IF('Données projet'!$A$114&gt;35,BY34+BX35-CG34,IF(A35&lt;'Données projet'!$A$114,$BV$205^A35,IF(A35='Données projet'!$A$114,'Données projet'!$B$114,BY34+BX35-CG34)))</f>
        <v>170.92820512820515</v>
      </c>
      <c r="BZ35" s="13">
        <f>BY35*VLOOKUP('Données projet'!$B$12,Paramètres!$A$1:$I$89,3,0)*VLOOKUP('Données projet'!$B$12,Paramètres!$A$1:$I$89,5,0)</f>
        <v>102.21506666666667</v>
      </c>
      <c r="CA35" s="13">
        <f t="shared" si="39"/>
        <v>27.489031873505194</v>
      </c>
      <c r="CB35" s="20">
        <f t="shared" si="10"/>
        <v>225.90130495746598</v>
      </c>
      <c r="CC35" s="59">
        <f t="shared" si="11"/>
        <v>519.23463829079924</v>
      </c>
      <c r="CD35" s="59">
        <f ca="1">AVERAGE(OFFSET($CC$3,0,0,'Données projet'!$E$12+1,1))-AVERAGE(OFFSET($H$3,0,0,'Données projet'!$E$12+1,1))</f>
        <v>179.32848817523677</v>
      </c>
      <c r="CE35" s="59">
        <f t="shared" si="40"/>
        <v>131.3292389103035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12.469114038117654</v>
      </c>
      <c r="CM35" s="21">
        <f>EXP(-LN(2)/2)*CM34+(1-EXP(-LN(2)/2))/(LN(2)/2)*CG35*CJ35*VLOOKUP('Données projet'!$B$12,Paramètres!$A$1:$I$89,3,0)*0.475*44/12</f>
        <v>2.6314346886227149</v>
      </c>
      <c r="CN35" s="22">
        <f t="shared" si="12"/>
        <v>15.100548726740369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8.3413461538461533</v>
      </c>
      <c r="CT35" s="12">
        <f>IF('Données projet'!$A$140&gt;35,CT34+CS35-DB34,IF(A35&lt;'Données projet'!$A$140,$CQ$205^A35,IF(A35='Données projet'!$A$140,'Données projet'!$B$140,CT34+CS35-DB34)))</f>
        <v>125.10576923076923</v>
      </c>
      <c r="CU35" s="17">
        <f>CT35*VLOOKUP('Données projet'!$B$13,Paramètres!$A$1:$I$89,3,0)*VLOOKUP('Données projet'!$B$13,Paramètres!$A$1:$I$89,5,0)</f>
        <v>113.19569999999999</v>
      </c>
      <c r="CV35" s="13">
        <f t="shared" si="41"/>
        <v>30.08265690456005</v>
      </c>
      <c r="CW35" s="20">
        <f t="shared" si="13"/>
        <v>249.54313827544206</v>
      </c>
      <c r="CX35" s="59">
        <f t="shared" si="14"/>
        <v>542.87647160877532</v>
      </c>
      <c r="CY35" s="59">
        <f ca="1">AVERAGE(OFFSET($CX$3,0,0,'Données projet'!$E$13+1,1))-AVERAGE(OFFSET($H$3,0,0,'Données projet'!$E$13+1,1))</f>
        <v>309.07357540707869</v>
      </c>
      <c r="CZ35" s="59">
        <f t="shared" si="42"/>
        <v>155.9593924683299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8.1</v>
      </c>
      <c r="DO35" s="12">
        <f>IF('Données projet'!$A$166&gt;35,DO34+DN35-DW34,IF(A35&lt;'Données projet'!$A$166,$DL$205^A35,IF(A35='Données projet'!$A$166,'Données projet'!$B$166,DO34+DN35-DW34)))</f>
        <v>127.1999999999999</v>
      </c>
      <c r="DP35" s="17">
        <f>DO35*VLOOKUP('Données projet'!$B$14,Paramètres!$A$1:$I$89,3,0)*VLOOKUP('Données projet'!$B$14,Paramètres!$A$1:$I$89,5,0)</f>
        <v>111.12191999999993</v>
      </c>
      <c r="DQ35" s="13">
        <f t="shared" si="43"/>
        <v>29.595161360044589</v>
      </c>
      <c r="DR35" s="20">
        <f t="shared" si="16"/>
        <v>245.08225003541085</v>
      </c>
      <c r="DS35" s="59">
        <f t="shared" si="17"/>
        <v>538.41558336874414</v>
      </c>
      <c r="DT35" s="59">
        <f ca="1">AVERAGE(OFFSET($DS$3,0,0,'Données projet'!$E$14+1,1))-AVERAGE(OFFSET($H$3,0,0,'Données projet'!$E$14+1,1))</f>
        <v>210.07838338464626</v>
      </c>
      <c r="DU35" s="59">
        <f t="shared" si="44"/>
        <v>241.76003724236273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5.0943878427840481</v>
      </c>
      <c r="EB35" s="21">
        <f>EXP(-LN(2)/25)*EB34+(1-EXP(-LN(2)/25))/(LN(2)/25)*Calculateur!DW35*Calculateur!DY35*VLOOKUP('Données projet'!$B$14,Paramètres!$A$1:$I$89,3,0)*0.475*44/12</f>
        <v>12.828453638842921</v>
      </c>
      <c r="EC35" s="21">
        <f>EXP(-LN(2)/2)*EC34+(1-EXP(-LN(2)/2))/(LN(2)/2)*DW35*DZ35*VLOOKUP('Données projet'!$B$14,Paramètres!$A$1:$I$89,3,0)*0.475*44/12</f>
        <v>7.9857122354246197</v>
      </c>
      <c r="ED35" s="22">
        <f t="shared" si="18"/>
        <v>25.908553717051589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13.3</v>
      </c>
      <c r="EJ35" s="12">
        <f>IF('Données projet'!$A$192&gt;35,EJ34+EI35-ER34,IF(A35&lt;'Données projet'!$A$192,$EG$205^A35,IF(A35='Données projet'!$A$192,'Données projet'!$B$192,EJ34+EI35-ER34)))</f>
        <v>176.60000000000008</v>
      </c>
      <c r="EK35" s="17">
        <f>EJ35*VLOOKUP('Données projet'!$B$15,Paramètres!$A$1:$I$89,3,0)*VLOOKUP('Données projet'!$B$15,Paramètres!$A$1:$I$89,5,0)</f>
        <v>110.19840000000003</v>
      </c>
      <c r="EL35" s="13">
        <f t="shared" si="45"/>
        <v>29.377724256456361</v>
      </c>
      <c r="EM35" s="20">
        <f t="shared" si="19"/>
        <v>243.09508307999488</v>
      </c>
      <c r="EN35" s="59">
        <f t="shared" si="20"/>
        <v>536.42841641332825</v>
      </c>
      <c r="EO35" s="59">
        <f ca="1">AVERAGE(OFFSET($EN$3,0,0,'Données projet'!$E$15+1,1))-AVERAGE(OFFSET($H$3,0,0,'Données projet'!$E$15+1,1))</f>
        <v>209.93608079129638</v>
      </c>
      <c r="EP35" s="59">
        <f t="shared" si="46"/>
        <v>240.15652428700969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6.6832932592248415</v>
      </c>
      <c r="EW35" s="21">
        <f>EXP(-LN(2)/25)*EW34+(1-EXP(-LN(2)/25))/(LN(2)/25)*Calculateur!ER35*Calculateur!ET35*VLOOKUP('Données projet'!$B$15,Paramètres!$A$1:$I$89,3,0)*0.475*44/12</f>
        <v>19.666559755972049</v>
      </c>
      <c r="EX35" s="21">
        <f>EXP(-LN(2)/2)*EX34+(1-EXP(-LN(2)/2))/(LN(2)/2)*ER35*EU35*VLOOKUP('Données projet'!$B$15,Paramètres!$A$1:$I$89,3,0)*0.475*44/12</f>
        <v>10.095407751857543</v>
      </c>
      <c r="EY35" s="22">
        <f t="shared" si="21"/>
        <v>36.445260767054435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10.199999999999999</v>
      </c>
      <c r="N36" s="13">
        <f>IF('Données projet'!$A$36&gt;35,N35+M36-V35,IF(A36&lt;'Données projet'!$A$36,$K$205^A36,IF(A36='Données projet'!$A$36,'Données projet'!$B$36,N35+M36-V35)))</f>
        <v>148.59999999999994</v>
      </c>
      <c r="O36" s="13">
        <f>N36*VLOOKUP('Données projet'!$B$9,Paramètres!$A$1:$I$89,3,0)*VLOOKUP('Données projet'!$B$9,Paramètres!$A$1:$I$89,5,0)</f>
        <v>118.22615999999996</v>
      </c>
      <c r="P36" s="13">
        <f t="shared" si="33"/>
        <v>31.260922342884676</v>
      </c>
      <c r="Q36" s="20">
        <f t="shared" si="53"/>
        <v>260.35666841385739</v>
      </c>
      <c r="R36" s="59">
        <f t="shared" si="0"/>
        <v>553.69000174719076</v>
      </c>
      <c r="S36" s="59">
        <f ca="1">AVERAGE(OFFSET($R$3,0,0,'Données projet'!$E$9+1,1))-AVERAGE(OFFSET($H$3,0,0,'Données projet'!$E$9+1,1))</f>
        <v>199.58763537752952</v>
      </c>
      <c r="T36" s="59">
        <f t="shared" si="34"/>
        <v>242.62852778451929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9.4622679588189342</v>
      </c>
      <c r="AB36" s="21">
        <f>EXP(-LN(2)/2)*AB35+(1-EXP(-LN(2)/2))/(LN(2)/2)*V36*Y36*VLOOKUP('Données projet'!$B$9,Paramètres!$A$1:$I$89,3,0)*0.475*44/12</f>
        <v>3.8047854579905072</v>
      </c>
      <c r="AC36" s="22">
        <f t="shared" si="3"/>
        <v>13.267053416809441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12.9</v>
      </c>
      <c r="AI36" s="13">
        <f>IF('Données projet'!$A$62&gt;35,AI35+AH36-AQ35,IF(A36&lt;'Données projet'!$A$62,$AF$205^A36,IF(A36='Données projet'!$A$62,'Données projet'!$B$62,AI35+AH36-AQ35)))</f>
        <v>159.69999999999996</v>
      </c>
      <c r="AJ36" s="13">
        <f>AI36*VLOOKUP('Données projet'!$B$10,Paramètres!$A$1:$I$89,3,0)*VLOOKUP('Données projet'!$B$10,Paramètres!$A$1:$I$89,5,0)</f>
        <v>95.500599999999991</v>
      </c>
      <c r="AK36" s="13">
        <f t="shared" si="35"/>
        <v>25.887222408627366</v>
      </c>
      <c r="AL36" s="20">
        <f t="shared" si="4"/>
        <v>211.41712402835932</v>
      </c>
      <c r="AM36" s="59">
        <f t="shared" si="5"/>
        <v>504.75045736169261</v>
      </c>
      <c r="AN36" s="59">
        <f ca="1">AVERAGE(OFFSET($AM$3,0,0,'Données projet'!$E$10+1,1))-AVERAGE(OFFSET($H$3,0,0,'Données projet'!$E$10+1,1))</f>
        <v>287.78657453117694</v>
      </c>
      <c r="AO36" s="59">
        <f t="shared" si="36"/>
        <v>153.31562485362252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2.7583751747291094</v>
      </c>
      <c r="AV36" s="21">
        <f>EXP(-LN(2)/25)*AV35+(1-EXP(-LN(2)/25))/(LN(2)/25)*Calculateur!AQ36*Calculateur!AS36*VLOOKUP('Données projet'!$B$10,Paramètres!$A$1:$I$89,3,0)*0.475*44/12</f>
        <v>5.3659787024422911</v>
      </c>
      <c r="AW36" s="21">
        <f>EXP(-LN(2)/2)*AW35+(1-EXP(-LN(2)/2))/(LN(2)/2)*AQ36*AT36*VLOOKUP('Données projet'!$B$10,Paramètres!$A$1:$I$89,3,0)*0.475*44/12</f>
        <v>3.9258669566386599</v>
      </c>
      <c r="AX36" s="21">
        <f t="shared" si="6"/>
        <v>12.050220833810062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15.48351648351648</v>
      </c>
      <c r="BD36" s="12">
        <f>IF('Données projet'!$A$88&gt;35,BD35+BC36-BL35,IF(A36&lt;'Données projet'!$A$88,$BA$205^A36,IF(A36='Données projet'!$A$88,'Données projet'!$B$88,BD35+BC36-BL35)))</f>
        <v>206.23516483516485</v>
      </c>
      <c r="BE36" s="13">
        <f>BD36*VLOOKUP('Données projet'!$B$11,Paramètres!$A$1:$I$89,3,0)*VLOOKUP('Données projet'!$B$11,Paramètres!$A$1:$I$89,5,0)</f>
        <v>123.3286285714286</v>
      </c>
      <c r="BF36" s="13">
        <f t="shared" si="37"/>
        <v>32.450106672465495</v>
      </c>
      <c r="BG36" s="20">
        <f t="shared" si="7"/>
        <v>271.31463054978218</v>
      </c>
      <c r="BH36" s="59">
        <f t="shared" si="8"/>
        <v>564.64796388311549</v>
      </c>
      <c r="BI36" s="59">
        <f ca="1">AVERAGE(OFFSET($BH$3,0,0,'Données projet'!$E$11+1,1))-AVERAGE(OFFSET($H$3,0,0,'Données projet'!$E$11+1,1))</f>
        <v>250.93905519128998</v>
      </c>
      <c r="BJ36" s="59">
        <f t="shared" si="38"/>
        <v>222.32879462265032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1.2072050879568006</v>
      </c>
      <c r="BQ36" s="21">
        <f>EXP(-LN(2)/25)*BQ35+(1-EXP(-LN(2)/25))/(LN(2)/25)*Calculateur!BL36*Calculateur!BN36*VLOOKUP('Données projet'!$B$11,Paramètres!$A$1:$I$89,3,0)*0.475*44/12</f>
        <v>10.650894211895487</v>
      </c>
      <c r="BR36" s="21">
        <f>EXP(-LN(2)/2)*BR35+(1-EXP(-LN(2)/2))/(LN(2)/2)*BL36*BO36*VLOOKUP('Données projet'!$B$11,Paramètres!$A$1:$I$89,3,0)*0.475*44/12</f>
        <v>0.66728908598478853</v>
      </c>
      <c r="BS36" s="22">
        <f t="shared" si="9"/>
        <v>12.525388385837077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>
        <f>VLOOKUP(A36,'Données projet'!$A$113:$I$133,2,0)</f>
        <v>183.89999999999998</v>
      </c>
      <c r="BW36" s="12">
        <f>VLOOKUP(A36,'Données projet'!$A$113:$I$133,9,0)</f>
        <v>12.97179487179487</v>
      </c>
      <c r="BX36" s="12">
        <f t="array" ref="BX36">INDEX(BW:BW,MIN(IF(ISNUMBER(BW36:BW232),ROW(BW36:BW232),"")))</f>
        <v>12.97179487179487</v>
      </c>
      <c r="BY36" s="12">
        <f>IF('Données projet'!$A$114&gt;35,BY35+BX36-CG35,IF(A36&lt;'Données projet'!$A$114,$BV$205^A36,IF(A36='Données projet'!$A$114,'Données projet'!$B$114,BY35+BX36-CG35)))</f>
        <v>183.90000000000003</v>
      </c>
      <c r="BZ36" s="13">
        <f>BY36*VLOOKUP('Données projet'!$B$12,Paramètres!$A$1:$I$89,3,0)*VLOOKUP('Données projet'!$B$12,Paramètres!$A$1:$I$89,5,0)</f>
        <v>109.97220000000003</v>
      </c>
      <c r="CA36" s="13">
        <f t="shared" si="39"/>
        <v>29.324434579377328</v>
      </c>
      <c r="CB36" s="20">
        <f t="shared" si="10"/>
        <v>242.60830522574886</v>
      </c>
      <c r="CC36" s="59">
        <f t="shared" si="11"/>
        <v>535.94163855908221</v>
      </c>
      <c r="CD36" s="59">
        <f ca="1">AVERAGE(OFFSET($CC$3,0,0,'Données projet'!$E$12+1,1))-AVERAGE(OFFSET($H$3,0,0,'Données projet'!$E$12+1,1))</f>
        <v>179.32848817523677</v>
      </c>
      <c r="CE36" s="59">
        <f t="shared" si="40"/>
        <v>131.3292389103035</v>
      </c>
      <c r="CF36" s="15">
        <f>IF(ISNA(VLOOKUP(A36,'Données projet'!$A$113:$I$133,3,0)),0,VLOOKUP(A36,'Données projet'!$A$113:$I$133,3,0))</f>
        <v>3</v>
      </c>
      <c r="CG36" s="15">
        <f>IF(ISNA(VLOOKUP(A36,'Données projet'!$A$113:$I$133,4,0)),0,VLOOKUP(A36,'Données projet'!$A$113:$I$133,4,0))</f>
        <v>43.007692307692302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12.128145459023118</v>
      </c>
      <c r="CM36" s="21">
        <f>EXP(-LN(2)/2)*CM35+(1-EXP(-LN(2)/2))/(LN(2)/2)*CG36*CJ36*VLOOKUP('Données projet'!$B$12,Paramètres!$A$1:$I$89,3,0)*0.475*44/12</f>
        <v>1.8607053125746331</v>
      </c>
      <c r="CN36" s="22">
        <f t="shared" si="12"/>
        <v>13.98885077159775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8.3413461538461533</v>
      </c>
      <c r="CT36" s="12">
        <f>IF('Données projet'!$A$140&gt;35,CT35+CS36-DB35,IF(A36&lt;'Données projet'!$A$140,$CQ$205^A36,IF(A36='Données projet'!$A$140,'Données projet'!$B$140,CT35+CS36-DB35)))</f>
        <v>133.44711538461539</v>
      </c>
      <c r="CU36" s="17">
        <f>CT36*VLOOKUP('Données projet'!$B$13,Paramètres!$A$1:$I$89,3,0)*VLOOKUP('Données projet'!$B$13,Paramètres!$A$1:$I$89,5,0)</f>
        <v>120.74294999999999</v>
      </c>
      <c r="CV36" s="13">
        <f t="shared" si="41"/>
        <v>31.84821788595394</v>
      </c>
      <c r="CW36" s="20">
        <f t="shared" si="13"/>
        <v>265.76295073470305</v>
      </c>
      <c r="CX36" s="59">
        <f t="shared" si="14"/>
        <v>559.09628406803631</v>
      </c>
      <c r="CY36" s="59">
        <f ca="1">AVERAGE(OFFSET($CX$3,0,0,'Données projet'!$E$13+1,1))-AVERAGE(OFFSET($H$3,0,0,'Données projet'!$E$13+1,1))</f>
        <v>309.07357540707869</v>
      </c>
      <c r="CZ36" s="59">
        <f t="shared" si="42"/>
        <v>155.9593924683299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8.1</v>
      </c>
      <c r="DO36" s="12">
        <f>IF('Données projet'!$A$166&gt;35,DO35+DN36-DW35,IF(A36&lt;'Données projet'!$A$166,$DL$205^A36,IF(A36='Données projet'!$A$166,'Données projet'!$B$166,DO35+DN36-DW35)))</f>
        <v>135.2999999999999</v>
      </c>
      <c r="DP36" s="17">
        <f>DO36*VLOOKUP('Données projet'!$B$14,Paramètres!$A$1:$I$89,3,0)*VLOOKUP('Données projet'!$B$14,Paramètres!$A$1:$I$89,5,0)</f>
        <v>118.19807999999992</v>
      </c>
      <c r="DQ36" s="13">
        <f t="shared" si="43"/>
        <v>31.254361690638451</v>
      </c>
      <c r="DR36" s="20">
        <f t="shared" si="16"/>
        <v>260.29633594452849</v>
      </c>
      <c r="DS36" s="59">
        <f t="shared" si="17"/>
        <v>553.62966927786181</v>
      </c>
      <c r="DT36" s="59">
        <f ca="1">AVERAGE(OFFSET($DS$3,0,0,'Données projet'!$E$14+1,1))-AVERAGE(OFFSET($H$3,0,0,'Données projet'!$E$14+1,1))</f>
        <v>210.07838338464626</v>
      </c>
      <c r="DU36" s="59">
        <f t="shared" si="44"/>
        <v>241.76003724236273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4.9944900044568197</v>
      </c>
      <c r="EB36" s="21">
        <f>EXP(-LN(2)/25)*EB35+(1-EXP(-LN(2)/25))/(LN(2)/25)*Calculateur!DW36*Calculateur!DY36*VLOOKUP('Données projet'!$B$14,Paramètres!$A$1:$I$89,3,0)*0.475*44/12</f>
        <v>12.477658899469704</v>
      </c>
      <c r="EC36" s="21">
        <f>EXP(-LN(2)/2)*EC35+(1-EXP(-LN(2)/2))/(LN(2)/2)*DW36*DZ36*VLOOKUP('Données projet'!$B$14,Paramètres!$A$1:$I$89,3,0)*0.475*44/12</f>
        <v>5.6467512742731323</v>
      </c>
      <c r="ED36" s="22">
        <f t="shared" si="18"/>
        <v>23.118900178199656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13.3</v>
      </c>
      <c r="EJ36" s="12">
        <f>IF('Données projet'!$A$192&gt;35,EJ35+EI36-ER35,IF(A36&lt;'Données projet'!$A$192,$EG$205^A36,IF(A36='Données projet'!$A$192,'Données projet'!$B$192,EJ35+EI36-ER35)))</f>
        <v>189.90000000000009</v>
      </c>
      <c r="EK36" s="17">
        <f>EJ36*VLOOKUP('Données projet'!$B$15,Paramètres!$A$1:$I$89,3,0)*VLOOKUP('Données projet'!$B$15,Paramètres!$A$1:$I$89,5,0)</f>
        <v>118.49760000000006</v>
      </c>
      <c r="EL36" s="13">
        <f t="shared" si="45"/>
        <v>31.324332637527956</v>
      </c>
      <c r="EM36" s="20">
        <f t="shared" si="19"/>
        <v>260.9398660103613</v>
      </c>
      <c r="EN36" s="59">
        <f t="shared" si="20"/>
        <v>554.27319934369461</v>
      </c>
      <c r="EO36" s="59">
        <f ca="1">AVERAGE(OFFSET($EN$3,0,0,'Données projet'!$E$15+1,1))-AVERAGE(OFFSET($H$3,0,0,'Données projet'!$E$15+1,1))</f>
        <v>209.93608079129638</v>
      </c>
      <c r="EP36" s="59">
        <f t="shared" si="46"/>
        <v>240.15652428700969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6.5522379548178185</v>
      </c>
      <c r="EW36" s="21">
        <f>EXP(-LN(2)/25)*EW35+(1-EXP(-LN(2)/25))/(LN(2)/25)*Calculateur!ER36*Calculateur!ET36*VLOOKUP('Données projet'!$B$15,Paramètres!$A$1:$I$89,3,0)*0.475*44/12</f>
        <v>19.128776645225564</v>
      </c>
      <c r="EX36" s="21">
        <f>EXP(-LN(2)/2)*EX35+(1-EXP(-LN(2)/2))/(LN(2)/2)*ER36*EU36*VLOOKUP('Données projet'!$B$15,Paramètres!$A$1:$I$89,3,0)*0.475*44/12</f>
        <v>7.1385312801817076</v>
      </c>
      <c r="EY36" s="22">
        <f t="shared" si="21"/>
        <v>32.819545880225093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10.199999999999999</v>
      </c>
      <c r="N37" s="13">
        <f>IF('Données projet'!$A$36&gt;35,N36+M37-V36,IF(A37&lt;'Données projet'!$A$36,$K$205^A37,IF(A37='Données projet'!$A$36,'Données projet'!$B$36,N36+M37-V36)))</f>
        <v>158.79999999999993</v>
      </c>
      <c r="O37" s="13">
        <f>N37*VLOOKUP('Données projet'!$B$9,Paramètres!$A$1:$I$89,3,0)*VLOOKUP('Données projet'!$B$9,Paramètres!$A$1:$I$89,5,0)</f>
        <v>126.34127999999994</v>
      </c>
      <c r="P37" s="13">
        <f t="shared" si="33"/>
        <v>33.14953705360643</v>
      </c>
      <c r="Q37" s="20">
        <f t="shared" si="53"/>
        <v>277.77983970169777</v>
      </c>
      <c r="R37" s="59">
        <f t="shared" si="0"/>
        <v>571.11317303503108</v>
      </c>
      <c r="S37" s="59">
        <f ca="1">AVERAGE(OFFSET($R$3,0,0,'Données projet'!$E$9+1,1))-AVERAGE(OFFSET($H$3,0,0,'Données projet'!$E$9+1,1))</f>
        <v>199.58763537752952</v>
      </c>
      <c r="T37" s="59">
        <f t="shared" si="34"/>
        <v>242.62852778451929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9.2035217438859842</v>
      </c>
      <c r="AB37" s="21">
        <f>EXP(-LN(2)/2)*AB36+(1-EXP(-LN(2)/2))/(LN(2)/2)*V37*Y37*VLOOKUP('Données projet'!$B$9,Paramètres!$A$1:$I$89,3,0)*0.475*44/12</f>
        <v>2.6903895983050519</v>
      </c>
      <c r="AC37" s="22">
        <f t="shared" si="3"/>
        <v>11.893911342191036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12.9</v>
      </c>
      <c r="AI37" s="13">
        <f>IF('Données projet'!$A$62&gt;35,AI36+AH37-AQ36,IF(A37&lt;'Données projet'!$A$62,$AF$205^A37,IF(A37='Données projet'!$A$62,'Données projet'!$B$62,AI36+AH37-AQ36)))</f>
        <v>172.59999999999997</v>
      </c>
      <c r="AJ37" s="13">
        <f>AI37*VLOOKUP('Données projet'!$B$10,Paramètres!$A$1:$I$89,3,0)*VLOOKUP('Données projet'!$B$10,Paramètres!$A$1:$I$89,5,0)</f>
        <v>103.21479999999998</v>
      </c>
      <c r="AK37" s="13">
        <f t="shared" si="35"/>
        <v>27.726463199430313</v>
      </c>
      <c r="AL37" s="20">
        <f t="shared" si="4"/>
        <v>228.05603340567441</v>
      </c>
      <c r="AM37" s="59">
        <f t="shared" si="5"/>
        <v>521.38936673900776</v>
      </c>
      <c r="AN37" s="59">
        <f ca="1">AVERAGE(OFFSET($AM$3,0,0,'Données projet'!$E$10+1,1))-AVERAGE(OFFSET($H$3,0,0,'Données projet'!$E$10+1,1))</f>
        <v>287.78657453117694</v>
      </c>
      <c r="AO37" s="59">
        <f t="shared" si="36"/>
        <v>153.31562485362252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2.7042851199954008</v>
      </c>
      <c r="AV37" s="21">
        <f>EXP(-LN(2)/25)*AV36+(1-EXP(-LN(2)/25))/(LN(2)/25)*Calculateur!AQ37*Calculateur!AS37*VLOOKUP('Données projet'!$B$10,Paramètres!$A$1:$I$89,3,0)*0.475*44/12</f>
        <v>5.2192457326394512</v>
      </c>
      <c r="AW37" s="21">
        <f>EXP(-LN(2)/2)*AW36+(1-EXP(-LN(2)/2))/(LN(2)/2)*AQ37*AT37*VLOOKUP('Données projet'!$B$10,Paramètres!$A$1:$I$89,3,0)*0.475*44/12</f>
        <v>2.7760071470753904</v>
      </c>
      <c r="AX37" s="21">
        <f t="shared" si="6"/>
        <v>10.699537999710243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15.48351648351648</v>
      </c>
      <c r="BD37" s="12">
        <f>IF('Données projet'!$A$88&gt;35,BD36+BC37-BL36,IF(A37&lt;'Données projet'!$A$88,$BA$205^A37,IF(A37='Données projet'!$A$88,'Données projet'!$B$88,BD36+BC37-BL36)))</f>
        <v>221.71868131868132</v>
      </c>
      <c r="BE37" s="13">
        <f>BD37*VLOOKUP('Données projet'!$B$11,Paramètres!$A$1:$I$89,3,0)*VLOOKUP('Données projet'!$B$11,Paramètres!$A$1:$I$89,5,0)</f>
        <v>132.58777142857144</v>
      </c>
      <c r="BF37" s="13">
        <f t="shared" si="37"/>
        <v>34.593629659414489</v>
      </c>
      <c r="BG37" s="20">
        <f t="shared" si="7"/>
        <v>291.17427356157549</v>
      </c>
      <c r="BH37" s="59">
        <f t="shared" si="8"/>
        <v>584.5076068949088</v>
      </c>
      <c r="BI37" s="59">
        <f ca="1">AVERAGE(OFFSET($BH$3,0,0,'Données projet'!$E$11+1,1))-AVERAGE(OFFSET($H$3,0,0,'Données projet'!$E$11+1,1))</f>
        <v>250.93905519128998</v>
      </c>
      <c r="BJ37" s="59">
        <f t="shared" si="38"/>
        <v>222.32879462265032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1.1835325325043655</v>
      </c>
      <c r="BQ37" s="21">
        <f>EXP(-LN(2)/25)*BQ36+(1-EXP(-LN(2)/25))/(LN(2)/25)*Calculateur!BL37*Calculateur!BN37*VLOOKUP('Données projet'!$B$11,Paramètres!$A$1:$I$89,3,0)*0.475*44/12</f>
        <v>10.359644949565022</v>
      </c>
      <c r="BR37" s="21">
        <f>EXP(-LN(2)/2)*BR36+(1-EXP(-LN(2)/2))/(LN(2)/2)*BL37*BO37*VLOOKUP('Données projet'!$B$11,Paramètres!$A$1:$I$89,3,0)*0.475*44/12</f>
        <v>0.47184463771161722</v>
      </c>
      <c r="BS37" s="22">
        <f t="shared" si="9"/>
        <v>12.015022119781005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12.74038461538462</v>
      </c>
      <c r="BY37" s="12">
        <f>IF('Données projet'!$A$114&gt;35,BY36+BX37-CG36,IF(A37&lt;'Données projet'!$A$114,$BV$205^A37,IF(A37='Données projet'!$A$114,'Données projet'!$B$114,BY36+BX37-CG36)))</f>
        <v>153.63269230769234</v>
      </c>
      <c r="BZ37" s="13">
        <f>BY37*VLOOKUP('Données projet'!$B$12,Paramètres!$A$1:$I$89,3,0)*VLOOKUP('Données projet'!$B$12,Paramètres!$A$1:$I$89,5,0)</f>
        <v>91.872350000000012</v>
      </c>
      <c r="CA37" s="13">
        <f t="shared" si="39"/>
        <v>25.016248165039102</v>
      </c>
      <c r="CB37" s="20">
        <f t="shared" si="10"/>
        <v>203.58097513744312</v>
      </c>
      <c r="CC37" s="59">
        <f t="shared" si="11"/>
        <v>496.9143084707764</v>
      </c>
      <c r="CD37" s="59">
        <f ca="1">AVERAGE(OFFSET($CC$3,0,0,'Données projet'!$E$12+1,1))-AVERAGE(OFFSET($H$3,0,0,'Données projet'!$E$12+1,1))</f>
        <v>179.32848817523677</v>
      </c>
      <c r="CE37" s="59">
        <f t="shared" si="40"/>
        <v>131.3292389103035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11.796500683654681</v>
      </c>
      <c r="CM37" s="21">
        <f>EXP(-LN(2)/2)*CM36+(1-EXP(-LN(2)/2))/(LN(2)/2)*CG37*CJ37*VLOOKUP('Données projet'!$B$12,Paramètres!$A$1:$I$89,3,0)*0.475*44/12</f>
        <v>1.3157173443113577</v>
      </c>
      <c r="CN37" s="22">
        <f t="shared" si="12"/>
        <v>13.112218027966039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>
        <f>VLOOKUP(A37,'Données projet'!$A$139:$I$159,2,0)</f>
        <v>141.78846153846152</v>
      </c>
      <c r="CR37" s="12">
        <f>VLOOKUP(A37,'Données projet'!$A$139:$I$159,9,0)</f>
        <v>8.3413461538461533</v>
      </c>
      <c r="CS37" s="12">
        <f t="array" ref="CS37">INDEX(CR:CR,MIN(IF(ISNUMBER(CR37:CR233),ROW(CR37:CR233),"")))</f>
        <v>8.3413461538461533</v>
      </c>
      <c r="CT37" s="12">
        <f>IF('Données projet'!$A$140&gt;35,CT36+CS37-DB36,IF(A37&lt;'Données projet'!$A$140,$CQ$205^A37,IF(A37='Données projet'!$A$140,'Données projet'!$B$140,CT36+CS37-DB36)))</f>
        <v>141.78846153846155</v>
      </c>
      <c r="CU37" s="17">
        <f>CT37*VLOOKUP('Données projet'!$B$13,Paramètres!$A$1:$I$89,3,0)*VLOOKUP('Données projet'!$B$13,Paramètres!$A$1:$I$89,5,0)</f>
        <v>128.2902</v>
      </c>
      <c r="CV37" s="13">
        <f t="shared" si="41"/>
        <v>33.600970839600329</v>
      </c>
      <c r="CW37" s="20">
        <f t="shared" si="13"/>
        <v>281.96045587897055</v>
      </c>
      <c r="CX37" s="59">
        <f t="shared" si="14"/>
        <v>575.29378921230386</v>
      </c>
      <c r="CY37" s="59">
        <f ca="1">AVERAGE(OFFSET($CX$3,0,0,'Données projet'!$E$13+1,1))-AVERAGE(OFFSET($H$3,0,0,'Données projet'!$E$13+1,1))</f>
        <v>309.07357540707869</v>
      </c>
      <c r="CZ37" s="59">
        <f t="shared" si="42"/>
        <v>155.9593924683299</v>
      </c>
      <c r="DA37" s="15">
        <f>IF(ISNA(VLOOKUP(A37,'Données projet'!$A$139:$I$159,3,0)),0,VLOOKUP(A37,'Données projet'!$A$139:$I$159,3,0))</f>
        <v>1</v>
      </c>
      <c r="DB37" s="15">
        <f>IF(ISNA(VLOOKUP(A37,'Données projet'!$A$139:$I$159,4,0)),0,VLOOKUP(A37,'Données projet'!$A$139:$I$159,4,0))</f>
        <v>31.615384615384613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8.1</v>
      </c>
      <c r="DO37" s="12">
        <f>IF('Données projet'!$A$166&gt;35,DO36+DN37-DW36,IF(A37&lt;'Données projet'!$A$166,$DL$205^A37,IF(A37='Données projet'!$A$166,'Données projet'!$B$166,DO36+DN37-DW36)))</f>
        <v>143.39999999999989</v>
      </c>
      <c r="DP37" s="17">
        <f>DO37*VLOOKUP('Données projet'!$B$14,Paramètres!$A$1:$I$89,3,0)*VLOOKUP('Données projet'!$B$14,Paramètres!$A$1:$I$89,5,0)</f>
        <v>125.27423999999992</v>
      </c>
      <c r="DQ37" s="13">
        <f t="shared" si="43"/>
        <v>32.902032783270968</v>
      </c>
      <c r="DR37" s="20">
        <f t="shared" si="16"/>
        <v>275.49034176419678</v>
      </c>
      <c r="DS37" s="59">
        <f t="shared" si="17"/>
        <v>568.8236750975301</v>
      </c>
      <c r="DT37" s="59">
        <f ca="1">AVERAGE(OFFSET($DS$3,0,0,'Données projet'!$E$14+1,1))-AVERAGE(OFFSET($H$3,0,0,'Données projet'!$E$14+1,1))</f>
        <v>210.07838338464626</v>
      </c>
      <c r="DU37" s="59">
        <f t="shared" si="44"/>
        <v>241.76003724236273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4.896551101807523</v>
      </c>
      <c r="EB37" s="21">
        <f>EXP(-LN(2)/25)*EB36+(1-EXP(-LN(2)/25))/(LN(2)/25)*Calculateur!DW37*Calculateur!DY37*VLOOKUP('Données projet'!$B$14,Paramètres!$A$1:$I$89,3,0)*0.475*44/12</f>
        <v>12.136456660692142</v>
      </c>
      <c r="EC37" s="21">
        <f>EXP(-LN(2)/2)*EC36+(1-EXP(-LN(2)/2))/(LN(2)/2)*DW37*DZ37*VLOOKUP('Données projet'!$B$14,Paramètres!$A$1:$I$89,3,0)*0.475*44/12</f>
        <v>3.9928561177123103</v>
      </c>
      <c r="ED37" s="22">
        <f t="shared" si="18"/>
        <v>21.025863880211975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13.3</v>
      </c>
      <c r="EJ37" s="12">
        <f>IF('Données projet'!$A$192&gt;35,EJ36+EI37-ER36,IF(A37&lt;'Données projet'!$A$192,$EG$205^A37,IF(A37='Données projet'!$A$192,'Données projet'!$B$192,EJ36+EI37-ER36)))</f>
        <v>203.2000000000001</v>
      </c>
      <c r="EK37" s="17">
        <f>EJ37*VLOOKUP('Données projet'!$B$15,Paramètres!$A$1:$I$89,3,0)*VLOOKUP('Données projet'!$B$15,Paramètres!$A$1:$I$89,5,0)</f>
        <v>126.79680000000006</v>
      </c>
      <c r="EL37" s="13">
        <f t="shared" si="45"/>
        <v>33.25512256626952</v>
      </c>
      <c r="EM37" s="20">
        <f t="shared" si="19"/>
        <v>278.7570984695862</v>
      </c>
      <c r="EN37" s="59">
        <f t="shared" si="20"/>
        <v>572.09043180291951</v>
      </c>
      <c r="EO37" s="59">
        <f ca="1">AVERAGE(OFFSET($EN$3,0,0,'Données projet'!$E$15+1,1))-AVERAGE(OFFSET($H$3,0,0,'Données projet'!$E$15+1,1))</f>
        <v>209.93608079129638</v>
      </c>
      <c r="EP37" s="59">
        <f t="shared" si="46"/>
        <v>240.15652428700969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6.4237525649943752</v>
      </c>
      <c r="EW37" s="21">
        <f>EXP(-LN(2)/25)*EW36+(1-EXP(-LN(2)/25))/(LN(2)/25)*Calculateur!ER37*Calculateur!ET37*VLOOKUP('Données projet'!$B$15,Paramètres!$A$1:$I$89,3,0)*0.475*44/12</f>
        <v>18.605699241923226</v>
      </c>
      <c r="EX37" s="21">
        <f>EXP(-LN(2)/2)*EX36+(1-EXP(-LN(2)/2))/(LN(2)/2)*ER37*EU37*VLOOKUP('Données projet'!$B$15,Paramètres!$A$1:$I$89,3,0)*0.475*44/12</f>
        <v>5.0477038759287725</v>
      </c>
      <c r="EY37" s="22">
        <f t="shared" si="21"/>
        <v>30.077155682846371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10.199999999999999</v>
      </c>
      <c r="N38" s="13">
        <f>IF('Données projet'!$A$36&gt;35,N37+M38-V37,IF(A38&lt;'Données projet'!$A$36,$K$205^A38,IF(A38='Données projet'!$A$36,'Données projet'!$B$36,N37+M38-V37)))</f>
        <v>168.99999999999991</v>
      </c>
      <c r="O38" s="13">
        <f>N38*VLOOKUP('Données projet'!$B$9,Paramètres!$A$1:$I$89,3,0)*VLOOKUP('Données projet'!$B$9,Paramètres!$A$1:$I$89,5,0)</f>
        <v>134.45639999999995</v>
      </c>
      <c r="P38" s="13">
        <f t="shared" si="33"/>
        <v>35.024073835162383</v>
      </c>
      <c r="Q38" s="20">
        <f t="shared" si="53"/>
        <v>295.17849192957436</v>
      </c>
      <c r="R38" s="59">
        <f t="shared" si="0"/>
        <v>588.51182526290768</v>
      </c>
      <c r="S38" s="59">
        <f ca="1">AVERAGE(OFFSET($R$3,0,0,'Données projet'!$E$9+1,1))-AVERAGE(OFFSET($H$3,0,0,'Données projet'!$E$9+1,1))</f>
        <v>199.58763537752952</v>
      </c>
      <c r="T38" s="59">
        <f t="shared" si="34"/>
        <v>242.62852778451929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8.9518509578072489</v>
      </c>
      <c r="AB38" s="21">
        <f>EXP(-LN(2)/2)*AB37+(1-EXP(-LN(2)/2))/(LN(2)/2)*V38*Y38*VLOOKUP('Données projet'!$B$9,Paramètres!$A$1:$I$89,3,0)*0.475*44/12</f>
        <v>1.902392728995254</v>
      </c>
      <c r="AC38" s="22">
        <f t="shared" si="3"/>
        <v>10.854243686802503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12.9</v>
      </c>
      <c r="AI38" s="13">
        <f>IF('Données projet'!$A$62&gt;35,AI37+AH38-AQ37,IF(A38&lt;'Données projet'!$A$62,$AF$205^A38,IF(A38='Données projet'!$A$62,'Données projet'!$B$62,AI37+AH38-AQ37)))</f>
        <v>185.49999999999997</v>
      </c>
      <c r="AJ38" s="13">
        <f>AI38*VLOOKUP('Données projet'!$B$10,Paramètres!$A$1:$I$89,3,0)*VLOOKUP('Données projet'!$B$10,Paramètres!$A$1:$I$89,5,0)</f>
        <v>110.92899999999999</v>
      </c>
      <c r="AK38" s="13">
        <f t="shared" si="35"/>
        <v>29.549756970192629</v>
      </c>
      <c r="AL38" s="20">
        <f t="shared" si="4"/>
        <v>244.66716838975216</v>
      </c>
      <c r="AM38" s="59">
        <f t="shared" si="5"/>
        <v>538.00050172308545</v>
      </c>
      <c r="AN38" s="59">
        <f ca="1">AVERAGE(OFFSET($AM$3,0,0,'Données projet'!$E$10+1,1))-AVERAGE(OFFSET($H$3,0,0,'Données projet'!$E$10+1,1))</f>
        <v>287.78657453117694</v>
      </c>
      <c r="AO38" s="59">
        <f t="shared" si="36"/>
        <v>153.31562485362252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2.6512557382433446</v>
      </c>
      <c r="AV38" s="21">
        <f>EXP(-LN(2)/25)*AV37+(1-EXP(-LN(2)/25))/(LN(2)/25)*Calculateur!AQ38*Calculateur!AS38*VLOOKUP('Données projet'!$B$10,Paramètres!$A$1:$I$89,3,0)*0.475*44/12</f>
        <v>5.0765251836122207</v>
      </c>
      <c r="AW38" s="21">
        <f>EXP(-LN(2)/2)*AW37+(1-EXP(-LN(2)/2))/(LN(2)/2)*AQ38*AT38*VLOOKUP('Données projet'!$B$10,Paramètres!$A$1:$I$89,3,0)*0.475*44/12</f>
        <v>1.9629334783193302</v>
      </c>
      <c r="AX38" s="21">
        <f t="shared" si="6"/>
        <v>9.6907144001748957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15.48351648351648</v>
      </c>
      <c r="BD38" s="12">
        <f>IF('Données projet'!$A$88&gt;35,BD37+BC38-BL37,IF(A38&lt;'Données projet'!$A$88,$BA$205^A38,IF(A38='Données projet'!$A$88,'Données projet'!$B$88,BD37+BC38-BL37)))</f>
        <v>237.20219780219779</v>
      </c>
      <c r="BE38" s="13">
        <f>BD38*VLOOKUP('Données projet'!$B$11,Paramètres!$A$1:$I$89,3,0)*VLOOKUP('Données projet'!$B$11,Paramètres!$A$1:$I$89,5,0)</f>
        <v>141.84691428571429</v>
      </c>
      <c r="BF38" s="13">
        <f t="shared" si="37"/>
        <v>36.719784353381193</v>
      </c>
      <c r="BG38" s="20">
        <f t="shared" si="7"/>
        <v>311.00366679642457</v>
      </c>
      <c r="BH38" s="59">
        <f t="shared" si="8"/>
        <v>604.33700012975783</v>
      </c>
      <c r="BI38" s="59">
        <f ca="1">AVERAGE(OFFSET($BH$3,0,0,'Données projet'!$E$11+1,1))-AVERAGE(OFFSET($H$3,0,0,'Données projet'!$E$11+1,1))</f>
        <v>250.93905519128998</v>
      </c>
      <c r="BJ38" s="59">
        <f t="shared" si="38"/>
        <v>222.32879462265032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1.1603241814255196</v>
      </c>
      <c r="BQ38" s="21">
        <f>EXP(-LN(2)/25)*BQ37+(1-EXP(-LN(2)/25))/(LN(2)/25)*Calculateur!BL38*Calculateur!BN38*VLOOKUP('Données projet'!$B$11,Paramètres!$A$1:$I$89,3,0)*0.475*44/12</f>
        <v>10.076359913629116</v>
      </c>
      <c r="BR38" s="21">
        <f>EXP(-LN(2)/2)*BR37+(1-EXP(-LN(2)/2))/(LN(2)/2)*BL38*BO38*VLOOKUP('Données projet'!$B$11,Paramètres!$A$1:$I$89,3,0)*0.475*44/12</f>
        <v>0.33364454299239432</v>
      </c>
      <c r="BS38" s="22">
        <f t="shared" si="9"/>
        <v>11.570328638047028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12.74038461538462</v>
      </c>
      <c r="BY38" s="12">
        <f>IF('Données projet'!$A$114&gt;35,BY37+BX38-CG37,IF(A38&lt;'Données projet'!$A$114,$BV$205^A38,IF(A38='Données projet'!$A$114,'Données projet'!$B$114,BY37+BX38-CG37)))</f>
        <v>166.37307692307695</v>
      </c>
      <c r="BZ38" s="13">
        <f>BY38*VLOOKUP('Données projet'!$B$12,Paramètres!$A$1:$I$89,3,0)*VLOOKUP('Données projet'!$B$12,Paramètres!$A$1:$I$89,5,0)</f>
        <v>99.491100000000031</v>
      </c>
      <c r="CA38" s="13">
        <f t="shared" si="39"/>
        <v>26.84072316435665</v>
      </c>
      <c r="CB38" s="20">
        <f t="shared" si="10"/>
        <v>220.02792534458789</v>
      </c>
      <c r="CC38" s="59">
        <f t="shared" si="11"/>
        <v>513.36125867792123</v>
      </c>
      <c r="CD38" s="59">
        <f ca="1">AVERAGE(OFFSET($CC$3,0,0,'Données projet'!$E$12+1,1))-AVERAGE(OFFSET($H$3,0,0,'Données projet'!$E$12+1,1))</f>
        <v>179.32848817523677</v>
      </c>
      <c r="CE38" s="59">
        <f t="shared" si="40"/>
        <v>131.3292389103035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11.473924752109134</v>
      </c>
      <c r="CM38" s="21">
        <f>EXP(-LN(2)/2)*CM37+(1-EXP(-LN(2)/2))/(LN(2)/2)*CG38*CJ38*VLOOKUP('Données projet'!$B$12,Paramètres!$A$1:$I$89,3,0)*0.475*44/12</f>
        <v>0.93035265628731667</v>
      </c>
      <c r="CN38" s="22">
        <f t="shared" si="12"/>
        <v>12.404277408396451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9.8108974358974379</v>
      </c>
      <c r="CT38" s="12">
        <f>IF('Données projet'!$A$140&gt;35,CT37+CS38-DB37,IF(A38&lt;'Données projet'!$A$140,$CQ$205^A38,IF(A38='Données projet'!$A$140,'Données projet'!$B$140,CT37+CS38-DB37)))</f>
        <v>119.98397435897436</v>
      </c>
      <c r="CU38" s="17">
        <f>CT38*VLOOKUP('Données projet'!$B$13,Paramètres!$A$1:$I$89,3,0)*VLOOKUP('Données projet'!$B$13,Paramètres!$A$1:$I$89,5,0)</f>
        <v>108.56150000000001</v>
      </c>
      <c r="CV38" s="13">
        <f t="shared" si="41"/>
        <v>28.9918035361205</v>
      </c>
      <c r="CW38" s="20">
        <f t="shared" si="13"/>
        <v>239.57200365874317</v>
      </c>
      <c r="CX38" s="59">
        <f t="shared" si="14"/>
        <v>532.90533699207651</v>
      </c>
      <c r="CY38" s="59">
        <f ca="1">AVERAGE(OFFSET($CX$3,0,0,'Données projet'!$E$13+1,1))-AVERAGE(OFFSET($H$3,0,0,'Données projet'!$E$13+1,1))</f>
        <v>309.07357540707869</v>
      </c>
      <c r="CZ38" s="59">
        <f t="shared" si="42"/>
        <v>155.9593924683299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8.1</v>
      </c>
      <c r="DO38" s="12">
        <f>IF('Données projet'!$A$166&gt;35,DO37+DN38-DW37,IF(A38&lt;'Données projet'!$A$166,$DL$205^A38,IF(A38='Données projet'!$A$166,'Données projet'!$B$166,DO37+DN38-DW37)))</f>
        <v>151.49999999999989</v>
      </c>
      <c r="DP38" s="17">
        <f>DO38*VLOOKUP('Données projet'!$B$14,Paramètres!$A$1:$I$89,3,0)*VLOOKUP('Données projet'!$B$14,Paramètres!$A$1:$I$89,5,0)</f>
        <v>132.35039999999992</v>
      </c>
      <c r="DQ38" s="13">
        <f t="shared" si="43"/>
        <v>34.538900082505833</v>
      </c>
      <c r="DR38" s="20">
        <f t="shared" si="16"/>
        <v>290.66553097703087</v>
      </c>
      <c r="DS38" s="59">
        <f t="shared" si="17"/>
        <v>583.99886431036418</v>
      </c>
      <c r="DT38" s="59">
        <f ca="1">AVERAGE(OFFSET($DS$3,0,0,'Données projet'!$E$14+1,1))-AVERAGE(OFFSET($H$3,0,0,'Données projet'!$E$14+1,1))</f>
        <v>210.07838338464626</v>
      </c>
      <c r="DU38" s="59">
        <f t="shared" si="44"/>
        <v>241.76003724236273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4.8005327213023472</v>
      </c>
      <c r="EB38" s="21">
        <f>EXP(-LN(2)/25)*EB37+(1-EXP(-LN(2)/25))/(LN(2)/25)*Calculateur!DW38*Calculateur!DY38*VLOOKUP('Données projet'!$B$14,Paramètres!$A$1:$I$89,3,0)*0.475*44/12</f>
        <v>11.804584615076998</v>
      </c>
      <c r="EC38" s="21">
        <f>EXP(-LN(2)/2)*EC37+(1-EXP(-LN(2)/2))/(LN(2)/2)*DW38*DZ38*VLOOKUP('Données projet'!$B$14,Paramètres!$A$1:$I$89,3,0)*0.475*44/12</f>
        <v>2.8233756371365666</v>
      </c>
      <c r="ED38" s="22">
        <f t="shared" si="18"/>
        <v>19.428492973515912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13.3</v>
      </c>
      <c r="EJ38" s="12">
        <f>IF('Données projet'!$A$192&gt;35,EJ37+EI38-ER37,IF(A38&lt;'Données projet'!$A$192,$EG$205^A38,IF(A38='Données projet'!$A$192,'Données projet'!$B$192,EJ37+EI38-ER37)))</f>
        <v>216.50000000000011</v>
      </c>
      <c r="EK38" s="17">
        <f>EJ38*VLOOKUP('Données projet'!$B$15,Paramètres!$A$1:$I$89,3,0)*VLOOKUP('Données projet'!$B$15,Paramètres!$A$1:$I$89,5,0)</f>
        <v>135.09600000000006</v>
      </c>
      <c r="EL38" s="13">
        <f t="shared" si="45"/>
        <v>35.171247228284784</v>
      </c>
      <c r="EM38" s="20">
        <f t="shared" si="19"/>
        <v>296.54878892259609</v>
      </c>
      <c r="EN38" s="59">
        <f t="shared" si="20"/>
        <v>589.8821222559294</v>
      </c>
      <c r="EO38" s="59">
        <f ca="1">AVERAGE(OFFSET($EN$3,0,0,'Données projet'!$E$15+1,1))-AVERAGE(OFFSET($H$3,0,0,'Données projet'!$E$15+1,1))</f>
        <v>209.93608079129638</v>
      </c>
      <c r="EP38" s="59">
        <f t="shared" si="46"/>
        <v>240.15652428700969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6.2977866952970194</v>
      </c>
      <c r="EW38" s="21">
        <f>EXP(-LN(2)/25)*EW37+(1-EXP(-LN(2)/25))/(LN(2)/25)*Calculateur!ER38*Calculateur!ET38*VLOOKUP('Données projet'!$B$15,Paramètres!$A$1:$I$89,3,0)*0.475*44/12</f>
        <v>18.096925417721636</v>
      </c>
      <c r="EX38" s="21">
        <f>EXP(-LN(2)/2)*EX37+(1-EXP(-LN(2)/2))/(LN(2)/2)*ER38*EU38*VLOOKUP('Données projet'!$B$15,Paramètres!$A$1:$I$89,3,0)*0.475*44/12</f>
        <v>3.5692656400908547</v>
      </c>
      <c r="EY38" s="22">
        <f t="shared" si="21"/>
        <v>27.963977753109511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10.199999999999999</v>
      </c>
      <c r="N39" s="13">
        <f>IF('Données projet'!$A$36&gt;35,N38+M39-V38,IF(A39&lt;'Données projet'!$A$36,$K$205^A39,IF(A39='Données projet'!$A$36,'Données projet'!$B$36,N38+M39-V38)))</f>
        <v>179.1999999999999</v>
      </c>
      <c r="O39" s="13">
        <f>N39*VLOOKUP('Données projet'!$B$9,Paramètres!$A$1:$I$89,3,0)*VLOOKUP('Données projet'!$B$9,Paramètres!$A$1:$I$89,5,0)</f>
        <v>142.57151999999994</v>
      </c>
      <c r="P39" s="13">
        <f t="shared" si="33"/>
        <v>36.88547912245555</v>
      </c>
      <c r="Q39" s="20">
        <f t="shared" si="53"/>
        <v>312.55427347160997</v>
      </c>
      <c r="R39" s="59">
        <f t="shared" si="0"/>
        <v>605.88760680494329</v>
      </c>
      <c r="S39" s="59">
        <f ca="1">AVERAGE(OFFSET($R$3,0,0,'Données projet'!$E$9+1,1))-AVERAGE(OFFSET($H$3,0,0,'Données projet'!$E$9+1,1))</f>
        <v>199.58763537752952</v>
      </c>
      <c r="T39" s="59">
        <f t="shared" si="34"/>
        <v>242.62852778451929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8.7070621226086278</v>
      </c>
      <c r="AB39" s="21">
        <f>EXP(-LN(2)/2)*AB38+(1-EXP(-LN(2)/2))/(LN(2)/2)*V39*Y39*VLOOKUP('Données projet'!$B$9,Paramètres!$A$1:$I$89,3,0)*0.475*44/12</f>
        <v>1.3451947991525262</v>
      </c>
      <c r="AC39" s="22">
        <f t="shared" si="3"/>
        <v>10.052256921761154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12.9</v>
      </c>
      <c r="AI39" s="13">
        <f>IF('Données projet'!$A$62&gt;35,AI38+AH39-AQ38,IF(A39&lt;'Données projet'!$A$62,$AF$205^A39,IF(A39='Données projet'!$A$62,'Données projet'!$B$62,AI38+AH39-AQ38)))</f>
        <v>198.39999999999998</v>
      </c>
      <c r="AJ39" s="13">
        <f>AI39*VLOOKUP('Données projet'!$B$10,Paramètres!$A$1:$I$89,3,0)*VLOOKUP('Données projet'!$B$10,Paramètres!$A$1:$I$89,5,0)</f>
        <v>118.64319999999999</v>
      </c>
      <c r="AK39" s="13">
        <f t="shared" si="35"/>
        <v>31.35833885368346</v>
      </c>
      <c r="AL39" s="20">
        <f t="shared" si="4"/>
        <v>261.25268017016532</v>
      </c>
      <c r="AM39" s="59">
        <f t="shared" si="5"/>
        <v>554.58601350349863</v>
      </c>
      <c r="AN39" s="59">
        <f ca="1">AVERAGE(OFFSET($AM$3,0,0,'Données projet'!$E$10+1,1))-AVERAGE(OFFSET($H$3,0,0,'Données projet'!$E$10+1,1))</f>
        <v>287.78657453117694</v>
      </c>
      <c r="AO39" s="59">
        <f t="shared" si="36"/>
        <v>153.31562485362252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2.599266230322717</v>
      </c>
      <c r="AV39" s="21">
        <f>EXP(-LN(2)/25)*AV38+(1-EXP(-LN(2)/25))/(LN(2)/25)*Calculateur!AQ39*Calculateur!AS39*VLOOKUP('Données projet'!$B$10,Paramètres!$A$1:$I$89,3,0)*0.475*44/12</f>
        <v>4.9377073355034877</v>
      </c>
      <c r="AW39" s="21">
        <f>EXP(-LN(2)/2)*AW38+(1-EXP(-LN(2)/2))/(LN(2)/2)*AQ39*AT39*VLOOKUP('Données projet'!$B$10,Paramètres!$A$1:$I$89,3,0)*0.475*44/12</f>
        <v>1.3880035735376954</v>
      </c>
      <c r="AX39" s="21">
        <f t="shared" si="6"/>
        <v>8.9249771393639001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15.48351648351648</v>
      </c>
      <c r="BD39" s="12">
        <f>IF('Données projet'!$A$88&gt;35,BD38+BC39-BL38,IF(A39&lt;'Données projet'!$A$88,$BA$205^A39,IF(A39='Données projet'!$A$88,'Données projet'!$B$88,BD38+BC39-BL38)))</f>
        <v>252.68571428571425</v>
      </c>
      <c r="BE39" s="13">
        <f>BD39*VLOOKUP('Données projet'!$B$11,Paramètres!$A$1:$I$89,3,0)*VLOOKUP('Données projet'!$B$11,Paramètres!$A$1:$I$89,5,0)</f>
        <v>151.10605714285714</v>
      </c>
      <c r="BF39" s="13">
        <f t="shared" si="37"/>
        <v>38.829833501111224</v>
      </c>
      <c r="BG39" s="20">
        <f t="shared" si="7"/>
        <v>330.80500953824486</v>
      </c>
      <c r="BH39" s="59">
        <f t="shared" si="8"/>
        <v>624.13834287157817</v>
      </c>
      <c r="BI39" s="59">
        <f ca="1">AVERAGE(OFFSET($BH$3,0,0,'Données projet'!$E$11+1,1))-AVERAGE(OFFSET($H$3,0,0,'Données projet'!$E$11+1,1))</f>
        <v>250.93905519128998</v>
      </c>
      <c r="BJ39" s="59">
        <f t="shared" si="38"/>
        <v>222.32879462265032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1.1375709319556335</v>
      </c>
      <c r="BQ39" s="21">
        <f>EXP(-LN(2)/25)*BQ38+(1-EXP(-LN(2)/25))/(LN(2)/25)*Calculateur!BL39*Calculateur!BN39*VLOOKUP('Données projet'!$B$11,Paramètres!$A$1:$I$89,3,0)*0.475*44/12</f>
        <v>9.800821321898189</v>
      </c>
      <c r="BR39" s="21">
        <f>EXP(-LN(2)/2)*BR38+(1-EXP(-LN(2)/2))/(LN(2)/2)*BL39*BO39*VLOOKUP('Données projet'!$B$11,Paramètres!$A$1:$I$89,3,0)*0.475*44/12</f>
        <v>0.23592231885580864</v>
      </c>
      <c r="BS39" s="22">
        <f t="shared" si="9"/>
        <v>11.17431457270963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12.74038461538462</v>
      </c>
      <c r="BY39" s="12">
        <f>IF('Données projet'!$A$114&gt;35,BY38+BX39-CG38,IF(A39&lt;'Données projet'!$A$114,$BV$205^A39,IF(A39='Données projet'!$A$114,'Données projet'!$B$114,BY38+BX39-CG38)))</f>
        <v>179.11346153846156</v>
      </c>
      <c r="BZ39" s="13">
        <f>BY39*VLOOKUP('Données projet'!$B$12,Paramètres!$A$1:$I$89,3,0)*VLOOKUP('Données projet'!$B$12,Paramètres!$A$1:$I$89,5,0)</f>
        <v>107.10985000000002</v>
      </c>
      <c r="CA39" s="13">
        <f t="shared" si="39"/>
        <v>28.64899110170736</v>
      </c>
      <c r="CB39" s="20">
        <f t="shared" si="10"/>
        <v>236.44664825214033</v>
      </c>
      <c r="CC39" s="59">
        <f t="shared" si="11"/>
        <v>529.77998158547371</v>
      </c>
      <c r="CD39" s="59">
        <f ca="1">AVERAGE(OFFSET($CC$3,0,0,'Données projet'!$E$12+1,1))-AVERAGE(OFFSET($H$3,0,0,'Données projet'!$E$12+1,1))</f>
        <v>179.32848817523677</v>
      </c>
      <c r="CE39" s="59">
        <f t="shared" si="40"/>
        <v>131.3292389103035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11.160169676375231</v>
      </c>
      <c r="CM39" s="21">
        <f>EXP(-LN(2)/2)*CM38+(1-EXP(-LN(2)/2))/(LN(2)/2)*CG39*CJ39*VLOOKUP('Données projet'!$B$12,Paramètres!$A$1:$I$89,3,0)*0.475*44/12</f>
        <v>0.65785867215567895</v>
      </c>
      <c r="CN39" s="22">
        <f t="shared" si="12"/>
        <v>11.818028348530911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9.8108974358974379</v>
      </c>
      <c r="CT39" s="12">
        <f>IF('Données projet'!$A$140&gt;35,CT38+CS39-DB38,IF(A39&lt;'Données projet'!$A$140,$CQ$205^A39,IF(A39='Données projet'!$A$140,'Données projet'!$B$140,CT38+CS39-DB38)))</f>
        <v>129.7948717948718</v>
      </c>
      <c r="CU39" s="17">
        <f>CT39*VLOOKUP('Données projet'!$B$13,Paramètres!$A$1:$I$89,3,0)*VLOOKUP('Données projet'!$B$13,Paramètres!$A$1:$I$89,5,0)</f>
        <v>117.4384</v>
      </c>
      <c r="CV39" s="13">
        <f t="shared" si="41"/>
        <v>31.076799937563745</v>
      </c>
      <c r="CW39" s="20">
        <f t="shared" si="13"/>
        <v>258.66397322459017</v>
      </c>
      <c r="CX39" s="59">
        <f t="shared" si="14"/>
        <v>551.99730655792348</v>
      </c>
      <c r="CY39" s="59">
        <f ca="1">AVERAGE(OFFSET($CX$3,0,0,'Données projet'!$E$13+1,1))-AVERAGE(OFFSET($H$3,0,0,'Données projet'!$E$13+1,1))</f>
        <v>309.07357540707869</v>
      </c>
      <c r="CZ39" s="59">
        <f t="shared" si="42"/>
        <v>155.9593924683299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8.1</v>
      </c>
      <c r="DO39" s="12">
        <f>IF('Données projet'!$A$166&gt;35,DO38+DN39-DW38,IF(A39&lt;'Données projet'!$A$166,$DL$205^A39,IF(A39='Données projet'!$A$166,'Données projet'!$B$166,DO38+DN39-DW38)))</f>
        <v>159.59999999999988</v>
      </c>
      <c r="DP39" s="17">
        <f>DO39*VLOOKUP('Données projet'!$B$14,Paramètres!$A$1:$I$89,3,0)*VLOOKUP('Données projet'!$B$14,Paramètres!$A$1:$I$89,5,0)</f>
        <v>139.42655999999991</v>
      </c>
      <c r="DQ39" s="13">
        <f t="shared" si="43"/>
        <v>36.165607079455789</v>
      </c>
      <c r="DR39" s="20">
        <f t="shared" si="16"/>
        <v>305.82302433005196</v>
      </c>
      <c r="DS39" s="59">
        <f t="shared" si="17"/>
        <v>599.15635766338528</v>
      </c>
      <c r="DT39" s="59">
        <f ca="1">AVERAGE(OFFSET($DS$3,0,0,'Données projet'!$E$14+1,1))-AVERAGE(OFFSET($H$3,0,0,'Données projet'!$E$14+1,1))</f>
        <v>210.07838338464626</v>
      </c>
      <c r="DU39" s="59">
        <f t="shared" si="44"/>
        <v>241.76003724236273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4.7063972026734486</v>
      </c>
      <c r="EB39" s="21">
        <f>EXP(-LN(2)/25)*EB38+(1-EXP(-LN(2)/25))/(LN(2)/25)*Calculateur!DW39*Calculateur!DY39*VLOOKUP('Données projet'!$B$14,Paramètres!$A$1:$I$89,3,0)*0.475*44/12</f>
        <v>11.481787628001593</v>
      </c>
      <c r="EC39" s="21">
        <f>EXP(-LN(2)/2)*EC38+(1-EXP(-LN(2)/2))/(LN(2)/2)*DW39*DZ39*VLOOKUP('Données projet'!$B$14,Paramètres!$A$1:$I$89,3,0)*0.475*44/12</f>
        <v>1.9964280588561556</v>
      </c>
      <c r="ED39" s="22">
        <f t="shared" si="18"/>
        <v>18.184612889531198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13.3</v>
      </c>
      <c r="EJ39" s="12">
        <f>IF('Données projet'!$A$192&gt;35,EJ38+EI39-ER38,IF(A39&lt;'Données projet'!$A$192,$EG$205^A39,IF(A39='Données projet'!$A$192,'Données projet'!$B$192,EJ38+EI39-ER38)))</f>
        <v>229.80000000000013</v>
      </c>
      <c r="EK39" s="17">
        <f>EJ39*VLOOKUP('Données projet'!$B$15,Paramètres!$A$1:$I$89,3,0)*VLOOKUP('Données projet'!$B$15,Paramètres!$A$1:$I$89,5,0)</f>
        <v>143.39520000000007</v>
      </c>
      <c r="EL39" s="13">
        <f t="shared" si="45"/>
        <v>37.073710117899822</v>
      </c>
      <c r="EM39" s="20">
        <f t="shared" si="19"/>
        <v>314.31668512200895</v>
      </c>
      <c r="EN39" s="59">
        <f t="shared" si="20"/>
        <v>607.65001845534221</v>
      </c>
      <c r="EO39" s="59">
        <f ca="1">AVERAGE(OFFSET($EN$3,0,0,'Données projet'!$E$15+1,1))-AVERAGE(OFFSET($H$3,0,0,'Données projet'!$E$15+1,1))</f>
        <v>209.93608079129638</v>
      </c>
      <c r="EP39" s="59">
        <f t="shared" si="46"/>
        <v>240.15652428700969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6.1742909394728347</v>
      </c>
      <c r="EW39" s="21">
        <f>EXP(-LN(2)/25)*EW38+(1-EXP(-LN(2)/25))/(LN(2)/25)*Calculateur!ER39*Calculateur!ET39*VLOOKUP('Données projet'!$B$15,Paramètres!$A$1:$I$89,3,0)*0.475*44/12</f>
        <v>17.602064040498092</v>
      </c>
      <c r="EX39" s="21">
        <f>EXP(-LN(2)/2)*EX38+(1-EXP(-LN(2)/2))/(LN(2)/2)*ER39*EU39*VLOOKUP('Données projet'!$B$15,Paramètres!$A$1:$I$89,3,0)*0.475*44/12</f>
        <v>2.5238519379643867</v>
      </c>
      <c r="EY39" s="22">
        <f t="shared" si="21"/>
        <v>26.300206917935313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10.199999999999999</v>
      </c>
      <c r="N40" s="13">
        <f>IF('Données projet'!$A$36&gt;35,N39+M40-V39,IF(A40&lt;'Données projet'!$A$36,$K$205^A40,IF(A40='Données projet'!$A$36,'Données projet'!$B$36,N39+M40-V39)))</f>
        <v>189.39999999999989</v>
      </c>
      <c r="O40" s="13">
        <f>N40*VLOOKUP('Données projet'!$B$9,Paramètres!$A$1:$I$89,3,0)*VLOOKUP('Données projet'!$B$9,Paramètres!$A$1:$I$89,5,0)</f>
        <v>150.68663999999993</v>
      </c>
      <c r="P40" s="13">
        <f t="shared" si="33"/>
        <v>38.734585523437175</v>
      </c>
      <c r="Q40" s="20">
        <f t="shared" si="53"/>
        <v>329.90863445331962</v>
      </c>
      <c r="R40" s="59">
        <f t="shared" si="0"/>
        <v>623.24196778665294</v>
      </c>
      <c r="S40" s="59">
        <f ca="1">AVERAGE(OFFSET($R$3,0,0,'Données projet'!$E$9+1,1))-AVERAGE(OFFSET($H$3,0,0,'Données projet'!$E$9+1,1))</f>
        <v>199.58763537752952</v>
      </c>
      <c r="T40" s="59">
        <f t="shared" si="34"/>
        <v>242.62852778451929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8.4689670509813979</v>
      </c>
      <c r="AB40" s="21">
        <f>EXP(-LN(2)/2)*AB39+(1-EXP(-LN(2)/2))/(LN(2)/2)*V40*Y40*VLOOKUP('Données projet'!$B$9,Paramètres!$A$1:$I$89,3,0)*0.475*44/12</f>
        <v>0.95119636449762712</v>
      </c>
      <c r="AC40" s="22">
        <f t="shared" si="3"/>
        <v>9.4201634154790241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12.9</v>
      </c>
      <c r="AI40" s="13">
        <f>IF('Données projet'!$A$62&gt;35,AI39+AH40-AQ39,IF(A40&lt;'Données projet'!$A$62,$AF$205^A40,IF(A40='Données projet'!$A$62,'Données projet'!$B$62,AI39+AH40-AQ39)))</f>
        <v>211.29999999999998</v>
      </c>
      <c r="AJ40" s="13">
        <f>AI40*VLOOKUP('Données projet'!$B$10,Paramètres!$A$1:$I$89,3,0)*VLOOKUP('Données projet'!$B$10,Paramètres!$A$1:$I$89,5,0)</f>
        <v>126.3574</v>
      </c>
      <c r="AK40" s="13">
        <f t="shared" si="35"/>
        <v>33.153274282647445</v>
      </c>
      <c r="AL40" s="20">
        <f t="shared" si="4"/>
        <v>277.81442437561094</v>
      </c>
      <c r="AM40" s="59">
        <f t="shared" si="5"/>
        <v>571.14775770894425</v>
      </c>
      <c r="AN40" s="59">
        <f ca="1">AVERAGE(OFFSET($AM$3,0,0,'Données projet'!$E$10+1,1))-AVERAGE(OFFSET($H$3,0,0,'Données projet'!$E$10+1,1))</f>
        <v>287.78657453117694</v>
      </c>
      <c r="AO40" s="59">
        <f t="shared" si="36"/>
        <v>153.31562485362252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2.548296204941944</v>
      </c>
      <c r="AV40" s="21">
        <f>EXP(-LN(2)/25)*AV39+(1-EXP(-LN(2)/25))/(LN(2)/25)*Calculateur!AQ40*Calculateur!AS40*VLOOKUP('Données projet'!$B$10,Paramètres!$A$1:$I$89,3,0)*0.475*44/12</f>
        <v>4.8026854687514016</v>
      </c>
      <c r="AW40" s="21">
        <f>EXP(-LN(2)/2)*AW39+(1-EXP(-LN(2)/2))/(LN(2)/2)*AQ40*AT40*VLOOKUP('Données projet'!$B$10,Paramètres!$A$1:$I$89,3,0)*0.475*44/12</f>
        <v>0.98146673915966531</v>
      </c>
      <c r="AX40" s="21">
        <f t="shared" si="6"/>
        <v>8.3324484128530116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268.16923076923075</v>
      </c>
      <c r="BB40" s="12">
        <f>VLOOKUP(A40,'Données projet'!$A$87:$I$107,9,0)</f>
        <v>15.48351648351648</v>
      </c>
      <c r="BC40" s="12">
        <f t="array" ref="BC40">INDEX(BB:BB,MIN(IF(ISNUMBER(BB40:BB236),ROW(BB40:BB236),"")))</f>
        <v>15.48351648351648</v>
      </c>
      <c r="BD40" s="12">
        <f>IF('Données projet'!$A$88&gt;35,BD39+BC40-BL39,IF(A40&lt;'Données projet'!$A$88,$BA$205^A40,IF(A40='Données projet'!$A$88,'Données projet'!$B$88,BD39+BC40-BL39)))</f>
        <v>268.16923076923075</v>
      </c>
      <c r="BE40" s="13">
        <f>BD40*VLOOKUP('Données projet'!$B$11,Paramètres!$A$1:$I$89,3,0)*VLOOKUP('Données projet'!$B$11,Paramètres!$A$1:$I$89,5,0)</f>
        <v>160.36520000000002</v>
      </c>
      <c r="BF40" s="13">
        <f t="shared" si="37"/>
        <v>40.924876352970031</v>
      </c>
      <c r="BG40" s="20">
        <f t="shared" si="7"/>
        <v>350.58021631475617</v>
      </c>
      <c r="BH40" s="59">
        <f t="shared" si="8"/>
        <v>643.91354964808943</v>
      </c>
      <c r="BI40" s="59">
        <f ca="1">AVERAGE(OFFSET($BH$3,0,0,'Données projet'!$E$11+1,1))-AVERAGE(OFFSET($H$3,0,0,'Données projet'!$E$11+1,1))</f>
        <v>250.93905519128998</v>
      </c>
      <c r="BJ40" s="59">
        <f t="shared" si="38"/>
        <v>222.32879462265032</v>
      </c>
      <c r="BK40" s="15">
        <f>IF(ISNA(VLOOKUP(A40,'Données projet'!$A$87:$I$107,3,0)),0,VLOOKUP(A40,'Données projet'!$A$87:$I$107,3,0))</f>
        <v>4</v>
      </c>
      <c r="BL40" s="15">
        <f>IF(ISNA(VLOOKUP(A40,'Données projet'!$A$87:$I$107,4,0)),0,VLOOKUP(A40,'Données projet'!$A$87:$I$107,4,0))</f>
        <v>43.623076923076923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1.11526385982974</v>
      </c>
      <c r="BQ40" s="21">
        <f>EXP(-LN(2)/25)*BQ39+(1-EXP(-LN(2)/25))/(LN(2)/25)*Calculateur!BL40*Calculateur!BN40*VLOOKUP('Données projet'!$B$11,Paramètres!$A$1:$I$89,3,0)*0.475*44/12</f>
        <v>9.5328173474480895</v>
      </c>
      <c r="BR40" s="21">
        <f>EXP(-LN(2)/2)*BR39+(1-EXP(-LN(2)/2))/(LN(2)/2)*BL40*BO40*VLOOKUP('Données projet'!$B$11,Paramètres!$A$1:$I$89,3,0)*0.475*44/12</f>
        <v>0.16682227149619719</v>
      </c>
      <c r="BS40" s="22">
        <f t="shared" si="9"/>
        <v>10.814903478774028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12.74038461538462</v>
      </c>
      <c r="BY40" s="12">
        <f>IF('Données projet'!$A$114&gt;35,BY39+BX40-CG39,IF(A40&lt;'Données projet'!$A$114,$BV$205^A40,IF(A40='Données projet'!$A$114,'Données projet'!$B$114,BY39+BX40-CG39)))</f>
        <v>191.85384615384618</v>
      </c>
      <c r="BZ40" s="13">
        <f>BY40*VLOOKUP('Données projet'!$B$12,Paramètres!$A$1:$I$89,3,0)*VLOOKUP('Données projet'!$B$12,Paramètres!$A$1:$I$89,5,0)</f>
        <v>114.72860000000003</v>
      </c>
      <c r="CA40" s="13">
        <f t="shared" si="39"/>
        <v>30.442335906087649</v>
      </c>
      <c r="CB40" s="20">
        <f t="shared" si="10"/>
        <v>252.83938003643598</v>
      </c>
      <c r="CC40" s="59">
        <f t="shared" si="11"/>
        <v>546.17271336976933</v>
      </c>
      <c r="CD40" s="59">
        <f ca="1">AVERAGE(OFFSET($CC$3,0,0,'Données projet'!$E$12+1,1))-AVERAGE(OFFSET($H$3,0,0,'Données projet'!$E$12+1,1))</f>
        <v>179.32848817523677</v>
      </c>
      <c r="CE40" s="59">
        <f t="shared" si="40"/>
        <v>131.3292389103035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10.854994249686934</v>
      </c>
      <c r="CM40" s="21">
        <f>EXP(-LN(2)/2)*CM39+(1-EXP(-LN(2)/2))/(LN(2)/2)*CG40*CJ40*VLOOKUP('Données projet'!$B$12,Paramètres!$A$1:$I$89,3,0)*0.475*44/12</f>
        <v>0.46517632814365839</v>
      </c>
      <c r="CN40" s="22">
        <f t="shared" si="12"/>
        <v>11.320170577830591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9.8108974358974379</v>
      </c>
      <c r="CT40" s="12">
        <f>IF('Données projet'!$A$140&gt;35,CT39+CS40-DB39,IF(A40&lt;'Données projet'!$A$140,$CQ$205^A40,IF(A40='Données projet'!$A$140,'Données projet'!$B$140,CT39+CS40-DB39)))</f>
        <v>139.60576923076923</v>
      </c>
      <c r="CU40" s="17">
        <f>CT40*VLOOKUP('Données projet'!$B$13,Paramètres!$A$1:$I$89,3,0)*VLOOKUP('Données projet'!$B$13,Paramètres!$A$1:$I$89,5,0)</f>
        <v>126.31529999999998</v>
      </c>
      <c r="CV40" s="13">
        <f t="shared" si="41"/>
        <v>33.143513784775976</v>
      </c>
      <c r="CW40" s="20">
        <f t="shared" si="13"/>
        <v>277.72410067515142</v>
      </c>
      <c r="CX40" s="59">
        <f t="shared" si="14"/>
        <v>571.05743400848473</v>
      </c>
      <c r="CY40" s="59">
        <f ca="1">AVERAGE(OFFSET($CX$3,0,0,'Données projet'!$E$13+1,1))-AVERAGE(OFFSET($H$3,0,0,'Données projet'!$E$13+1,1))</f>
        <v>309.07357540707869</v>
      </c>
      <c r="CZ40" s="59">
        <f t="shared" si="42"/>
        <v>155.9593924683299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8.1</v>
      </c>
      <c r="DO40" s="12">
        <f>IF('Données projet'!$A$166&gt;35,DO39+DN40-DW39,IF(A40&lt;'Données projet'!$A$166,$DL$205^A40,IF(A40='Données projet'!$A$166,'Données projet'!$B$166,DO39+DN40-DW39)))</f>
        <v>167.69999999999987</v>
      </c>
      <c r="DP40" s="17">
        <f>DO40*VLOOKUP('Données projet'!$B$14,Paramètres!$A$1:$I$89,3,0)*VLOOKUP('Données projet'!$B$14,Paramètres!$A$1:$I$89,5,0)</f>
        <v>146.5027199999999</v>
      </c>
      <c r="DQ40" s="13">
        <f t="shared" si="43"/>
        <v>37.782728258994219</v>
      </c>
      <c r="DR40" s="20">
        <f t="shared" si="16"/>
        <v>320.9638223844147</v>
      </c>
      <c r="DS40" s="59">
        <f t="shared" si="17"/>
        <v>614.29715571774796</v>
      </c>
      <c r="DT40" s="59">
        <f ca="1">AVERAGE(OFFSET($DS$3,0,0,'Données projet'!$E$14+1,1))-AVERAGE(OFFSET($H$3,0,0,'Données projet'!$E$14+1,1))</f>
        <v>210.07838338464626</v>
      </c>
      <c r="DU40" s="59">
        <f t="shared" si="44"/>
        <v>241.76003724236273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4.6141076241478656</v>
      </c>
      <c r="EB40" s="21">
        <f>EXP(-LN(2)/25)*EB39+(1-EXP(-LN(2)/25))/(LN(2)/25)*Calculateur!DW40*Calculateur!DY40*VLOOKUP('Données projet'!$B$14,Paramètres!$A$1:$I$89,3,0)*0.475*44/12</f>
        <v>11.167817541512919</v>
      </c>
      <c r="EC40" s="21">
        <f>EXP(-LN(2)/2)*EC39+(1-EXP(-LN(2)/2))/(LN(2)/2)*DW40*DZ40*VLOOKUP('Données projet'!$B$14,Paramètres!$A$1:$I$89,3,0)*0.475*44/12</f>
        <v>1.4116878185682835</v>
      </c>
      <c r="ED40" s="22">
        <f t="shared" si="18"/>
        <v>17.193612984229066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13.3</v>
      </c>
      <c r="EJ40" s="12">
        <f>IF('Données projet'!$A$192&gt;35,EJ39+EI40-ER39,IF(A40&lt;'Données projet'!$A$192,$EG$205^A40,IF(A40='Données projet'!$A$192,'Données projet'!$B$192,EJ39+EI40-ER39)))</f>
        <v>243.10000000000014</v>
      </c>
      <c r="EK40" s="17">
        <f>EJ40*VLOOKUP('Données projet'!$B$15,Paramètres!$A$1:$I$89,3,0)*VLOOKUP('Données projet'!$B$15,Paramètres!$A$1:$I$89,5,0)</f>
        <v>151.69440000000009</v>
      </c>
      <c r="EL40" s="13">
        <f t="shared" si="45"/>
        <v>38.963392010880654</v>
      </c>
      <c r="EM40" s="20">
        <f t="shared" si="19"/>
        <v>332.06232108561727</v>
      </c>
      <c r="EN40" s="59">
        <f t="shared" si="20"/>
        <v>625.39565441895058</v>
      </c>
      <c r="EO40" s="59">
        <f ca="1">AVERAGE(OFFSET($EN$3,0,0,'Données projet'!$E$15+1,1))-AVERAGE(OFFSET($H$3,0,0,'Données projet'!$E$15+1,1))</f>
        <v>209.93608079129638</v>
      </c>
      <c r="EP40" s="59">
        <f t="shared" si="46"/>
        <v>240.15652428700969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6.0532168600953895</v>
      </c>
      <c r="EW40" s="21">
        <f>EXP(-LN(2)/25)*EW39+(1-EXP(-LN(2)/25))/(LN(2)/25)*Calculateur!ER40*Calculateur!ET40*VLOOKUP('Données projet'!$B$15,Paramètres!$A$1:$I$89,3,0)*0.475*44/12</f>
        <v>17.120734673658355</v>
      </c>
      <c r="EX40" s="21">
        <f>EXP(-LN(2)/2)*EX39+(1-EXP(-LN(2)/2))/(LN(2)/2)*ER40*EU40*VLOOKUP('Données projet'!$B$15,Paramètres!$A$1:$I$89,3,0)*0.475*44/12</f>
        <v>1.7846328200454276</v>
      </c>
      <c r="EY40" s="22">
        <f t="shared" si="21"/>
        <v>24.958584353799171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10.199999999999999</v>
      </c>
      <c r="N41" s="13">
        <f>IF('Données projet'!$A$36&gt;35,N40+M41-V40,IF(A41&lt;'Données projet'!$A$36,$K$205^A41,IF(A41='Données projet'!$A$36,'Données projet'!$B$36,N40+M41-V40)))</f>
        <v>199.59999999999988</v>
      </c>
      <c r="O41" s="13">
        <f>N41*VLOOKUP('Données projet'!$B$9,Paramètres!$A$1:$I$89,3,0)*VLOOKUP('Données projet'!$B$9,Paramètres!$A$1:$I$89,5,0)</f>
        <v>158.80175999999992</v>
      </c>
      <c r="P41" s="13">
        <f t="shared" si="33"/>
        <v>40.572130902159856</v>
      </c>
      <c r="Q41" s="20">
        <f t="shared" si="53"/>
        <v>347.24285998792817</v>
      </c>
      <c r="R41" s="59">
        <f t="shared" si="0"/>
        <v>640.57619332126148</v>
      </c>
      <c r="S41" s="59">
        <f ca="1">AVERAGE(OFFSET($R$3,0,0,'Données projet'!$E$9+1,1))-AVERAGE(OFFSET($H$3,0,0,'Données projet'!$E$9+1,1))</f>
        <v>199.58763537752952</v>
      </c>
      <c r="T41" s="59">
        <f t="shared" si="34"/>
        <v>242.62852778451929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8.2373827016086896</v>
      </c>
      <c r="AB41" s="21">
        <f>EXP(-LN(2)/2)*AB40+(1-EXP(-LN(2)/2))/(LN(2)/2)*V41*Y41*VLOOKUP('Données projet'!$B$9,Paramètres!$A$1:$I$89,3,0)*0.475*44/12</f>
        <v>0.67259739957626319</v>
      </c>
      <c r="AC41" s="22">
        <f t="shared" si="3"/>
        <v>8.9099801011849529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12.9</v>
      </c>
      <c r="AI41" s="13">
        <f>IF('Données projet'!$A$62&gt;35,AI40+AH41-AQ40,IF(A41&lt;'Données projet'!$A$62,$AF$205^A41,IF(A41='Données projet'!$A$62,'Données projet'!$B$62,AI40+AH41-AQ40)))</f>
        <v>224.2</v>
      </c>
      <c r="AJ41" s="13">
        <f>AI41*VLOOKUP('Données projet'!$B$10,Paramètres!$A$1:$I$89,3,0)*VLOOKUP('Données projet'!$B$10,Paramètres!$A$1:$I$89,5,0)</f>
        <v>134.07160000000002</v>
      </c>
      <c r="AK41" s="13">
        <f t="shared" si="35"/>
        <v>34.935491248158634</v>
      </c>
      <c r="AL41" s="20">
        <f t="shared" si="4"/>
        <v>294.35401725720959</v>
      </c>
      <c r="AM41" s="59">
        <f t="shared" si="5"/>
        <v>587.68735059054291</v>
      </c>
      <c r="AN41" s="59">
        <f ca="1">AVERAGE(OFFSET($AM$3,0,0,'Données projet'!$E$10+1,1))-AVERAGE(OFFSET($H$3,0,0,'Données projet'!$E$10+1,1))</f>
        <v>287.78657453117694</v>
      </c>
      <c r="AO41" s="59">
        <f t="shared" si="36"/>
        <v>153.31562485362252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2.4983256706702424</v>
      </c>
      <c r="AV41" s="21">
        <f>EXP(-LN(2)/25)*AV40+(1-EXP(-LN(2)/25))/(LN(2)/25)*Calculateur!AQ41*Calculateur!AS41*VLOOKUP('Données projet'!$B$10,Paramètres!$A$1:$I$89,3,0)*0.475*44/12</f>
        <v>4.6713557820461427</v>
      </c>
      <c r="AW41" s="21">
        <f>EXP(-LN(2)/2)*AW40+(1-EXP(-LN(2)/2))/(LN(2)/2)*AQ41*AT41*VLOOKUP('Données projet'!$B$10,Paramètres!$A$1:$I$89,3,0)*0.475*44/12</f>
        <v>0.69400178676884783</v>
      </c>
      <c r="AX41" s="21">
        <f t="shared" si="6"/>
        <v>7.8636832394852325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15.364102564102568</v>
      </c>
      <c r="BD41" s="12">
        <f>IF('Données projet'!$A$88&gt;35,BD40+BC41-BL40,IF(A41&lt;'Données projet'!$A$88,$BA$205^A41,IF(A41='Données projet'!$A$88,'Données projet'!$B$88,BD40+BC41-BL40)))</f>
        <v>239.91025641025638</v>
      </c>
      <c r="BE41" s="13">
        <f>BD41*VLOOKUP('Données projet'!$B$11,Paramètres!$A$1:$I$89,3,0)*VLOOKUP('Données projet'!$B$11,Paramètres!$A$1:$I$89,5,0)</f>
        <v>143.46633333333332</v>
      </c>
      <c r="BF41" s="13">
        <f t="shared" si="37"/>
        <v>37.089959908428597</v>
      </c>
      <c r="BG41" s="20">
        <f t="shared" si="7"/>
        <v>314.46887739606865</v>
      </c>
      <c r="BH41" s="59">
        <f t="shared" si="8"/>
        <v>607.80221072940196</v>
      </c>
      <c r="BI41" s="59">
        <f ca="1">AVERAGE(OFFSET($BH$3,0,0,'Données projet'!$E$11+1,1))-AVERAGE(OFFSET($H$3,0,0,'Données projet'!$E$11+1,1))</f>
        <v>250.93905519128998</v>
      </c>
      <c r="BJ41" s="59">
        <f t="shared" si="38"/>
        <v>222.32879462265032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1.0933942157822647</v>
      </c>
      <c r="BQ41" s="21">
        <f>EXP(-LN(2)/25)*BQ40+(1-EXP(-LN(2)/25))/(LN(2)/25)*Calculateur!BL41*Calculateur!BN41*VLOOKUP('Données projet'!$B$11,Paramètres!$A$1:$I$89,3,0)*0.475*44/12</f>
        <v>9.2721419557730442</v>
      </c>
      <c r="BR41" s="21">
        <f>EXP(-LN(2)/2)*BR40+(1-EXP(-LN(2)/2))/(LN(2)/2)*BL41*BO41*VLOOKUP('Données projet'!$B$11,Paramètres!$A$1:$I$89,3,0)*0.475*44/12</f>
        <v>0.11796115942790433</v>
      </c>
      <c r="BS41" s="22">
        <f t="shared" si="9"/>
        <v>10.483497330983214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12.74038461538462</v>
      </c>
      <c r="BY41" s="12">
        <f>IF('Données projet'!$A$114&gt;35,BY40+BX41-CG40,IF(A41&lt;'Données projet'!$A$114,$BV$205^A41,IF(A41='Données projet'!$A$114,'Données projet'!$B$114,BY40+BX41-CG40)))</f>
        <v>204.59423076923079</v>
      </c>
      <c r="BZ41" s="13">
        <f>BY41*VLOOKUP('Données projet'!$B$12,Paramètres!$A$1:$I$89,3,0)*VLOOKUP('Données projet'!$B$12,Paramètres!$A$1:$I$89,5,0)</f>
        <v>122.34735000000002</v>
      </c>
      <c r="CA41" s="13">
        <f t="shared" si="39"/>
        <v>32.221861336884544</v>
      </c>
      <c r="CB41" s="20">
        <f t="shared" si="10"/>
        <v>269.20804307840729</v>
      </c>
      <c r="CC41" s="59">
        <f t="shared" si="11"/>
        <v>562.54137641174066</v>
      </c>
      <c r="CD41" s="59">
        <f ca="1">AVERAGE(OFFSET($CC$3,0,0,'Données projet'!$E$12+1,1))-AVERAGE(OFFSET($H$3,0,0,'Données projet'!$E$12+1,1))</f>
        <v>179.32848817523677</v>
      </c>
      <c r="CE41" s="59">
        <f t="shared" si="40"/>
        <v>131.3292389103035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10.558163861089907</v>
      </c>
      <c r="CM41" s="21">
        <f>EXP(-LN(2)/2)*CM40+(1-EXP(-LN(2)/2))/(LN(2)/2)*CG41*CJ41*VLOOKUP('Données projet'!$B$12,Paramètres!$A$1:$I$89,3,0)*0.475*44/12</f>
        <v>0.32892933607783953</v>
      </c>
      <c r="CN41" s="22">
        <f t="shared" si="12"/>
        <v>10.887093197167747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9.8108974358974379</v>
      </c>
      <c r="CT41" s="12">
        <f>IF('Données projet'!$A$140&gt;35,CT40+CS41-DB40,IF(A41&lt;'Données projet'!$A$140,$CQ$205^A41,IF(A41='Données projet'!$A$140,'Données projet'!$B$140,CT40+CS41-DB40)))</f>
        <v>149.41666666666666</v>
      </c>
      <c r="CU41" s="17">
        <f>CT41*VLOOKUP('Données projet'!$B$13,Paramètres!$A$1:$I$89,3,0)*VLOOKUP('Données projet'!$B$13,Paramètres!$A$1:$I$89,5,0)</f>
        <v>135.19219999999999</v>
      </c>
      <c r="CV41" s="13">
        <f t="shared" si="41"/>
        <v>35.193376038491699</v>
      </c>
      <c r="CW41" s="20">
        <f t="shared" si="13"/>
        <v>296.75487826703966</v>
      </c>
      <c r="CX41" s="59">
        <f t="shared" si="14"/>
        <v>590.08821160037292</v>
      </c>
      <c r="CY41" s="59">
        <f ca="1">AVERAGE(OFFSET($CX$3,0,0,'Données projet'!$E$13+1,1))-AVERAGE(OFFSET($H$3,0,0,'Données projet'!$E$13+1,1))</f>
        <v>309.07357540707869</v>
      </c>
      <c r="CZ41" s="59">
        <f t="shared" si="42"/>
        <v>155.9593924683299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8.1</v>
      </c>
      <c r="DO41" s="12">
        <f>IF('Données projet'!$A$166&gt;35,DO40+DN41-DW40,IF(A41&lt;'Données projet'!$A$166,$DL$205^A41,IF(A41='Données projet'!$A$166,'Données projet'!$B$166,DO40+DN41-DW40)))</f>
        <v>175.79999999999987</v>
      </c>
      <c r="DP41" s="17">
        <f>DO41*VLOOKUP('Données projet'!$B$14,Paramètres!$A$1:$I$89,3,0)*VLOOKUP('Données projet'!$B$14,Paramètres!$A$1:$I$89,5,0)</f>
        <v>153.57887999999991</v>
      </c>
      <c r="DQ41" s="13">
        <f t="shared" si="43"/>
        <v>39.390779474606113</v>
      </c>
      <c r="DR41" s="20">
        <f t="shared" si="16"/>
        <v>336.08882358493878</v>
      </c>
      <c r="DS41" s="59">
        <f t="shared" si="17"/>
        <v>629.42215691827209</v>
      </c>
      <c r="DT41" s="59">
        <f ca="1">AVERAGE(OFFSET($DS$3,0,0,'Données projet'!$E$14+1,1))-AVERAGE(OFFSET($H$3,0,0,'Données projet'!$E$14+1,1))</f>
        <v>210.07838338464626</v>
      </c>
      <c r="DU41" s="59">
        <f t="shared" si="44"/>
        <v>241.76003724236273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4.5236277879660847</v>
      </c>
      <c r="EB41" s="21">
        <f>EXP(-LN(2)/25)*EB40+(1-EXP(-LN(2)/25))/(LN(2)/25)*Calculateur!DW41*Calculateur!DY41*VLOOKUP('Données projet'!$B$14,Paramètres!$A$1:$I$89,3,0)*0.475*44/12</f>
        <v>10.862432983550248</v>
      </c>
      <c r="EC41" s="21">
        <f>EXP(-LN(2)/2)*EC40+(1-EXP(-LN(2)/2))/(LN(2)/2)*DW41*DZ41*VLOOKUP('Données projet'!$B$14,Paramètres!$A$1:$I$89,3,0)*0.475*44/12</f>
        <v>0.99821402942807791</v>
      </c>
      <c r="ED41" s="22">
        <f t="shared" si="18"/>
        <v>16.384274800944411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13.3</v>
      </c>
      <c r="EJ41" s="12">
        <f>IF('Données projet'!$A$192&gt;35,EJ40+EI41-ER40,IF(A41&lt;'Données projet'!$A$192,$EG$205^A41,IF(A41='Données projet'!$A$192,'Données projet'!$B$192,EJ40+EI41-ER40)))</f>
        <v>256.40000000000015</v>
      </c>
      <c r="EK41" s="17">
        <f>EJ41*VLOOKUP('Données projet'!$B$15,Paramètres!$A$1:$I$89,3,0)*VLOOKUP('Données projet'!$B$15,Paramètres!$A$1:$I$89,5,0)</f>
        <v>159.99360000000007</v>
      </c>
      <c r="EL41" s="13">
        <f t="shared" si="45"/>
        <v>40.841071865470695</v>
      </c>
      <c r="EM41" s="20">
        <f t="shared" si="19"/>
        <v>349.78705349902822</v>
      </c>
      <c r="EN41" s="59">
        <f t="shared" si="20"/>
        <v>643.12038683236153</v>
      </c>
      <c r="EO41" s="59">
        <f ca="1">AVERAGE(OFFSET($EN$3,0,0,'Données projet'!$E$15+1,1))-AVERAGE(OFFSET($H$3,0,0,'Données projet'!$E$15+1,1))</f>
        <v>209.93608079129638</v>
      </c>
      <c r="EP41" s="59">
        <f t="shared" si="46"/>
        <v>240.15652428700969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5.9345169695666389</v>
      </c>
      <c r="EW41" s="21">
        <f>EXP(-LN(2)/25)*EW40+(1-EXP(-LN(2)/25))/(LN(2)/25)*Calculateur!ER41*Calculateur!ET41*VLOOKUP('Données projet'!$B$15,Paramètres!$A$1:$I$89,3,0)*0.475*44/12</f>
        <v>16.652567283666862</v>
      </c>
      <c r="EX41" s="21">
        <f>EXP(-LN(2)/2)*EX40+(1-EXP(-LN(2)/2))/(LN(2)/2)*ER41*EU41*VLOOKUP('Données projet'!$B$15,Paramètres!$A$1:$I$89,3,0)*0.475*44/12</f>
        <v>1.2619259689821936</v>
      </c>
      <c r="EY41" s="22">
        <f t="shared" si="21"/>
        <v>23.849010222215693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10.199999999999999</v>
      </c>
      <c r="N42" s="13">
        <f>IF('Données projet'!$A$36&gt;35,N41+M42-V41,IF(A42&lt;'Données projet'!$A$36,$K$205^A42,IF(A42='Données projet'!$A$36,'Données projet'!$B$36,N41+M42-V41)))</f>
        <v>209.79999999999987</v>
      </c>
      <c r="O42" s="13">
        <f>N42*VLOOKUP('Données projet'!$B$9,Paramètres!$A$1:$I$89,3,0)*VLOOKUP('Données projet'!$B$9,Paramètres!$A$1:$I$89,5,0)</f>
        <v>166.91687999999991</v>
      </c>
      <c r="P42" s="13">
        <f t="shared" si="33"/>
        <v>42.398773450063487</v>
      </c>
      <c r="Q42" s="20">
        <f t="shared" si="53"/>
        <v>364.55809642552708</v>
      </c>
      <c r="R42" s="59">
        <f t="shared" si="0"/>
        <v>657.89142975886034</v>
      </c>
      <c r="S42" s="59">
        <f ca="1">AVERAGE(OFFSET($R$3,0,0,'Données projet'!$E$9+1,1))-AVERAGE(OFFSET($H$3,0,0,'Données projet'!$E$9+1,1))</f>
        <v>199.58763537752952</v>
      </c>
      <c r="T42" s="59">
        <f t="shared" si="34"/>
        <v>242.62852778451929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8.0121310384480697</v>
      </c>
      <c r="AB42" s="21">
        <f>EXP(-LN(2)/2)*AB41+(1-EXP(-LN(2)/2))/(LN(2)/2)*V42*Y42*VLOOKUP('Données projet'!$B$9,Paramètres!$A$1:$I$89,3,0)*0.475*44/12</f>
        <v>0.47559818224881362</v>
      </c>
      <c r="AC42" s="22">
        <f t="shared" si="3"/>
        <v>8.4877292206968828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12.9</v>
      </c>
      <c r="AI42" s="13">
        <f>IF('Données projet'!$A$62&gt;35,AI41+AH42-AQ41,IF(A42&lt;'Données projet'!$A$62,$AF$205^A42,IF(A42='Données projet'!$A$62,'Données projet'!$B$62,AI41+AH42-AQ41)))</f>
        <v>237.1</v>
      </c>
      <c r="AJ42" s="13">
        <f>AI42*VLOOKUP('Données projet'!$B$10,Paramètres!$A$1:$I$89,3,0)*VLOOKUP('Données projet'!$B$10,Paramètres!$A$1:$I$89,5,0)</f>
        <v>141.78579999999999</v>
      </c>
      <c r="AK42" s="13">
        <f t="shared" si="35"/>
        <v>36.705804920011424</v>
      </c>
      <c r="AL42" s="20">
        <f t="shared" si="4"/>
        <v>310.87287856901986</v>
      </c>
      <c r="AM42" s="59">
        <f t="shared" si="5"/>
        <v>604.20621190235317</v>
      </c>
      <c r="AN42" s="59">
        <f ca="1">AVERAGE(OFFSET($AM$3,0,0,'Données projet'!$E$10+1,1))-AVERAGE(OFFSET($H$3,0,0,'Données projet'!$E$10+1,1))</f>
        <v>287.78657453117694</v>
      </c>
      <c r="AO42" s="59">
        <f t="shared" si="36"/>
        <v>153.31562485362252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2.4493350280965926</v>
      </c>
      <c r="AV42" s="21">
        <f>EXP(-LN(2)/25)*AV41+(1-EXP(-LN(2)/25))/(LN(2)/25)*Calculateur!AQ42*Calculateur!AS42*VLOOKUP('Données projet'!$B$10,Paramètres!$A$1:$I$89,3,0)*0.475*44/12</f>
        <v>4.5436173125301664</v>
      </c>
      <c r="AW42" s="21">
        <f>EXP(-LN(2)/2)*AW41+(1-EXP(-LN(2)/2))/(LN(2)/2)*AQ42*AT42*VLOOKUP('Données projet'!$B$10,Paramètres!$A$1:$I$89,3,0)*0.475*44/12</f>
        <v>0.49073336957983271</v>
      </c>
      <c r="AX42" s="21">
        <f t="shared" si="6"/>
        <v>7.4836857102065926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15.364102564102568</v>
      </c>
      <c r="BD42" s="12">
        <f>IF('Données projet'!$A$88&gt;35,BD41+BC42-BL41,IF(A42&lt;'Données projet'!$A$88,$BA$205^A42,IF(A42='Données projet'!$A$88,'Données projet'!$B$88,BD41+BC42-BL41)))</f>
        <v>255.27435897435896</v>
      </c>
      <c r="BE42" s="13">
        <f>BD42*VLOOKUP('Données projet'!$B$11,Paramètres!$A$1:$I$89,3,0)*VLOOKUP('Données projet'!$B$11,Paramètres!$A$1:$I$89,5,0)</f>
        <v>152.65406666666667</v>
      </c>
      <c r="BF42" s="13">
        <f t="shared" si="37"/>
        <v>39.18111473980327</v>
      </c>
      <c r="BG42" s="20">
        <f t="shared" si="7"/>
        <v>334.11294094960181</v>
      </c>
      <c r="BH42" s="59">
        <f t="shared" si="8"/>
        <v>627.44627428293506</v>
      </c>
      <c r="BI42" s="59">
        <f ca="1">AVERAGE(OFFSET($BH$3,0,0,'Données projet'!$E$11+1,1))-AVERAGE(OFFSET($H$3,0,0,'Données projet'!$E$11+1,1))</f>
        <v>250.93905519128998</v>
      </c>
      <c r="BJ42" s="59">
        <f t="shared" si="38"/>
        <v>222.32879462265032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1.0719534221153948</v>
      </c>
      <c r="BQ42" s="21">
        <f>EXP(-LN(2)/25)*BQ41+(1-EXP(-LN(2)/25))/(LN(2)/25)*Calculateur!BL42*Calculateur!BN42*VLOOKUP('Données projet'!$B$11,Paramètres!$A$1:$I$89,3,0)*0.475*44/12</f>
        <v>9.0185947463916758</v>
      </c>
      <c r="BR42" s="21">
        <f>EXP(-LN(2)/2)*BR41+(1-EXP(-LN(2)/2))/(LN(2)/2)*BL42*BO42*VLOOKUP('Données projet'!$B$11,Paramètres!$A$1:$I$89,3,0)*0.475*44/12</f>
        <v>8.3411135748098608E-2</v>
      </c>
      <c r="BS42" s="22">
        <f t="shared" si="9"/>
        <v>10.173959304255169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12.74038461538462</v>
      </c>
      <c r="BY42" s="12">
        <f>IF('Données projet'!$A$114&gt;35,BY41+BX42-CG41,IF(A42&lt;'Données projet'!$A$114,$BV$205^A42,IF(A42='Données projet'!$A$114,'Données projet'!$B$114,BY41+BX42-CG41)))</f>
        <v>217.3346153846154</v>
      </c>
      <c r="BZ42" s="13">
        <f>BY42*VLOOKUP('Données projet'!$B$12,Paramètres!$A$1:$I$89,3,0)*VLOOKUP('Données projet'!$B$12,Paramètres!$A$1:$I$89,5,0)</f>
        <v>129.96610000000001</v>
      </c>
      <c r="CA42" s="13">
        <f t="shared" si="39"/>
        <v>33.988525918782614</v>
      </c>
      <c r="CB42" s="20">
        <f t="shared" si="10"/>
        <v>285.55430680854636</v>
      </c>
      <c r="CC42" s="59">
        <f t="shared" si="11"/>
        <v>578.88764014187973</v>
      </c>
      <c r="CD42" s="59">
        <f ca="1">AVERAGE(OFFSET($CC$3,0,0,'Données projet'!$E$12+1,1))-AVERAGE(OFFSET($H$3,0,0,'Données projet'!$E$12+1,1))</f>
        <v>179.32848817523677</v>
      </c>
      <c r="CE42" s="59">
        <f t="shared" si="40"/>
        <v>131.3292389103035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10.269450315078698</v>
      </c>
      <c r="CM42" s="21">
        <f>EXP(-LN(2)/2)*CM41+(1-EXP(-LN(2)/2))/(LN(2)/2)*CG42*CJ42*VLOOKUP('Données projet'!$B$12,Paramètres!$A$1:$I$89,3,0)*0.475*44/12</f>
        <v>0.23258816407182925</v>
      </c>
      <c r="CN42" s="22">
        <f t="shared" si="12"/>
        <v>10.502038479150528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9.8108974358974379</v>
      </c>
      <c r="CT42" s="12">
        <f>IF('Données projet'!$A$140&gt;35,CT41+CS42-DB41,IF(A42&lt;'Données projet'!$A$140,$CQ$205^A42,IF(A42='Données projet'!$A$140,'Données projet'!$B$140,CT41+CS42-DB41)))</f>
        <v>159.22756410256409</v>
      </c>
      <c r="CU42" s="17">
        <f>CT42*VLOOKUP('Données projet'!$B$13,Paramètres!$A$1:$I$89,3,0)*VLOOKUP('Données projet'!$B$13,Paramètres!$A$1:$I$89,5,0)</f>
        <v>144.06909999999999</v>
      </c>
      <c r="CV42" s="13">
        <f t="shared" si="41"/>
        <v>37.227619113359864</v>
      </c>
      <c r="CW42" s="20">
        <f t="shared" si="13"/>
        <v>315.75845245576846</v>
      </c>
      <c r="CX42" s="59">
        <f t="shared" si="14"/>
        <v>609.09178578910178</v>
      </c>
      <c r="CY42" s="59">
        <f ca="1">AVERAGE(OFFSET($CX$3,0,0,'Données projet'!$E$13+1,1))-AVERAGE(OFFSET($H$3,0,0,'Données projet'!$E$13+1,1))</f>
        <v>309.07357540707869</v>
      </c>
      <c r="CZ42" s="59">
        <f t="shared" si="42"/>
        <v>155.9593924683299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8.1</v>
      </c>
      <c r="DO42" s="12">
        <f>IF('Données projet'!$A$166&gt;35,DO41+DN42-DW41,IF(A42&lt;'Données projet'!$A$166,$DL$205^A42,IF(A42='Données projet'!$A$166,'Données projet'!$B$166,DO41+DN42-DW41)))</f>
        <v>183.89999999999986</v>
      </c>
      <c r="DP42" s="17">
        <f>DO42*VLOOKUP('Données projet'!$B$14,Paramètres!$A$1:$I$89,3,0)*VLOOKUP('Données projet'!$B$14,Paramètres!$A$1:$I$89,5,0)</f>
        <v>160.6550399999999</v>
      </c>
      <c r="DQ42" s="13">
        <f t="shared" si="43"/>
        <v>40.990226357066575</v>
      </c>
      <c r="DR42" s="20">
        <f t="shared" si="16"/>
        <v>351.19883890522402</v>
      </c>
      <c r="DS42" s="59">
        <f t="shared" si="17"/>
        <v>644.53217223855734</v>
      </c>
      <c r="DT42" s="59">
        <f ca="1">AVERAGE(OFFSET($DS$3,0,0,'Données projet'!$E$14+1,1))-AVERAGE(OFFSET($H$3,0,0,'Données projet'!$E$14+1,1))</f>
        <v>210.07838338464626</v>
      </c>
      <c r="DU42" s="59">
        <f t="shared" si="44"/>
        <v>241.76003724236273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4.4349222061845781</v>
      </c>
      <c r="EB42" s="21">
        <f>EXP(-LN(2)/25)*EB41+(1-EXP(-LN(2)/25))/(LN(2)/25)*Calculateur!DW42*Calculateur!DY42*VLOOKUP('Données projet'!$B$14,Paramètres!$A$1:$I$89,3,0)*0.475*44/12</f>
        <v>10.565399182384542</v>
      </c>
      <c r="EC42" s="21">
        <f>EXP(-LN(2)/2)*EC41+(1-EXP(-LN(2)/2))/(LN(2)/2)*DW42*DZ42*VLOOKUP('Données projet'!$B$14,Paramètres!$A$1:$I$89,3,0)*0.475*44/12</f>
        <v>0.70584390928414187</v>
      </c>
      <c r="ED42" s="22">
        <f t="shared" si="18"/>
        <v>15.706165297853261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13.3</v>
      </c>
      <c r="EJ42" s="12">
        <f>IF('Données projet'!$A$192&gt;35,EJ41+EI42-ER41,IF(A42&lt;'Données projet'!$A$192,$EG$205^A42,IF(A42='Données projet'!$A$192,'Données projet'!$B$192,EJ41+EI42-ER41)))</f>
        <v>269.70000000000016</v>
      </c>
      <c r="EK42" s="17">
        <f>EJ42*VLOOKUP('Données projet'!$B$15,Paramètres!$A$1:$I$89,3,0)*VLOOKUP('Données projet'!$B$15,Paramètres!$A$1:$I$89,5,0)</f>
        <v>168.29280000000011</v>
      </c>
      <c r="EL42" s="13">
        <f t="shared" si="45"/>
        <v>42.707443263135104</v>
      </c>
      <c r="EM42" s="20">
        <f t="shared" si="19"/>
        <v>367.49209034996051</v>
      </c>
      <c r="EN42" s="59">
        <f t="shared" si="20"/>
        <v>660.82542368329382</v>
      </c>
      <c r="EO42" s="59">
        <f ca="1">AVERAGE(OFFSET($EN$3,0,0,'Données projet'!$E$15+1,1))-AVERAGE(OFFSET($H$3,0,0,'Données projet'!$E$15+1,1))</f>
        <v>209.93608079129638</v>
      </c>
      <c r="EP42" s="59">
        <f t="shared" si="46"/>
        <v>240.15652428700969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5.8181447114913727</v>
      </c>
      <c r="EW42" s="21">
        <f>EXP(-LN(2)/25)*EW41+(1-EXP(-LN(2)/25))/(LN(2)/25)*Calculateur!ER42*Calculateur!ET42*VLOOKUP('Données projet'!$B$15,Paramètres!$A$1:$I$89,3,0)*0.475*44/12</f>
        <v>16.197201955574538</v>
      </c>
      <c r="EX42" s="21">
        <f>EXP(-LN(2)/2)*EX41+(1-EXP(-LN(2)/2))/(LN(2)/2)*ER42*EU42*VLOOKUP('Données projet'!$B$15,Paramètres!$A$1:$I$89,3,0)*0.475*44/12</f>
        <v>0.892316410022714</v>
      </c>
      <c r="EY42" s="22">
        <f t="shared" si="21"/>
        <v>22.907663077088628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220</v>
      </c>
      <c r="L43" s="12">
        <f>VLOOKUP(A43,'Données projet'!$A$35:$I$55,9,0)</f>
        <v>10.199999999999999</v>
      </c>
      <c r="M43" s="12">
        <f t="array" ref="M43">INDEX(L:L,MIN(IF(ISNUMBER(L43:L239),ROW(L43:L239),"")))</f>
        <v>10.199999999999999</v>
      </c>
      <c r="N43" s="13">
        <f>IF('Données projet'!$A$36&gt;35,N42+M43-V42,IF(A43&lt;'Données projet'!$A$36,$K$205^A43,IF(A43='Données projet'!$A$36,'Données projet'!$B$36,N42+M43-V42)))</f>
        <v>219.99999999999986</v>
      </c>
      <c r="O43" s="13">
        <f>N43*VLOOKUP('Données projet'!$B$9,Paramètres!$A$1:$I$89,3,0)*VLOOKUP('Données projet'!$B$9,Paramètres!$A$1:$I$89,5,0)</f>
        <v>175.0319999999999</v>
      </c>
      <c r="P43" s="13">
        <f t="shared" si="33"/>
        <v>44.215103743190973</v>
      </c>
      <c r="Q43" s="20">
        <f t="shared" si="53"/>
        <v>381.85537235272409</v>
      </c>
      <c r="R43" s="59">
        <f t="shared" si="0"/>
        <v>675.18870568605735</v>
      </c>
      <c r="S43" s="59">
        <f ca="1">AVERAGE(OFFSET($R$3,0,0,'Données projet'!$E$9+1,1))-AVERAGE(OFFSET($H$3,0,0,'Données projet'!$E$9+1,1))</f>
        <v>199.58763537752952</v>
      </c>
      <c r="T43" s="59">
        <f t="shared" si="34"/>
        <v>242.62852778451929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56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7.7930388938620476</v>
      </c>
      <c r="AB43" s="21">
        <f>EXP(-LN(2)/2)*AB42+(1-EXP(-LN(2)/2))/(LN(2)/2)*V43*Y43*VLOOKUP('Données projet'!$B$9,Paramètres!$A$1:$I$89,3,0)*0.475*44/12</f>
        <v>0.33629869978813165</v>
      </c>
      <c r="AC43" s="22">
        <f t="shared" si="3"/>
        <v>8.1293375936501793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250</v>
      </c>
      <c r="AG43" s="12">
        <f>VLOOKUP(A43,'Données projet'!$A$61:$I$81,9,0)</f>
        <v>12.9</v>
      </c>
      <c r="AH43" s="12">
        <f t="array" ref="AH43">INDEX(AG:AG,MIN(IF(ISNUMBER(AG43:AG239),ROW(AG43:AG239),"")))</f>
        <v>12.9</v>
      </c>
      <c r="AI43" s="13">
        <f>IF('Données projet'!$A$62&gt;35,AI42+AH43-AQ42,IF(A43&lt;'Données projet'!$A$62,$AF$205^A43,IF(A43='Données projet'!$A$62,'Données projet'!$B$62,AI42+AH43-AQ42)))</f>
        <v>250</v>
      </c>
      <c r="AJ43" s="13">
        <f>AI43*VLOOKUP('Données projet'!$B$10,Paramètres!$A$1:$I$89,3,0)*VLOOKUP('Données projet'!$B$10,Paramètres!$A$1:$I$89,5,0)</f>
        <v>149.5</v>
      </c>
      <c r="AK43" s="13">
        <f t="shared" si="35"/>
        <v>38.464936755681478</v>
      </c>
      <c r="AL43" s="20">
        <f t="shared" si="4"/>
        <v>327.3722648494786</v>
      </c>
      <c r="AM43" s="59">
        <f t="shared" si="5"/>
        <v>620.70559818281185</v>
      </c>
      <c r="AN43" s="59">
        <f ca="1">AVERAGE(OFFSET($AM$3,0,0,'Données projet'!$E$10+1,1))-AVERAGE(OFFSET($H$3,0,0,'Données projet'!$E$10+1,1))</f>
        <v>287.78657453117694</v>
      </c>
      <c r="AO43" s="59">
        <f t="shared" si="36"/>
        <v>153.31562485362252</v>
      </c>
      <c r="AP43" s="15">
        <f>IF(ISNA(VLOOKUP(A43,'Données projet'!$A$61:$I$81,3,0)),0,VLOOKUP(A43,'Données projet'!$A$61:$I$81,3,0))</f>
        <v>2</v>
      </c>
      <c r="AQ43" s="15">
        <f>IF(ISNA(VLOOKUP(A43,'Données projet'!$A$61:$I$81,4,0)),0,VLOOKUP(A43,'Données projet'!$A$61:$I$81,4,0))</f>
        <v>56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2.4013050621424705</v>
      </c>
      <c r="AV43" s="21">
        <f>EXP(-LN(2)/25)*AV42+(1-EXP(-LN(2)/25))/(LN(2)/25)*Calculateur!AQ43*Calculateur!AS43*VLOOKUP('Données projet'!$B$10,Paramètres!$A$1:$I$89,3,0)*0.475*44/12</f>
        <v>4.419371858180579</v>
      </c>
      <c r="AW43" s="21">
        <f>EXP(-LN(2)/2)*AW42+(1-EXP(-LN(2)/2))/(LN(2)/2)*AQ43*AT43*VLOOKUP('Données projet'!$B$10,Paramètres!$A$1:$I$89,3,0)*0.475*44/12</f>
        <v>0.34700089338442397</v>
      </c>
      <c r="AX43" s="21">
        <f t="shared" si="6"/>
        <v>7.1676778137074733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15.364102564102568</v>
      </c>
      <c r="BD43" s="12">
        <f>IF('Données projet'!$A$88&gt;35,BD42+BC43-BL42,IF(A43&lt;'Données projet'!$A$88,$BA$205^A43,IF(A43='Données projet'!$A$88,'Données projet'!$B$88,BD42+BC43-BL42)))</f>
        <v>270.63846153846151</v>
      </c>
      <c r="BE43" s="13">
        <f>BD43*VLOOKUP('Données projet'!$B$11,Paramètres!$A$1:$I$89,3,0)*VLOOKUP('Données projet'!$B$11,Paramètres!$A$1:$I$89,5,0)</f>
        <v>161.84180000000001</v>
      </c>
      <c r="BF43" s="13">
        <f t="shared" si="37"/>
        <v>41.257661408086413</v>
      </c>
      <c r="BG43" s="20">
        <f t="shared" si="7"/>
        <v>353.73156195241717</v>
      </c>
      <c r="BH43" s="59">
        <f t="shared" si="8"/>
        <v>647.06489528575048</v>
      </c>
      <c r="BI43" s="59">
        <f ca="1">AVERAGE(OFFSET($BH$3,0,0,'Données projet'!$E$11+1,1))-AVERAGE(OFFSET($H$3,0,0,'Données projet'!$E$11+1,1))</f>
        <v>250.93905519128998</v>
      </c>
      <c r="BJ43" s="59">
        <f t="shared" si="38"/>
        <v>222.32879462265032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1.0509330693347394</v>
      </c>
      <c r="BQ43" s="21">
        <f>EXP(-LN(2)/25)*BQ42+(1-EXP(-LN(2)/25))/(LN(2)/25)*Calculateur!BL43*Calculateur!BN43*VLOOKUP('Données projet'!$B$11,Paramètres!$A$1:$I$89,3,0)*0.475*44/12</f>
        <v>8.7719807987843108</v>
      </c>
      <c r="BR43" s="21">
        <f>EXP(-LN(2)/2)*BR42+(1-EXP(-LN(2)/2))/(LN(2)/2)*BL43*BO43*VLOOKUP('Données projet'!$B$11,Paramètres!$A$1:$I$89,3,0)*0.475*44/12</f>
        <v>5.898057971395218E-2</v>
      </c>
      <c r="BS43" s="22">
        <f t="shared" si="9"/>
        <v>9.8818944478330017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12.74038461538462</v>
      </c>
      <c r="BY43" s="12">
        <f>IF('Données projet'!$A$114&gt;35,BY42+BX43-CG42,IF(A43&lt;'Données projet'!$A$114,$BV$205^A43,IF(A43='Données projet'!$A$114,'Données projet'!$B$114,BY42+BX43-CG42)))</f>
        <v>230.07500000000002</v>
      </c>
      <c r="BZ43" s="13">
        <f>BY43*VLOOKUP('Données projet'!$B$12,Paramètres!$A$1:$I$89,3,0)*VLOOKUP('Données projet'!$B$12,Paramètres!$A$1:$I$89,5,0)</f>
        <v>137.58485000000002</v>
      </c>
      <c r="CA43" s="13">
        <f t="shared" si="39"/>
        <v>35.743169448737028</v>
      </c>
      <c r="CB43" s="20">
        <f t="shared" si="10"/>
        <v>301.87963387321702</v>
      </c>
      <c r="CC43" s="59">
        <f t="shared" si="11"/>
        <v>595.21296720655027</v>
      </c>
      <c r="CD43" s="59">
        <f ca="1">AVERAGE(OFFSET($CC$3,0,0,'Données projet'!$E$12+1,1))-AVERAGE(OFFSET($H$3,0,0,'Données projet'!$E$12+1,1))</f>
        <v>179.32848817523677</v>
      </c>
      <c r="CE43" s="59">
        <f t="shared" si="40"/>
        <v>131.3292389103035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9.9886316561659498</v>
      </c>
      <c r="CM43" s="21">
        <f>EXP(-LN(2)/2)*CM42+(1-EXP(-LN(2)/2))/(LN(2)/2)*CG43*CJ43*VLOOKUP('Données projet'!$B$12,Paramètres!$A$1:$I$89,3,0)*0.475*44/12</f>
        <v>0.16446466803891979</v>
      </c>
      <c r="CN43" s="22">
        <f t="shared" si="12"/>
        <v>10.153096324204869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9.8108974358974379</v>
      </c>
      <c r="CT43" s="12">
        <f>IF('Données projet'!$A$140&gt;35,CT42+CS43-DB42,IF(A43&lt;'Données projet'!$A$140,$CQ$205^A43,IF(A43='Données projet'!$A$140,'Données projet'!$B$140,CT42+CS43-DB42)))</f>
        <v>169.03846153846152</v>
      </c>
      <c r="CU43" s="17">
        <f>CT43*VLOOKUP('Données projet'!$B$13,Paramètres!$A$1:$I$89,3,0)*VLOOKUP('Données projet'!$B$13,Paramètres!$A$1:$I$89,5,0)</f>
        <v>152.94599999999997</v>
      </c>
      <c r="CV43" s="13">
        <f t="shared" si="41"/>
        <v>39.247314969652741</v>
      </c>
      <c r="CW43" s="20">
        <f t="shared" si="13"/>
        <v>334.73669023881172</v>
      </c>
      <c r="CX43" s="59">
        <f t="shared" si="14"/>
        <v>628.07002357214503</v>
      </c>
      <c r="CY43" s="59">
        <f ca="1">AVERAGE(OFFSET($CX$3,0,0,'Données projet'!$E$13+1,1))-AVERAGE(OFFSET($H$3,0,0,'Données projet'!$E$13+1,1))</f>
        <v>309.07357540707869</v>
      </c>
      <c r="CZ43" s="59">
        <f t="shared" si="42"/>
        <v>155.9593924683299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192</v>
      </c>
      <c r="DM43" s="12">
        <f>VLOOKUP(A43,'Données projet'!$A$165:$I$185,9,0)</f>
        <v>8.1</v>
      </c>
      <c r="DN43" s="12">
        <f t="array" ref="DN43">INDEX(DM:DM,MIN(IF(ISNUMBER(DM43:DM239),ROW(DM43:DM239),"")))</f>
        <v>8.1</v>
      </c>
      <c r="DO43" s="12">
        <f>IF('Données projet'!$A$166&gt;35,DO42+DN43-DW42,IF(A43&lt;'Données projet'!$A$166,$DL$205^A43,IF(A43='Données projet'!$A$166,'Données projet'!$B$166,DO42+DN43-DW42)))</f>
        <v>191.99999999999986</v>
      </c>
      <c r="DP43" s="17">
        <f>DO43*VLOOKUP('Données projet'!$B$14,Paramètres!$A$1:$I$89,3,0)*VLOOKUP('Données projet'!$B$14,Paramètres!$A$1:$I$89,5,0)</f>
        <v>167.73119999999989</v>
      </c>
      <c r="DQ43" s="13">
        <f t="shared" si="43"/>
        <v>42.581491199832655</v>
      </c>
      <c r="DR43" s="20">
        <f t="shared" si="16"/>
        <v>366.29460383970832</v>
      </c>
      <c r="DS43" s="59">
        <f t="shared" si="17"/>
        <v>659.62793717304157</v>
      </c>
      <c r="DT43" s="59">
        <f ca="1">AVERAGE(OFFSET($DS$3,0,0,'Données projet'!$E$14+1,1))-AVERAGE(OFFSET($H$3,0,0,'Données projet'!$E$14+1,1))</f>
        <v>210.07838338464626</v>
      </c>
      <c r="DU43" s="59">
        <f t="shared" si="44"/>
        <v>241.76003724236273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47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4.3479560867567439</v>
      </c>
      <c r="EB43" s="21">
        <f>EXP(-LN(2)/25)*EB42+(1-EXP(-LN(2)/25))/(LN(2)/25)*Calculateur!DW43*Calculateur!DY43*VLOOKUP('Données projet'!$B$14,Paramètres!$A$1:$I$89,3,0)*0.475*44/12</f>
        <v>10.276487786132041</v>
      </c>
      <c r="EC43" s="21">
        <f>EXP(-LN(2)/2)*EC42+(1-EXP(-LN(2)/2))/(LN(2)/2)*DW43*DZ43*VLOOKUP('Données projet'!$B$14,Paramètres!$A$1:$I$89,3,0)*0.475*44/12</f>
        <v>0.49910701471403907</v>
      </c>
      <c r="ED43" s="22">
        <f t="shared" si="18"/>
        <v>15.123550887602823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283</v>
      </c>
      <c r="EH43" s="12">
        <f>VLOOKUP(A43,'Données projet'!$A$191:$I$211,9,0)</f>
        <v>13.3</v>
      </c>
      <c r="EI43" s="12">
        <f t="array" ref="EI43">INDEX(EH:EH,MIN(IF(ISNUMBER(EH43:EH239),ROW(EH43:EH239),"")))</f>
        <v>13.3</v>
      </c>
      <c r="EJ43" s="12">
        <f>IF('Données projet'!$A$192&gt;35,EJ42+EI43-ER42,IF(A43&lt;'Données projet'!$A$192,$EG$205^A43,IF(A43='Données projet'!$A$192,'Données projet'!$B$192,EJ42+EI43-ER42)))</f>
        <v>283.00000000000017</v>
      </c>
      <c r="EK43" s="17">
        <f>EJ43*VLOOKUP('Données projet'!$B$15,Paramètres!$A$1:$I$89,3,0)*VLOOKUP('Données projet'!$B$15,Paramètres!$A$1:$I$89,5,0)</f>
        <v>176.59200000000013</v>
      </c>
      <c r="EL43" s="13">
        <f t="shared" si="45"/>
        <v>44.56312751418794</v>
      </c>
      <c r="EM43" s="20">
        <f t="shared" si="19"/>
        <v>385.1785137538775</v>
      </c>
      <c r="EN43" s="59">
        <f t="shared" si="20"/>
        <v>678.51184708721075</v>
      </c>
      <c r="EO43" s="59">
        <f ca="1">AVERAGE(OFFSET($EN$3,0,0,'Données projet'!$E$15+1,1))-AVERAGE(OFFSET($H$3,0,0,'Données projet'!$E$15+1,1))</f>
        <v>209.93608079129638</v>
      </c>
      <c r="EP43" s="59">
        <f t="shared" si="46"/>
        <v>240.15652428700969</v>
      </c>
      <c r="EQ43" s="15">
        <f>IF(ISNA(VLOOKUP(A43,'Données projet'!$A$191:$I$211,3,0)),0,VLOOKUP(A43,'Données projet'!$A$191:$I$211,3,0))</f>
        <v>3</v>
      </c>
      <c r="ER43" s="15">
        <f>IF(ISNA(VLOOKUP(A43,'Données projet'!$A$191:$I$211,4,0)),0,VLOOKUP(A43,'Données projet'!$A$191:$I$211,4,0))</f>
        <v>70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5.7040544424168944</v>
      </c>
      <c r="EW43" s="21">
        <f>EXP(-LN(2)/25)*EW42+(1-EXP(-LN(2)/25))/(LN(2)/25)*Calculateur!ER43*Calculateur!ET43*VLOOKUP('Données projet'!$B$15,Paramètres!$A$1:$I$89,3,0)*0.475*44/12</f>
        <v>15.754288616325521</v>
      </c>
      <c r="EX43" s="21">
        <f>EXP(-LN(2)/2)*EX42+(1-EXP(-LN(2)/2))/(LN(2)/2)*ER43*EU43*VLOOKUP('Données projet'!$B$15,Paramètres!$A$1:$I$89,3,0)*0.475*44/12</f>
        <v>0.63096298449109689</v>
      </c>
      <c r="EY43" s="22">
        <f t="shared" si="21"/>
        <v>22.089306043233513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7.7</v>
      </c>
      <c r="N44" s="13">
        <f>IF('Données projet'!$A$36&gt;35,N43+M44-V43,IF(A44&lt;'Données projet'!$A$36,$K$205^A44,IF(A44='Données projet'!$A$36,'Données projet'!$B$36,N43+M44-V43)))</f>
        <v>171.69999999999985</v>
      </c>
      <c r="O44" s="13">
        <f>N44*VLOOKUP('Données projet'!$B$9,Paramètres!$A$1:$I$89,3,0)*VLOOKUP('Données projet'!$B$9,Paramètres!$A$1:$I$89,5,0)</f>
        <v>136.60451999999989</v>
      </c>
      <c r="P44" s="13">
        <f t="shared" si="33"/>
        <v>35.518040685530593</v>
      </c>
      <c r="Q44" s="20">
        <f t="shared" si="53"/>
        <v>299.78012652729893</v>
      </c>
      <c r="R44" s="59">
        <f t="shared" si="0"/>
        <v>593.11345986063225</v>
      </c>
      <c r="S44" s="59">
        <f ca="1">AVERAGE(OFFSET($R$3,0,0,'Données projet'!$E$9+1,1))-AVERAGE(OFFSET($H$3,0,0,'Données projet'!$E$9+1,1))</f>
        <v>199.58763537752952</v>
      </c>
      <c r="T44" s="59">
        <f t="shared" si="34"/>
        <v>242.62852778451929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7.5799378354912861</v>
      </c>
      <c r="AB44" s="21">
        <f>EXP(-LN(2)/2)*AB43+(1-EXP(-LN(2)/2))/(LN(2)/2)*V44*Y44*VLOOKUP('Données projet'!$B$9,Paramètres!$A$1:$I$89,3,0)*0.475*44/12</f>
        <v>0.23779909112440686</v>
      </c>
      <c r="AC44" s="22">
        <f t="shared" si="3"/>
        <v>7.8177369266156926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14.5</v>
      </c>
      <c r="AI44" s="13">
        <f>IF('Données projet'!$A$62&gt;35,AI43+AH44-AQ43,IF(A44&lt;'Données projet'!$A$62,$AF$205^A44,IF(A44='Données projet'!$A$62,'Données projet'!$B$62,AI43+AH44-AQ43)))</f>
        <v>208.5</v>
      </c>
      <c r="AJ44" s="13">
        <f>AI44*VLOOKUP('Données projet'!$B$10,Paramètres!$A$1:$I$89,3,0)*VLOOKUP('Données projet'!$B$10,Paramètres!$A$1:$I$89,5,0)</f>
        <v>124.68300000000002</v>
      </c>
      <c r="AK44" s="13">
        <f t="shared" si="35"/>
        <v>32.76478670150609</v>
      </c>
      <c r="AL44" s="20">
        <f t="shared" si="4"/>
        <v>274.22156183845647</v>
      </c>
      <c r="AM44" s="59">
        <f t="shared" si="5"/>
        <v>567.55489517178978</v>
      </c>
      <c r="AN44" s="59">
        <f ca="1">AVERAGE(OFFSET($AM$3,0,0,'Données projet'!$E$10+1,1))-AVERAGE(OFFSET($H$3,0,0,'Données projet'!$E$10+1,1))</f>
        <v>287.78657453117694</v>
      </c>
      <c r="AO44" s="59">
        <f t="shared" si="36"/>
        <v>153.31562485362252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2.3542169345253221</v>
      </c>
      <c r="AV44" s="21">
        <f>EXP(-LN(2)/25)*AV43+(1-EXP(-LN(2)/25))/(LN(2)/25)*Calculateur!AQ44*Calculateur!AS44*VLOOKUP('Données projet'!$B$10,Paramètres!$A$1:$I$89,3,0)*0.475*44/12</f>
        <v>4.2985239023139661</v>
      </c>
      <c r="AW44" s="21">
        <f>EXP(-LN(2)/2)*AW43+(1-EXP(-LN(2)/2))/(LN(2)/2)*AQ44*AT44*VLOOKUP('Données projet'!$B$10,Paramètres!$A$1:$I$89,3,0)*0.475*44/12</f>
        <v>0.24536668478991641</v>
      </c>
      <c r="AX44" s="21">
        <f t="shared" si="6"/>
        <v>6.8981075216292043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15.364102564102568</v>
      </c>
      <c r="BD44" s="12">
        <f>IF('Données projet'!$A$88&gt;35,BD43+BC44-BL43,IF(A44&lt;'Données projet'!$A$88,$BA$205^A44,IF(A44='Données projet'!$A$88,'Données projet'!$B$88,BD43+BC44-BL43)))</f>
        <v>286.00256410256407</v>
      </c>
      <c r="BE44" s="13">
        <f>BD44*VLOOKUP('Données projet'!$B$11,Paramètres!$A$1:$I$89,3,0)*VLOOKUP('Données projet'!$B$11,Paramètres!$A$1:$I$89,5,0)</f>
        <v>171.02953333333335</v>
      </c>
      <c r="BF44" s="13">
        <f t="shared" si="37"/>
        <v>43.320523714936215</v>
      </c>
      <c r="BG44" s="20">
        <f t="shared" si="7"/>
        <v>373.32634935906952</v>
      </c>
      <c r="BH44" s="59">
        <f t="shared" si="8"/>
        <v>666.65968269240284</v>
      </c>
      <c r="BI44" s="59">
        <f ca="1">AVERAGE(OFFSET($BH$3,0,0,'Données projet'!$E$11+1,1))-AVERAGE(OFFSET($H$3,0,0,'Données projet'!$E$11+1,1))</f>
        <v>250.93905519128998</v>
      </c>
      <c r="BJ44" s="59">
        <f t="shared" si="38"/>
        <v>222.32879462265032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1.0303249128509633</v>
      </c>
      <c r="BQ44" s="21">
        <f>EXP(-LN(2)/25)*BQ43+(1-EXP(-LN(2)/25))/(LN(2)/25)*Calculateur!BL44*Calculateur!BN44*VLOOKUP('Données projet'!$B$11,Paramètres!$A$1:$I$89,3,0)*0.475*44/12</f>
        <v>8.5321105225431317</v>
      </c>
      <c r="BR44" s="21">
        <f>EXP(-LN(2)/2)*BR43+(1-EXP(-LN(2)/2))/(LN(2)/2)*BL44*BO44*VLOOKUP('Données projet'!$B$11,Paramètres!$A$1:$I$89,3,0)*0.475*44/12</f>
        <v>4.1705567874049311E-2</v>
      </c>
      <c r="BS44" s="22">
        <f t="shared" si="9"/>
        <v>9.6041410032681434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>
        <f>VLOOKUP(A44,'Données projet'!$A$113:$I$133,2,0)</f>
        <v>242.81538461538463</v>
      </c>
      <c r="BW44" s="12">
        <f>VLOOKUP(A44,'Données projet'!$A$113:$I$133,9,0)</f>
        <v>12.74038461538462</v>
      </c>
      <c r="BX44" s="12">
        <f t="array" ref="BX44">INDEX(BW:BW,MIN(IF(ISNUMBER(BW44:BW240),ROW(BW44:BW240),"")))</f>
        <v>12.74038461538462</v>
      </c>
      <c r="BY44" s="12">
        <f>IF('Données projet'!$A$114&gt;35,BY43+BX44-CG43,IF(A44&lt;'Données projet'!$A$114,$BV$205^A44,IF(A44='Données projet'!$A$114,'Données projet'!$B$114,BY43+BX44-CG43)))</f>
        <v>242.81538461538463</v>
      </c>
      <c r="BZ44" s="13">
        <f>BY44*VLOOKUP('Données projet'!$B$12,Paramètres!$A$1:$I$89,3,0)*VLOOKUP('Données projet'!$B$12,Paramètres!$A$1:$I$89,5,0)</f>
        <v>145.20360000000002</v>
      </c>
      <c r="CA44" s="13">
        <f t="shared" si="39"/>
        <v>37.486533463390735</v>
      </c>
      <c r="CB44" s="20">
        <f t="shared" si="10"/>
        <v>318.18531578207222</v>
      </c>
      <c r="CC44" s="59">
        <f t="shared" si="11"/>
        <v>611.51864911540554</v>
      </c>
      <c r="CD44" s="59">
        <f ca="1">AVERAGE(OFFSET($CC$3,0,0,'Données projet'!$E$12+1,1))-AVERAGE(OFFSET($H$3,0,0,'Données projet'!$E$12+1,1))</f>
        <v>179.32848817523677</v>
      </c>
      <c r="CE44" s="59">
        <f t="shared" si="40"/>
        <v>131.3292389103035</v>
      </c>
      <c r="CF44" s="15">
        <f>IF(ISNA(VLOOKUP(A44,'Données projet'!$A$113:$I$133,3,0)),0,VLOOKUP(A44,'Données projet'!$A$113:$I$133,3,0))</f>
        <v>4</v>
      </c>
      <c r="CG44" s="15">
        <f>IF(ISNA(VLOOKUP(A44,'Données projet'!$A$113:$I$133,4,0)),0,VLOOKUP(A44,'Données projet'!$A$113:$I$133,4,0))</f>
        <v>58.484615384615381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9.7154919982487833</v>
      </c>
      <c r="CM44" s="21">
        <f>EXP(-LN(2)/2)*CM43+(1-EXP(-LN(2)/2))/(LN(2)/2)*CG44*CJ44*VLOOKUP('Données projet'!$B$12,Paramètres!$A$1:$I$89,3,0)*0.475*44/12</f>
        <v>0.11629408203591464</v>
      </c>
      <c r="CN44" s="22">
        <f t="shared" si="12"/>
        <v>9.8317860802846972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9.8108974358974379</v>
      </c>
      <c r="CT44" s="12">
        <f>IF('Données projet'!$A$140&gt;35,CT43+CS44-DB43,IF(A44&lt;'Données projet'!$A$140,$CQ$205^A44,IF(A44='Données projet'!$A$140,'Données projet'!$B$140,CT43+CS44-DB43)))</f>
        <v>178.84935897435895</v>
      </c>
      <c r="CU44" s="17">
        <f>CT44*VLOOKUP('Données projet'!$B$13,Paramètres!$A$1:$I$89,3,0)*VLOOKUP('Données projet'!$B$13,Paramètres!$A$1:$I$89,5,0)</f>
        <v>161.82289999999998</v>
      </c>
      <c r="CV44" s="13">
        <f t="shared" si="41"/>
        <v>41.253404106950768</v>
      </c>
      <c r="CW44" s="20">
        <f t="shared" si="13"/>
        <v>353.69122965293923</v>
      </c>
      <c r="CX44" s="59">
        <f t="shared" si="14"/>
        <v>647.02456298627249</v>
      </c>
      <c r="CY44" s="59">
        <f ca="1">AVERAGE(OFFSET($CX$3,0,0,'Données projet'!$E$13+1,1))-AVERAGE(OFFSET($H$3,0,0,'Données projet'!$E$13+1,1))</f>
        <v>309.07357540707869</v>
      </c>
      <c r="CZ44" s="59">
        <f t="shared" si="42"/>
        <v>155.9593924683299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6.8</v>
      </c>
      <c r="DO44" s="12">
        <f>IF('Données projet'!$A$166&gt;35,DO43+DN44-DW43,IF(A44&lt;'Données projet'!$A$166,$DL$205^A44,IF(A44='Données projet'!$A$166,'Données projet'!$B$166,DO43+DN44-DW43)))</f>
        <v>151.79999999999987</v>
      </c>
      <c r="DP44" s="17">
        <f>DO44*VLOOKUP('Données projet'!$B$14,Paramètres!$A$1:$I$89,3,0)*VLOOKUP('Données projet'!$B$14,Paramètres!$A$1:$I$89,5,0)</f>
        <v>132.61247999999992</v>
      </c>
      <c r="DQ44" s="13">
        <f t="shared" si="43"/>
        <v>34.599325938965436</v>
      </c>
      <c r="DR44" s="20">
        <f t="shared" si="16"/>
        <v>291.22722867703129</v>
      </c>
      <c r="DS44" s="59">
        <f t="shared" si="17"/>
        <v>584.56056201036461</v>
      </c>
      <c r="DT44" s="59">
        <f ca="1">AVERAGE(OFFSET($DS$3,0,0,'Données projet'!$E$14+1,1))-AVERAGE(OFFSET($H$3,0,0,'Données projet'!$E$14+1,1))</f>
        <v>210.07838338464626</v>
      </c>
      <c r="DU44" s="59">
        <f t="shared" si="44"/>
        <v>241.76003724236273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4.2626953198867943</v>
      </c>
      <c r="EB44" s="21">
        <f>EXP(-LN(2)/25)*EB43+(1-EXP(-LN(2)/25))/(LN(2)/25)*Calculateur!DW44*Calculateur!DY44*VLOOKUP('Données projet'!$B$14,Paramètres!$A$1:$I$89,3,0)*0.475*44/12</f>
        <v>9.9954766872032543</v>
      </c>
      <c r="EC44" s="21">
        <f>EXP(-LN(2)/2)*EC43+(1-EXP(-LN(2)/2))/(LN(2)/2)*DW44*DZ44*VLOOKUP('Données projet'!$B$14,Paramètres!$A$1:$I$89,3,0)*0.475*44/12</f>
        <v>0.35292195464207099</v>
      </c>
      <c r="ED44" s="22">
        <f t="shared" si="18"/>
        <v>14.61109396173212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11</v>
      </c>
      <c r="EJ44" s="12">
        <f>IF('Données projet'!$A$192&gt;35,EJ43+EI44-ER43,IF(A44&lt;'Données projet'!$A$192,$EG$205^A44,IF(A44='Données projet'!$A$192,'Données projet'!$B$192,EJ43+EI44-ER43)))</f>
        <v>224.00000000000017</v>
      </c>
      <c r="EK44" s="17">
        <f>EJ44*VLOOKUP('Données projet'!$B$15,Paramètres!$A$1:$I$89,3,0)*VLOOKUP('Données projet'!$B$15,Paramètres!$A$1:$I$89,5,0)</f>
        <v>139.77600000000012</v>
      </c>
      <c r="EL44" s="13">
        <f t="shared" si="45"/>
        <v>36.245685459195322</v>
      </c>
      <c r="EM44" s="20">
        <f t="shared" si="19"/>
        <v>306.57110217476543</v>
      </c>
      <c r="EN44" s="59">
        <f t="shared" si="20"/>
        <v>599.90443550809869</v>
      </c>
      <c r="EO44" s="59">
        <f ca="1">AVERAGE(OFFSET($EN$3,0,0,'Données projet'!$E$15+1,1))-AVERAGE(OFFSET($H$3,0,0,'Données projet'!$E$15+1,1))</f>
        <v>209.93608079129638</v>
      </c>
      <c r="EP44" s="59">
        <f t="shared" si="46"/>
        <v>240.15652428700969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5.5922014139307734</v>
      </c>
      <c r="EW44" s="21">
        <f>EXP(-LN(2)/25)*EW43+(1-EXP(-LN(2)/25))/(LN(2)/25)*Calculateur!ER44*Calculateur!ET44*VLOOKUP('Données projet'!$B$15,Paramètres!$A$1:$I$89,3,0)*0.475*44/12</f>
        <v>15.323486765630069</v>
      </c>
      <c r="EX44" s="21">
        <f>EXP(-LN(2)/2)*EX43+(1-EXP(-LN(2)/2))/(LN(2)/2)*ER44*EU44*VLOOKUP('Données projet'!$B$15,Paramètres!$A$1:$I$89,3,0)*0.475*44/12</f>
        <v>0.44615820501135706</v>
      </c>
      <c r="EY44" s="22">
        <f t="shared" si="21"/>
        <v>21.3618463845722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7.7</v>
      </c>
      <c r="N45" s="13">
        <f>IF('Données projet'!$A$36&gt;35,N44+M45-V44,IF(A45&lt;'Données projet'!$A$36,$K$205^A45,IF(A45='Données projet'!$A$36,'Données projet'!$B$36,N44+M45-V44)))</f>
        <v>179.39999999999984</v>
      </c>
      <c r="O45" s="13">
        <f>N45*VLOOKUP('Données projet'!$B$9,Paramètres!$A$1:$I$89,3,0)*VLOOKUP('Données projet'!$B$9,Paramètres!$A$1:$I$89,5,0)</f>
        <v>142.73063999999988</v>
      </c>
      <c r="P45" s="13">
        <f t="shared" si="33"/>
        <v>36.921851771122689</v>
      </c>
      <c r="Q45" s="20">
        <f t="shared" si="53"/>
        <v>312.89475650137177</v>
      </c>
      <c r="R45" s="59">
        <f t="shared" si="0"/>
        <v>606.22808983470509</v>
      </c>
      <c r="S45" s="59">
        <f ca="1">AVERAGE(OFFSET($R$3,0,0,'Données projet'!$E$9+1,1))-AVERAGE(OFFSET($H$3,0,0,'Données projet'!$E$9+1,1))</f>
        <v>199.58763537752952</v>
      </c>
      <c r="T45" s="59">
        <f t="shared" si="34"/>
        <v>242.62852778451929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7.3726640367681702</v>
      </c>
      <c r="AB45" s="21">
        <f>EXP(-LN(2)/2)*AB44+(1-EXP(-LN(2)/2))/(LN(2)/2)*V45*Y45*VLOOKUP('Données projet'!$B$9,Paramètres!$A$1:$I$89,3,0)*0.475*44/12</f>
        <v>0.16814934989406585</v>
      </c>
      <c r="AC45" s="22">
        <f t="shared" si="3"/>
        <v>7.5408133866622364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14.5</v>
      </c>
      <c r="AI45" s="13">
        <f>IF('Données projet'!$A$62&gt;35,AI44+AH45-AQ44,IF(A45&lt;'Données projet'!$A$62,$AF$205^A45,IF(A45='Données projet'!$A$62,'Données projet'!$B$62,AI44+AH45-AQ44)))</f>
        <v>223</v>
      </c>
      <c r="AJ45" s="13">
        <f>AI45*VLOOKUP('Données projet'!$B$10,Paramètres!$A$1:$I$89,3,0)*VLOOKUP('Données projet'!$B$10,Paramètres!$A$1:$I$89,5,0)</f>
        <v>133.35400000000001</v>
      </c>
      <c r="AK45" s="13">
        <f t="shared" si="35"/>
        <v>34.770217553947298</v>
      </c>
      <c r="AL45" s="20">
        <f t="shared" si="4"/>
        <v>292.81634557312492</v>
      </c>
      <c r="AM45" s="59">
        <f t="shared" si="5"/>
        <v>586.14967890645823</v>
      </c>
      <c r="AN45" s="59">
        <f ca="1">AVERAGE(OFFSET($AM$3,0,0,'Données projet'!$E$10+1,1))-AVERAGE(OFFSET($H$3,0,0,'Données projet'!$E$10+1,1))</f>
        <v>287.78657453117694</v>
      </c>
      <c r="AO45" s="59">
        <f t="shared" si="36"/>
        <v>153.31562485362252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2.3080521763698241</v>
      </c>
      <c r="AV45" s="21">
        <f>EXP(-LN(2)/25)*AV44+(1-EXP(-LN(2)/25))/(LN(2)/25)*Calculateur!AQ45*Calculateur!AS45*VLOOKUP('Données projet'!$B$10,Paramètres!$A$1:$I$89,3,0)*0.475*44/12</f>
        <v>4.1809805401556428</v>
      </c>
      <c r="AW45" s="21">
        <f>EXP(-LN(2)/2)*AW44+(1-EXP(-LN(2)/2))/(LN(2)/2)*AQ45*AT45*VLOOKUP('Données projet'!$B$10,Paramètres!$A$1:$I$89,3,0)*0.475*44/12</f>
        <v>0.17350044669221201</v>
      </c>
      <c r="AX45" s="21">
        <f t="shared" si="6"/>
        <v>6.6625331632176783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15.364102564102568</v>
      </c>
      <c r="BD45" s="12">
        <f>IF('Données projet'!$A$88&gt;35,BD44+BC45-BL44,IF(A45&lt;'Données projet'!$A$88,$BA$205^A45,IF(A45='Données projet'!$A$88,'Données projet'!$B$88,BD44+BC45-BL44)))</f>
        <v>301.36666666666662</v>
      </c>
      <c r="BE45" s="13">
        <f>BD45*VLOOKUP('Données projet'!$B$11,Paramètres!$A$1:$I$89,3,0)*VLOOKUP('Données projet'!$B$11,Paramètres!$A$1:$I$89,5,0)</f>
        <v>180.21726666666666</v>
      </c>
      <c r="BF45" s="13">
        <f t="shared" si="37"/>
        <v>45.370520602809727</v>
      </c>
      <c r="BG45" s="20">
        <f t="shared" si="7"/>
        <v>392.89872949433806</v>
      </c>
      <c r="BH45" s="59">
        <f t="shared" si="8"/>
        <v>686.23206282767137</v>
      </c>
      <c r="BI45" s="59">
        <f ca="1">AVERAGE(OFFSET($BH$3,0,0,'Données projet'!$E$11+1,1))-AVERAGE(OFFSET($H$3,0,0,'Données projet'!$E$11+1,1))</f>
        <v>250.93905519128998</v>
      </c>
      <c r="BJ45" s="59">
        <f t="shared" si="38"/>
        <v>222.32879462265032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1.0101208697460997</v>
      </c>
      <c r="BQ45" s="21">
        <f>EXP(-LN(2)/25)*BQ44+(1-EXP(-LN(2)/25))/(LN(2)/25)*Calculateur!BL45*Calculateur!BN45*VLOOKUP('Données projet'!$B$11,Paramètres!$A$1:$I$89,3,0)*0.475*44/12</f>
        <v>8.2987995116199986</v>
      </c>
      <c r="BR45" s="21">
        <f>EXP(-LN(2)/2)*BR44+(1-EXP(-LN(2)/2))/(LN(2)/2)*BL45*BO45*VLOOKUP('Données projet'!$B$11,Paramètres!$A$1:$I$89,3,0)*0.475*44/12</f>
        <v>2.9490289856976094E-2</v>
      </c>
      <c r="BS45" s="22">
        <f t="shared" si="9"/>
        <v>9.338410671223075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11.861538461538462</v>
      </c>
      <c r="BY45" s="12">
        <f>IF('Données projet'!$A$114&gt;35,BY44+BX45-CG44,IF(A45&lt;'Données projet'!$A$114,$BV$205^A45,IF(A45='Données projet'!$A$114,'Données projet'!$B$114,BY44+BX45-CG44)))</f>
        <v>196.19230769230771</v>
      </c>
      <c r="BZ45" s="13">
        <f>BY45*VLOOKUP('Données projet'!$B$12,Paramètres!$A$1:$I$89,3,0)*VLOOKUP('Données projet'!$B$12,Paramètres!$A$1:$I$89,5,0)</f>
        <v>117.32300000000002</v>
      </c>
      <c r="CA45" s="13">
        <f t="shared" si="39"/>
        <v>31.049815552357138</v>
      </c>
      <c r="CB45" s="20">
        <f t="shared" si="10"/>
        <v>258.41598708702207</v>
      </c>
      <c r="CC45" s="59">
        <f t="shared" si="11"/>
        <v>551.74932042035539</v>
      </c>
      <c r="CD45" s="59">
        <f ca="1">AVERAGE(OFFSET($CC$3,0,0,'Données projet'!$E$12+1,1))-AVERAGE(OFFSET($H$3,0,0,'Données projet'!$E$12+1,1))</f>
        <v>179.32848817523677</v>
      </c>
      <c r="CE45" s="59">
        <f t="shared" si="40"/>
        <v>131.3292389103035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9.4498213586411506</v>
      </c>
      <c r="CM45" s="21">
        <f>EXP(-LN(2)/2)*CM44+(1-EXP(-LN(2)/2))/(LN(2)/2)*CG45*CJ45*VLOOKUP('Données projet'!$B$12,Paramètres!$A$1:$I$89,3,0)*0.475*44/12</f>
        <v>8.223233401945991E-2</v>
      </c>
      <c r="CN45" s="22">
        <f t="shared" si="12"/>
        <v>9.532053692660611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188.66025641025641</v>
      </c>
      <c r="CR45" s="12">
        <f>VLOOKUP(A45,'Données projet'!$A$139:$I$159,9,0)</f>
        <v>9.8108974358974379</v>
      </c>
      <c r="CS45" s="12">
        <f t="array" ref="CS45">INDEX(CR:CR,MIN(IF(ISNUMBER(CR45:CR241),ROW(CR45:CR241),"")))</f>
        <v>9.8108974358974379</v>
      </c>
      <c r="CT45" s="12">
        <f>IF('Données projet'!$A$140&gt;35,CT44+CS45-DB44,IF(A45&lt;'Données projet'!$A$140,$CQ$205^A45,IF(A45='Données projet'!$A$140,'Données projet'!$B$140,CT44+CS45-DB44)))</f>
        <v>188.66025641025638</v>
      </c>
      <c r="CU45" s="17">
        <f>CT45*VLOOKUP('Données projet'!$B$13,Paramètres!$A$1:$I$89,3,0)*VLOOKUP('Données projet'!$B$13,Paramètres!$A$1:$I$89,5,0)</f>
        <v>170.69979999999998</v>
      </c>
      <c r="CV45" s="13">
        <f t="shared" si="41"/>
        <v>43.246718013796333</v>
      </c>
      <c r="CW45" s="20">
        <f t="shared" si="13"/>
        <v>372.62351887402855</v>
      </c>
      <c r="CX45" s="59">
        <f t="shared" si="14"/>
        <v>665.95685220736186</v>
      </c>
      <c r="CY45" s="59">
        <f ca="1">AVERAGE(OFFSET($CX$3,0,0,'Données projet'!$E$13+1,1))-AVERAGE(OFFSET($H$3,0,0,'Données projet'!$E$13+1,1))</f>
        <v>309.07357540707869</v>
      </c>
      <c r="CZ45" s="59">
        <f t="shared" si="42"/>
        <v>155.9593924683299</v>
      </c>
      <c r="DA45" s="15">
        <f>IF(ISNA(VLOOKUP(A45,'Données projet'!$A$139:$I$159,3,0)),0,VLOOKUP(A45,'Données projet'!$A$139:$I$159,3,0))</f>
        <v>2</v>
      </c>
      <c r="DB45" s="15">
        <f>IF(ISNA(VLOOKUP(A45,'Données projet'!$A$139:$I$159,4,0)),0,VLOOKUP(A45,'Données projet'!$A$139:$I$159,4,0))</f>
        <v>45.198717948717949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6.8</v>
      </c>
      <c r="DO45" s="12">
        <f>IF('Données projet'!$A$166&gt;35,DO44+DN45-DW44,IF(A45&lt;'Données projet'!$A$166,$DL$205^A45,IF(A45='Données projet'!$A$166,'Données projet'!$B$166,DO44+DN45-DW44)))</f>
        <v>158.59999999999988</v>
      </c>
      <c r="DP45" s="17">
        <f>DO45*VLOOKUP('Données projet'!$B$14,Paramètres!$A$1:$I$89,3,0)*VLOOKUP('Données projet'!$B$14,Paramètres!$A$1:$I$89,5,0)</f>
        <v>138.55295999999993</v>
      </c>
      <c r="DQ45" s="13">
        <f t="shared" si="43"/>
        <v>35.965308766301767</v>
      </c>
      <c r="DR45" s="20">
        <f t="shared" si="16"/>
        <v>303.95265143464206</v>
      </c>
      <c r="DS45" s="59">
        <f t="shared" si="17"/>
        <v>597.28598476797538</v>
      </c>
      <c r="DT45" s="59">
        <f ca="1">AVERAGE(OFFSET($DS$3,0,0,'Données projet'!$E$14+1,1))-AVERAGE(OFFSET($H$3,0,0,'Données projet'!$E$14+1,1))</f>
        <v>210.07838338464626</v>
      </c>
      <c r="DU45" s="59">
        <f t="shared" si="44"/>
        <v>241.76003724236273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4.1791064646512321</v>
      </c>
      <c r="EB45" s="21">
        <f>EXP(-LN(2)/25)*EB44+(1-EXP(-LN(2)/25))/(LN(2)/25)*Calculateur!DW45*Calculateur!DY45*VLOOKUP('Données projet'!$B$14,Paramètres!$A$1:$I$89,3,0)*0.475*44/12</f>
        <v>9.7221498515524072</v>
      </c>
      <c r="EC45" s="21">
        <f>EXP(-LN(2)/2)*EC44+(1-EXP(-LN(2)/2))/(LN(2)/2)*DW45*DZ45*VLOOKUP('Données projet'!$B$14,Paramètres!$A$1:$I$89,3,0)*0.475*44/12</f>
        <v>0.24955350735701956</v>
      </c>
      <c r="ED45" s="22">
        <f t="shared" si="18"/>
        <v>14.150809823560659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11</v>
      </c>
      <c r="EJ45" s="12">
        <f>IF('Données projet'!$A$192&gt;35,EJ44+EI45-ER44,IF(A45&lt;'Données projet'!$A$192,$EG$205^A45,IF(A45='Données projet'!$A$192,'Données projet'!$B$192,EJ44+EI45-ER44)))</f>
        <v>235.00000000000017</v>
      </c>
      <c r="EK45" s="17">
        <f>EJ45*VLOOKUP('Données projet'!$B$15,Paramètres!$A$1:$I$89,3,0)*VLOOKUP('Données projet'!$B$15,Paramètres!$A$1:$I$89,5,0)</f>
        <v>146.6400000000001</v>
      </c>
      <c r="EL45" s="13">
        <f t="shared" si="45"/>
        <v>37.814009712703054</v>
      </c>
      <c r="EM45" s="20">
        <f t="shared" si="19"/>
        <v>321.25740024962471</v>
      </c>
      <c r="EN45" s="59">
        <f t="shared" si="20"/>
        <v>614.59073358295802</v>
      </c>
      <c r="EO45" s="59">
        <f ca="1">AVERAGE(OFFSET($EN$3,0,0,'Données projet'!$E$15+1,1))-AVERAGE(OFFSET($H$3,0,0,'Données projet'!$E$15+1,1))</f>
        <v>209.93608079129638</v>
      </c>
      <c r="EP45" s="59">
        <f t="shared" si="46"/>
        <v>240.15652428700969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5.4825417551096542</v>
      </c>
      <c r="EW45" s="21">
        <f>EXP(-LN(2)/25)*EW44+(1-EXP(-LN(2)/25))/(LN(2)/25)*Calculateur!ER45*Calculateur!ET45*VLOOKUP('Données projet'!$B$15,Paramètres!$A$1:$I$89,3,0)*0.475*44/12</f>
        <v>14.904465214196767</v>
      </c>
      <c r="EX45" s="21">
        <f>EXP(-LN(2)/2)*EX44+(1-EXP(-LN(2)/2))/(LN(2)/2)*ER45*EU45*VLOOKUP('Données projet'!$B$15,Paramètres!$A$1:$I$89,3,0)*0.475*44/12</f>
        <v>0.3154814922455485</v>
      </c>
      <c r="EY45" s="22">
        <f t="shared" si="21"/>
        <v>20.702488461551969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7.7</v>
      </c>
      <c r="N46" s="13">
        <f>IF('Données projet'!$A$36&gt;35,N45+M46-V45,IF(A46&lt;'Données projet'!$A$36,$K$205^A46,IF(A46='Données projet'!$A$36,'Données projet'!$B$36,N45+M46-V45)))</f>
        <v>187.09999999999982</v>
      </c>
      <c r="O46" s="13">
        <f>N46*VLOOKUP('Données projet'!$B$9,Paramètres!$A$1:$I$89,3,0)*VLOOKUP('Données projet'!$B$9,Paramètres!$A$1:$I$89,5,0)</f>
        <v>148.85675999999987</v>
      </c>
      <c r="P46" s="13">
        <f t="shared" si="33"/>
        <v>38.318664656580218</v>
      </c>
      <c r="Q46" s="20">
        <f t="shared" si="53"/>
        <v>325.9971979435436</v>
      </c>
      <c r="R46" s="59">
        <f t="shared" si="0"/>
        <v>619.33053127687685</v>
      </c>
      <c r="S46" s="59">
        <f ca="1">AVERAGE(OFFSET($R$3,0,0,'Données projet'!$E$9+1,1))-AVERAGE(OFFSET($H$3,0,0,'Données projet'!$E$9+1,1))</f>
        <v>199.58763537752952</v>
      </c>
      <c r="T46" s="59">
        <f t="shared" si="34"/>
        <v>242.62852778451929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7.1710581509711933</v>
      </c>
      <c r="AB46" s="21">
        <f>EXP(-LN(2)/2)*AB45+(1-EXP(-LN(2)/2))/(LN(2)/2)*V46*Y46*VLOOKUP('Données projet'!$B$9,Paramètres!$A$1:$I$89,3,0)*0.475*44/12</f>
        <v>0.11889954556220345</v>
      </c>
      <c r="AC46" s="22">
        <f t="shared" si="3"/>
        <v>7.2899576965333965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14.5</v>
      </c>
      <c r="AI46" s="13">
        <f>IF('Données projet'!$A$62&gt;35,AI45+AH46-AQ45,IF(A46&lt;'Données projet'!$A$62,$AF$205^A46,IF(A46='Données projet'!$A$62,'Données projet'!$B$62,AI45+AH46-AQ45)))</f>
        <v>237.5</v>
      </c>
      <c r="AJ46" s="13">
        <f>AI46*VLOOKUP('Données projet'!$B$10,Paramètres!$A$1:$I$89,3,0)*VLOOKUP('Données projet'!$B$10,Paramètres!$A$1:$I$89,5,0)</f>
        <v>142.02500000000001</v>
      </c>
      <c r="AK46" s="13">
        <f t="shared" si="35"/>
        <v>36.760516124937922</v>
      </c>
      <c r="AL46" s="20">
        <f t="shared" si="4"/>
        <v>311.38477391760023</v>
      </c>
      <c r="AM46" s="59">
        <f t="shared" si="5"/>
        <v>604.7181072509336</v>
      </c>
      <c r="AN46" s="59">
        <f ca="1">AVERAGE(OFFSET($AM$3,0,0,'Données projet'!$E$10+1,1))-AVERAGE(OFFSET($H$3,0,0,'Données projet'!$E$10+1,1))</f>
        <v>287.78657453117694</v>
      </c>
      <c r="AO46" s="59">
        <f t="shared" si="36"/>
        <v>153.31562485362252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2.2627926809640333</v>
      </c>
      <c r="AV46" s="21">
        <f>EXP(-LN(2)/25)*AV45+(1-EXP(-LN(2)/25))/(LN(2)/25)*Calculateur!AQ46*Calculateur!AS46*VLOOKUP('Données projet'!$B$10,Paramètres!$A$1:$I$89,3,0)*0.475*44/12</f>
        <v>4.0666514074168756</v>
      </c>
      <c r="AW46" s="21">
        <f>EXP(-LN(2)/2)*AW45+(1-EXP(-LN(2)/2))/(LN(2)/2)*AQ46*AT46*VLOOKUP('Données projet'!$B$10,Paramètres!$A$1:$I$89,3,0)*0.475*44/12</f>
        <v>0.12268334239495822</v>
      </c>
      <c r="AX46" s="21">
        <f t="shared" si="6"/>
        <v>6.4521274307758665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15.364102564102568</v>
      </c>
      <c r="BD46" s="12">
        <f>IF('Données projet'!$A$88&gt;35,BD45+BC46-BL45,IF(A46&lt;'Données projet'!$A$88,$BA$205^A46,IF(A46='Données projet'!$A$88,'Données projet'!$B$88,BD45+BC46-BL45)))</f>
        <v>316.73076923076917</v>
      </c>
      <c r="BE46" s="13">
        <f>BD46*VLOOKUP('Données projet'!$B$11,Paramètres!$A$1:$I$89,3,0)*VLOOKUP('Données projet'!$B$11,Paramètres!$A$1:$I$89,5,0)</f>
        <v>189.405</v>
      </c>
      <c r="BF46" s="13">
        <f t="shared" si="37"/>
        <v>47.408382795872441</v>
      </c>
      <c r="BG46" s="20">
        <f t="shared" si="7"/>
        <v>412.44997503614445</v>
      </c>
      <c r="BH46" s="59">
        <f t="shared" si="8"/>
        <v>705.78330836947771</v>
      </c>
      <c r="BI46" s="59">
        <f ca="1">AVERAGE(OFFSET($BH$3,0,0,'Données projet'!$E$11+1,1))-AVERAGE(OFFSET($H$3,0,0,'Données projet'!$E$11+1,1))</f>
        <v>250.93905519128998</v>
      </c>
      <c r="BJ46" s="59">
        <f t="shared" si="38"/>
        <v>222.32879462265032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0.99031301560327312</v>
      </c>
      <c r="BQ46" s="21">
        <f>EXP(-LN(2)/25)*BQ45+(1-EXP(-LN(2)/25))/(LN(2)/25)*Calculateur!BL46*Calculateur!BN46*VLOOKUP('Données projet'!$B$11,Paramètres!$A$1:$I$89,3,0)*0.475*44/12</f>
        <v>8.0718684025598506</v>
      </c>
      <c r="BR46" s="21">
        <f>EXP(-LN(2)/2)*BR45+(1-EXP(-LN(2)/2))/(LN(2)/2)*BL46*BO46*VLOOKUP('Données projet'!$B$11,Paramètres!$A$1:$I$89,3,0)*0.475*44/12</f>
        <v>2.0852783937024659E-2</v>
      </c>
      <c r="BS46" s="22">
        <f t="shared" si="9"/>
        <v>9.0830342021001496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11.861538461538462</v>
      </c>
      <c r="BY46" s="12">
        <f>IF('Données projet'!$A$114&gt;35,BY45+BX46-CG45,IF(A46&lt;'Données projet'!$A$114,$BV$205^A46,IF(A46='Données projet'!$A$114,'Données projet'!$B$114,BY45+BX46-CG45)))</f>
        <v>208.05384615384617</v>
      </c>
      <c r="BZ46" s="13">
        <f>BY46*VLOOKUP('Données projet'!$B$12,Paramètres!$A$1:$I$89,3,0)*VLOOKUP('Données projet'!$B$12,Paramètres!$A$1:$I$89,5,0)</f>
        <v>124.41620000000002</v>
      </c>
      <c r="CA46" s="13">
        <f t="shared" si="39"/>
        <v>32.702828934083335</v>
      </c>
      <c r="CB46" s="20">
        <f t="shared" si="10"/>
        <v>273.64897539352847</v>
      </c>
      <c r="CC46" s="59">
        <f t="shared" si="11"/>
        <v>566.98230872686179</v>
      </c>
      <c r="CD46" s="59">
        <f ca="1">AVERAGE(OFFSET($CC$3,0,0,'Données projet'!$E$12+1,1))-AVERAGE(OFFSET($H$3,0,0,'Données projet'!$E$12+1,1))</f>
        <v>179.32848817523677</v>
      </c>
      <c r="CE46" s="59">
        <f t="shared" si="40"/>
        <v>131.3292389103035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9.1914154966446002</v>
      </c>
      <c r="CM46" s="21">
        <f>EXP(-LN(2)/2)*CM45+(1-EXP(-LN(2)/2))/(LN(2)/2)*CG46*CJ46*VLOOKUP('Données projet'!$B$12,Paramètres!$A$1:$I$89,3,0)*0.475*44/12</f>
        <v>5.8147041017957334E-2</v>
      </c>
      <c r="CN46" s="22">
        <f t="shared" si="12"/>
        <v>9.2495625376625572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9.9423076923076934</v>
      </c>
      <c r="CT46" s="12">
        <f>IF('Données projet'!$A$140&gt;35,CT45+CS46-DB45,IF(A46&lt;'Données projet'!$A$140,$CQ$205^A46,IF(A46='Données projet'!$A$140,'Données projet'!$B$140,CT45+CS46-DB45)))</f>
        <v>153.40384615384613</v>
      </c>
      <c r="CU46" s="17">
        <f>CT46*VLOOKUP('Données projet'!$B$13,Paramètres!$A$1:$I$89,3,0)*VLOOKUP('Données projet'!$B$13,Paramètres!$A$1:$I$89,5,0)</f>
        <v>138.79979999999998</v>
      </c>
      <c r="CV46" s="13">
        <f t="shared" si="41"/>
        <v>36.021918906010839</v>
      </c>
      <c r="CW46" s="20">
        <f t="shared" si="13"/>
        <v>304.4811604279688</v>
      </c>
      <c r="CX46" s="59">
        <f t="shared" si="14"/>
        <v>597.81449376130217</v>
      </c>
      <c r="CY46" s="59">
        <f ca="1">AVERAGE(OFFSET($CX$3,0,0,'Données projet'!$E$13+1,1))-AVERAGE(OFFSET($H$3,0,0,'Données projet'!$E$13+1,1))</f>
        <v>309.07357540707869</v>
      </c>
      <c r="CZ46" s="59">
        <f t="shared" si="42"/>
        <v>155.9593924683299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6.8</v>
      </c>
      <c r="DO46" s="12">
        <f>IF('Données projet'!$A$166&gt;35,DO45+DN46-DW45,IF(A46&lt;'Données projet'!$A$166,$DL$205^A46,IF(A46='Données projet'!$A$166,'Données projet'!$B$166,DO45+DN46-DW45)))</f>
        <v>165.39999999999989</v>
      </c>
      <c r="DP46" s="17">
        <f>DO46*VLOOKUP('Données projet'!$B$14,Paramètres!$A$1:$I$89,3,0)*VLOOKUP('Données projet'!$B$14,Paramètres!$A$1:$I$89,5,0)</f>
        <v>144.49343999999994</v>
      </c>
      <c r="DQ46" s="13">
        <f t="shared" si="43"/>
        <v>37.324489208332842</v>
      </c>
      <c r="DR46" s="20">
        <f t="shared" si="16"/>
        <v>316.66622670451289</v>
      </c>
      <c r="DS46" s="59">
        <f t="shared" si="17"/>
        <v>609.99956003784621</v>
      </c>
      <c r="DT46" s="59">
        <f ca="1">AVERAGE(OFFSET($DS$3,0,0,'Données projet'!$E$14+1,1))-AVERAGE(OFFSET($H$3,0,0,'Données projet'!$E$14+1,1))</f>
        <v>210.07838338464626</v>
      </c>
      <c r="DU46" s="59">
        <f t="shared" si="44"/>
        <v>241.76003724236273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4.0971567358826722</v>
      </c>
      <c r="EB46" s="21">
        <f>EXP(-LN(2)/25)*EB45+(1-EXP(-LN(2)/25))/(LN(2)/25)*Calculateur!DW46*Calculateur!DY46*VLOOKUP('Données projet'!$B$14,Paramètres!$A$1:$I$89,3,0)*0.475*44/12</f>
        <v>9.4562971525960666</v>
      </c>
      <c r="EC46" s="21">
        <f>EXP(-LN(2)/2)*EC45+(1-EXP(-LN(2)/2))/(LN(2)/2)*DW46*DZ46*VLOOKUP('Données projet'!$B$14,Paramètres!$A$1:$I$89,3,0)*0.475*44/12</f>
        <v>0.17646097732103552</v>
      </c>
      <c r="ED46" s="22">
        <f t="shared" si="18"/>
        <v>13.729914865799774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11</v>
      </c>
      <c r="EJ46" s="12">
        <f>IF('Données projet'!$A$192&gt;35,EJ45+EI46-ER45,IF(A46&lt;'Données projet'!$A$192,$EG$205^A46,IF(A46='Données projet'!$A$192,'Données projet'!$B$192,EJ45+EI46-ER45)))</f>
        <v>246.00000000000017</v>
      </c>
      <c r="EK46" s="17">
        <f>EJ46*VLOOKUP('Données projet'!$B$15,Paramètres!$A$1:$I$89,3,0)*VLOOKUP('Données projet'!$B$15,Paramètres!$A$1:$I$89,5,0)</f>
        <v>153.5040000000001</v>
      </c>
      <c r="EL46" s="13">
        <f t="shared" si="45"/>
        <v>39.373808884365637</v>
      </c>
      <c r="EM46" s="20">
        <f t="shared" si="19"/>
        <v>335.92885047360363</v>
      </c>
      <c r="EN46" s="59">
        <f t="shared" si="20"/>
        <v>629.26218380693695</v>
      </c>
      <c r="EO46" s="59">
        <f ca="1">AVERAGE(OFFSET($EN$3,0,0,'Données projet'!$E$15+1,1))-AVERAGE(OFFSET($H$3,0,0,'Données projet'!$E$15+1,1))</f>
        <v>209.93608079129638</v>
      </c>
      <c r="EP46" s="59">
        <f t="shared" si="46"/>
        <v>240.15652428700969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5.3750324553122297</v>
      </c>
      <c r="EW46" s="21">
        <f>EXP(-LN(2)/25)*EW45+(1-EXP(-LN(2)/25))/(LN(2)/25)*Calculateur!ER46*Calculateur!ET46*VLOOKUP('Données projet'!$B$15,Paramètres!$A$1:$I$89,3,0)*0.475*44/12</f>
        <v>14.496901829122795</v>
      </c>
      <c r="EX46" s="21">
        <f>EXP(-LN(2)/2)*EX45+(1-EXP(-LN(2)/2))/(LN(2)/2)*ER46*EU46*VLOOKUP('Données projet'!$B$15,Paramètres!$A$1:$I$89,3,0)*0.475*44/12</f>
        <v>0.22307910250567856</v>
      </c>
      <c r="EY46" s="22">
        <f t="shared" si="21"/>
        <v>20.095013386940703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7.7</v>
      </c>
      <c r="N47" s="13">
        <f>IF('Données projet'!$A$36&gt;35,N46+M47-V46,IF(A47&lt;'Données projet'!$A$36,$K$205^A47,IF(A47='Données projet'!$A$36,'Données projet'!$B$36,N46+M47-V46)))</f>
        <v>194.79999999999981</v>
      </c>
      <c r="O47" s="13">
        <f>N47*VLOOKUP('Données projet'!$B$9,Paramètres!$A$1:$I$89,3,0)*VLOOKUP('Données projet'!$B$9,Paramètres!$A$1:$I$89,5,0)</f>
        <v>154.98287999999985</v>
      </c>
      <c r="P47" s="13">
        <f t="shared" si="33"/>
        <v>39.708800288935478</v>
      </c>
      <c r="Q47" s="20">
        <f t="shared" si="53"/>
        <v>339.08800983656238</v>
      </c>
      <c r="R47" s="59">
        <f t="shared" si="0"/>
        <v>632.42134316989564</v>
      </c>
      <c r="S47" s="59">
        <f ca="1">AVERAGE(OFFSET($R$3,0,0,'Données projet'!$E$9+1,1))-AVERAGE(OFFSET($H$3,0,0,'Données projet'!$E$9+1,1))</f>
        <v>199.58763537752952</v>
      </c>
      <c r="T47" s="59">
        <f t="shared" si="34"/>
        <v>242.62852778451929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6.9749651887233277</v>
      </c>
      <c r="AB47" s="21">
        <f>EXP(-LN(2)/2)*AB46+(1-EXP(-LN(2)/2))/(LN(2)/2)*V47*Y47*VLOOKUP('Données projet'!$B$9,Paramètres!$A$1:$I$89,3,0)*0.475*44/12</f>
        <v>8.407467494703294E-2</v>
      </c>
      <c r="AC47" s="22">
        <f t="shared" si="3"/>
        <v>7.0590398636703604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14.5</v>
      </c>
      <c r="AI47" s="13">
        <f>IF('Données projet'!$A$62&gt;35,AI46+AH47-AQ46,IF(A47&lt;'Données projet'!$A$62,$AF$205^A47,IF(A47='Données projet'!$A$62,'Données projet'!$B$62,AI46+AH47-AQ46)))</f>
        <v>252</v>
      </c>
      <c r="AJ47" s="13">
        <f>AI47*VLOOKUP('Données projet'!$B$10,Paramètres!$A$1:$I$89,3,0)*VLOOKUP('Données projet'!$B$10,Paramètres!$A$1:$I$89,5,0)</f>
        <v>150.696</v>
      </c>
      <c r="AK47" s="13">
        <f t="shared" si="35"/>
        <v>38.736711478840633</v>
      </c>
      <c r="AL47" s="20">
        <f t="shared" si="4"/>
        <v>329.92863915898073</v>
      </c>
      <c r="AM47" s="59">
        <f t="shared" si="5"/>
        <v>623.26197249231404</v>
      </c>
      <c r="AN47" s="59">
        <f ca="1">AVERAGE(OFFSET($AM$3,0,0,'Données projet'!$E$10+1,1))-AVERAGE(OFFSET($H$3,0,0,'Données projet'!$E$10+1,1))</f>
        <v>287.78657453117694</v>
      </c>
      <c r="AO47" s="59">
        <f t="shared" si="36"/>
        <v>153.31562485362252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2.2184206966575837</v>
      </c>
      <c r="AV47" s="21">
        <f>EXP(-LN(2)/25)*AV46+(1-EXP(-LN(2)/25))/(LN(2)/25)*Calculateur!AQ47*Calculateur!AS47*VLOOKUP('Données projet'!$B$10,Paramètres!$A$1:$I$89,3,0)*0.475*44/12</f>
        <v>3.9554486108251581</v>
      </c>
      <c r="AW47" s="21">
        <f>EXP(-LN(2)/2)*AW46+(1-EXP(-LN(2)/2))/(LN(2)/2)*AQ47*AT47*VLOOKUP('Données projet'!$B$10,Paramètres!$A$1:$I$89,3,0)*0.475*44/12</f>
        <v>8.675022334610602E-2</v>
      </c>
      <c r="AX47" s="21">
        <f t="shared" si="6"/>
        <v>6.2606195308288477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15.364102564102568</v>
      </c>
      <c r="BD47" s="12">
        <f>IF('Données projet'!$A$88&gt;35,BD46+BC47-BL46,IF(A47&lt;'Données projet'!$A$88,$BA$205^A47,IF(A47='Données projet'!$A$88,'Données projet'!$B$88,BD46+BC47-BL46)))</f>
        <v>332.09487179487172</v>
      </c>
      <c r="BE47" s="13">
        <f>BD47*VLOOKUP('Données projet'!$B$11,Paramètres!$A$1:$I$89,3,0)*VLOOKUP('Données projet'!$B$11,Paramètres!$A$1:$I$89,5,0)</f>
        <v>198.59273333333329</v>
      </c>
      <c r="BF47" s="13">
        <f t="shared" si="37"/>
        <v>49.434766120428968</v>
      </c>
      <c r="BG47" s="20">
        <f t="shared" si="7"/>
        <v>431.98122821530256</v>
      </c>
      <c r="BH47" s="59">
        <f t="shared" si="8"/>
        <v>725.31456154863588</v>
      </c>
      <c r="BI47" s="59">
        <f ca="1">AVERAGE(OFFSET($BH$3,0,0,'Données projet'!$E$11+1,1))-AVERAGE(OFFSET($H$3,0,0,'Données projet'!$E$11+1,1))</f>
        <v>250.93905519128998</v>
      </c>
      <c r="BJ47" s="59">
        <f t="shared" si="38"/>
        <v>222.32879462265032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0.97089358139858928</v>
      </c>
      <c r="BQ47" s="21">
        <f>EXP(-LN(2)/25)*BQ46+(1-EXP(-LN(2)/25))/(LN(2)/25)*Calculateur!BL47*Calculateur!BN47*VLOOKUP('Données projet'!$B$11,Paramètres!$A$1:$I$89,3,0)*0.475*44/12</f>
        <v>7.8511427366107407</v>
      </c>
      <c r="BR47" s="21">
        <f>EXP(-LN(2)/2)*BR46+(1-EXP(-LN(2)/2))/(LN(2)/2)*BL47*BO47*VLOOKUP('Données projet'!$B$11,Paramètres!$A$1:$I$89,3,0)*0.475*44/12</f>
        <v>1.474514492848805E-2</v>
      </c>
      <c r="BS47" s="22">
        <f t="shared" si="9"/>
        <v>8.8367814629378181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11.861538461538462</v>
      </c>
      <c r="BY47" s="12">
        <f>IF('Données projet'!$A$114&gt;35,BY46+BX47-CG46,IF(A47&lt;'Données projet'!$A$114,$BV$205^A47,IF(A47='Données projet'!$A$114,'Données projet'!$B$114,BY46+BX47-CG46)))</f>
        <v>219.91538461538462</v>
      </c>
      <c r="BZ47" s="13">
        <f>BY47*VLOOKUP('Données projet'!$B$12,Paramètres!$A$1:$I$89,3,0)*VLOOKUP('Données projet'!$B$12,Paramètres!$A$1:$I$89,5,0)</f>
        <v>131.50940000000003</v>
      </c>
      <c r="CA47" s="13">
        <f t="shared" si="39"/>
        <v>34.344902681781598</v>
      </c>
      <c r="CB47" s="20">
        <f t="shared" si="10"/>
        <v>288.86291050410301</v>
      </c>
      <c r="CC47" s="59">
        <f t="shared" si="11"/>
        <v>582.19624383743633</v>
      </c>
      <c r="CD47" s="59">
        <f ca="1">AVERAGE(OFFSET($CC$3,0,0,'Données projet'!$E$12+1,1))-AVERAGE(OFFSET($H$3,0,0,'Données projet'!$E$12+1,1))</f>
        <v>179.32848817523677</v>
      </c>
      <c r="CE47" s="59">
        <f t="shared" si="40"/>
        <v>131.3292389103035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8.9400757565333198</v>
      </c>
      <c r="CM47" s="21">
        <f>EXP(-LN(2)/2)*CM46+(1-EXP(-LN(2)/2))/(LN(2)/2)*CG47*CJ47*VLOOKUP('Données projet'!$B$12,Paramètres!$A$1:$I$89,3,0)*0.475*44/12</f>
        <v>4.1116167009729962E-2</v>
      </c>
      <c r="CN47" s="22">
        <f t="shared" si="12"/>
        <v>8.9811919235430491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9.9423076923076934</v>
      </c>
      <c r="CT47" s="12">
        <f>IF('Données projet'!$A$140&gt;35,CT46+CS47-DB46,IF(A47&lt;'Données projet'!$A$140,$CQ$205^A47,IF(A47='Données projet'!$A$140,'Données projet'!$B$140,CT46+CS47-DB46)))</f>
        <v>163.34615384615381</v>
      </c>
      <c r="CU47" s="17">
        <f>CT47*VLOOKUP('Données projet'!$B$13,Paramètres!$A$1:$I$89,3,0)*VLOOKUP('Données projet'!$B$13,Paramètres!$A$1:$I$89,5,0)</f>
        <v>147.79559999999995</v>
      </c>
      <c r="CV47" s="13">
        <f t="shared" si="41"/>
        <v>38.077196976190542</v>
      </c>
      <c r="CW47" s="20">
        <f t="shared" si="13"/>
        <v>323.72845473353181</v>
      </c>
      <c r="CX47" s="59">
        <f t="shared" si="14"/>
        <v>617.06178806686512</v>
      </c>
      <c r="CY47" s="59">
        <f ca="1">AVERAGE(OFFSET($CX$3,0,0,'Données projet'!$E$13+1,1))-AVERAGE(OFFSET($H$3,0,0,'Données projet'!$E$13+1,1))</f>
        <v>309.07357540707869</v>
      </c>
      <c r="CZ47" s="59">
        <f t="shared" si="42"/>
        <v>155.9593924683299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6.8</v>
      </c>
      <c r="DO47" s="12">
        <f>IF('Données projet'!$A$166&gt;35,DO46+DN47-DW46,IF(A47&lt;'Données projet'!$A$166,$DL$205^A47,IF(A47='Données projet'!$A$166,'Données projet'!$B$166,DO46+DN47-DW46)))</f>
        <v>172.1999999999999</v>
      </c>
      <c r="DP47" s="17">
        <f>DO47*VLOOKUP('Données projet'!$B$14,Paramètres!$A$1:$I$89,3,0)*VLOOKUP('Données projet'!$B$14,Paramètres!$A$1:$I$89,5,0)</f>
        <v>150.43391999999994</v>
      </c>
      <c r="DQ47" s="13">
        <f t="shared" si="43"/>
        <v>38.677178913707927</v>
      </c>
      <c r="DR47" s="20">
        <f t="shared" si="16"/>
        <v>329.36849727470786</v>
      </c>
      <c r="DS47" s="59">
        <f t="shared" si="17"/>
        <v>622.70183060804118</v>
      </c>
      <c r="DT47" s="59">
        <f ca="1">AVERAGE(OFFSET($DS$3,0,0,'Données projet'!$E$14+1,1))-AVERAGE(OFFSET($H$3,0,0,'Données projet'!$E$14+1,1))</f>
        <v>210.07838338464626</v>
      </c>
      <c r="DU47" s="59">
        <f t="shared" si="44"/>
        <v>241.76003724236273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4.0168139913108645</v>
      </c>
      <c r="EB47" s="21">
        <f>EXP(-LN(2)/25)*EB46+(1-EXP(-LN(2)/25))/(LN(2)/25)*Calculateur!DW47*Calculateur!DY47*VLOOKUP('Données projet'!$B$14,Paramètres!$A$1:$I$89,3,0)*0.475*44/12</f>
        <v>9.197714209673272</v>
      </c>
      <c r="EC47" s="21">
        <f>EXP(-LN(2)/2)*EC46+(1-EXP(-LN(2)/2))/(LN(2)/2)*DW47*DZ47*VLOOKUP('Données projet'!$B$14,Paramètres!$A$1:$I$89,3,0)*0.475*44/12</f>
        <v>0.12477675367850979</v>
      </c>
      <c r="ED47" s="22">
        <f t="shared" si="18"/>
        <v>13.339304954662648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11</v>
      </c>
      <c r="EJ47" s="12">
        <f>IF('Données projet'!$A$192&gt;35,EJ46+EI47-ER46,IF(A47&lt;'Données projet'!$A$192,$EG$205^A47,IF(A47='Données projet'!$A$192,'Données projet'!$B$192,EJ46+EI47-ER46)))</f>
        <v>257.00000000000017</v>
      </c>
      <c r="EK47" s="17">
        <f>EJ47*VLOOKUP('Données projet'!$B$15,Paramètres!$A$1:$I$89,3,0)*VLOOKUP('Données projet'!$B$15,Paramètres!$A$1:$I$89,5,0)</f>
        <v>160.36800000000011</v>
      </c>
      <c r="EL47" s="13">
        <f t="shared" si="45"/>
        <v>40.925507732566111</v>
      </c>
      <c r="EM47" s="20">
        <f t="shared" si="19"/>
        <v>350.58619263421946</v>
      </c>
      <c r="EN47" s="59">
        <f t="shared" si="20"/>
        <v>643.91952596755277</v>
      </c>
      <c r="EO47" s="59">
        <f ca="1">AVERAGE(OFFSET($EN$3,0,0,'Données projet'!$E$15+1,1))-AVERAGE(OFFSET($H$3,0,0,'Données projet'!$E$15+1,1))</f>
        <v>209.93608079129638</v>
      </c>
      <c r="EP47" s="59">
        <f t="shared" si="46"/>
        <v>240.15652428700969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5.2696313473096348</v>
      </c>
      <c r="EW47" s="21">
        <f>EXP(-LN(2)/25)*EW46+(1-EXP(-LN(2)/25))/(LN(2)/25)*Calculateur!ER47*Calculateur!ET47*VLOOKUP('Données projet'!$B$15,Paramètres!$A$1:$I$89,3,0)*0.475*44/12</f>
        <v>14.100483286246497</v>
      </c>
      <c r="EX47" s="21">
        <f>EXP(-LN(2)/2)*EX46+(1-EXP(-LN(2)/2))/(LN(2)/2)*ER47*EU47*VLOOKUP('Données projet'!$B$15,Paramètres!$A$1:$I$89,3,0)*0.475*44/12</f>
        <v>0.15774074612277425</v>
      </c>
      <c r="EY47" s="22">
        <f t="shared" si="21"/>
        <v>19.527855379678904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7.7</v>
      </c>
      <c r="N48" s="13">
        <f>IF('Données projet'!$A$36&gt;35,N47+M48-V47,IF(A48&lt;'Données projet'!$A$36,$K$205^A48,IF(A48='Données projet'!$A$36,'Données projet'!$B$36,N47+M48-V47)))</f>
        <v>202.4999999999998</v>
      </c>
      <c r="O48" s="13">
        <f>N48*VLOOKUP('Données projet'!$B$9,Paramètres!$A$1:$I$89,3,0)*VLOOKUP('Données projet'!$B$9,Paramètres!$A$1:$I$89,5,0)</f>
        <v>161.10899999999987</v>
      </c>
      <c r="P48" s="13">
        <f t="shared" si="33"/>
        <v>41.092552806229506</v>
      </c>
      <c r="Q48" s="20">
        <f t="shared" si="53"/>
        <v>352.16770447084946</v>
      </c>
      <c r="R48" s="59">
        <f t="shared" si="0"/>
        <v>645.50103780418272</v>
      </c>
      <c r="S48" s="59">
        <f ca="1">AVERAGE(OFFSET($R$3,0,0,'Données projet'!$E$9+1,1))-AVERAGE(OFFSET($H$3,0,0,'Données projet'!$E$9+1,1))</f>
        <v>199.58763537752952</v>
      </c>
      <c r="T48" s="59">
        <f t="shared" si="34"/>
        <v>242.62852778451929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6.7842343988402103</v>
      </c>
      <c r="AB48" s="21">
        <f>EXP(-LN(2)/2)*AB47+(1-EXP(-LN(2)/2))/(LN(2)/2)*V48*Y48*VLOOKUP('Données projet'!$B$9,Paramètres!$A$1:$I$89,3,0)*0.475*44/12</f>
        <v>5.9449772781101737E-2</v>
      </c>
      <c r="AC48" s="22">
        <f t="shared" si="3"/>
        <v>6.8436841716213124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14.5</v>
      </c>
      <c r="AI48" s="13">
        <f>IF('Données projet'!$A$62&gt;35,AI47+AH48-AQ47,IF(A48&lt;'Données projet'!$A$62,$AF$205^A48,IF(A48='Données projet'!$A$62,'Données projet'!$B$62,AI47+AH48-AQ47)))</f>
        <v>266.5</v>
      </c>
      <c r="AJ48" s="13">
        <f>AI48*VLOOKUP('Données projet'!$B$10,Paramètres!$A$1:$I$89,3,0)*VLOOKUP('Données projet'!$B$10,Paramètres!$A$1:$I$89,5,0)</f>
        <v>159.36700000000002</v>
      </c>
      <c r="AK48" s="13">
        <f t="shared" si="35"/>
        <v>40.699707566820649</v>
      </c>
      <c r="AL48" s="20">
        <f t="shared" si="4"/>
        <v>348.44951567887932</v>
      </c>
      <c r="AM48" s="59">
        <f t="shared" si="5"/>
        <v>641.78284901221264</v>
      </c>
      <c r="AN48" s="59">
        <f ca="1">AVERAGE(OFFSET($AM$3,0,0,'Données projet'!$E$10+1,1))-AVERAGE(OFFSET($H$3,0,0,'Données projet'!$E$10+1,1))</f>
        <v>287.78657453117694</v>
      </c>
      <c r="AO48" s="59">
        <f t="shared" si="36"/>
        <v>153.31562485362252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2.1749188198991458</v>
      </c>
      <c r="AV48" s="21">
        <f>EXP(-LN(2)/25)*AV47+(1-EXP(-LN(2)/25))/(LN(2)/25)*Calculateur!AQ48*Calculateur!AS48*VLOOKUP('Données projet'!$B$10,Paramètres!$A$1:$I$89,3,0)*0.475*44/12</f>
        <v>3.847286660554142</v>
      </c>
      <c r="AW48" s="21">
        <f>EXP(-LN(2)/2)*AW47+(1-EXP(-LN(2)/2))/(LN(2)/2)*AQ48*AT48*VLOOKUP('Données projet'!$B$10,Paramètres!$A$1:$I$89,3,0)*0.475*44/12</f>
        <v>6.1341671197479124E-2</v>
      </c>
      <c r="AX48" s="21">
        <f t="shared" si="6"/>
        <v>6.0835471516507669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15.364102564102568</v>
      </c>
      <c r="BD48" s="12">
        <f>IF('Données projet'!$A$88&gt;35,BD47+BC48-BL47,IF(A48&lt;'Données projet'!$A$88,$BA$205^A48,IF(A48='Données projet'!$A$88,'Données projet'!$B$88,BD47+BC48-BL47)))</f>
        <v>347.45897435897427</v>
      </c>
      <c r="BE48" s="13">
        <f>BD48*VLOOKUP('Données projet'!$B$11,Paramètres!$A$1:$I$89,3,0)*VLOOKUP('Données projet'!$B$11,Paramètres!$A$1:$I$89,5,0)</f>
        <v>207.78046666666665</v>
      </c>
      <c r="BF48" s="13">
        <f t="shared" si="37"/>
        <v>51.450262290579353</v>
      </c>
      <c r="BG48" s="20">
        <f t="shared" si="7"/>
        <v>451.49351960053679</v>
      </c>
      <c r="BH48" s="59">
        <f t="shared" si="8"/>
        <v>744.8268529338701</v>
      </c>
      <c r="BI48" s="59">
        <f ca="1">AVERAGE(OFFSET($BH$3,0,0,'Données projet'!$E$11+1,1))-AVERAGE(OFFSET($H$3,0,0,'Données projet'!$E$11+1,1))</f>
        <v>250.93905519128998</v>
      </c>
      <c r="BJ48" s="59">
        <f t="shared" si="38"/>
        <v>222.32879462265032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0.95185495045397406</v>
      </c>
      <c r="BQ48" s="21">
        <f>EXP(-LN(2)/25)*BQ47+(1-EXP(-LN(2)/25))/(LN(2)/25)*Calculateur!BL48*Calculateur!BN48*VLOOKUP('Données projet'!$B$11,Paramètres!$A$1:$I$89,3,0)*0.475*44/12</f>
        <v>7.6364528256044677</v>
      </c>
      <c r="BR48" s="21">
        <f>EXP(-LN(2)/2)*BR47+(1-EXP(-LN(2)/2))/(LN(2)/2)*BL48*BO48*VLOOKUP('Données projet'!$B$11,Paramètres!$A$1:$I$89,3,0)*0.475*44/12</f>
        <v>1.0426391968512331E-2</v>
      </c>
      <c r="BS48" s="22">
        <f t="shared" si="9"/>
        <v>8.5987341680269527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11.861538461538462</v>
      </c>
      <c r="BY48" s="12">
        <f>IF('Données projet'!$A$114&gt;35,BY47+BX48-CG47,IF(A48&lt;'Données projet'!$A$114,$BV$205^A48,IF(A48='Données projet'!$A$114,'Données projet'!$B$114,BY47+BX48-CG47)))</f>
        <v>231.77692307692308</v>
      </c>
      <c r="BZ48" s="13">
        <f>BY48*VLOOKUP('Données projet'!$B$12,Paramètres!$A$1:$I$89,3,0)*VLOOKUP('Données projet'!$B$12,Paramètres!$A$1:$I$89,5,0)</f>
        <v>138.60260000000002</v>
      </c>
      <c r="CA48" s="13">
        <f t="shared" si="39"/>
        <v>35.976694116938233</v>
      </c>
      <c r="CB48" s="20">
        <f t="shared" si="10"/>
        <v>304.05893725366747</v>
      </c>
      <c r="CC48" s="59">
        <f t="shared" si="11"/>
        <v>597.39227058700078</v>
      </c>
      <c r="CD48" s="59">
        <f ca="1">AVERAGE(OFFSET($CC$3,0,0,'Données projet'!$E$12+1,1))-AVERAGE(OFFSET($H$3,0,0,'Données projet'!$E$12+1,1))</f>
        <v>179.32848817523677</v>
      </c>
      <c r="CE48" s="59">
        <f t="shared" si="40"/>
        <v>131.3292389103035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8.6956089148327642</v>
      </c>
      <c r="CM48" s="21">
        <f>EXP(-LN(2)/2)*CM47+(1-EXP(-LN(2)/2))/(LN(2)/2)*CG48*CJ48*VLOOKUP('Données projet'!$B$12,Paramètres!$A$1:$I$89,3,0)*0.475*44/12</f>
        <v>2.907352050897867E-2</v>
      </c>
      <c r="CN48" s="22">
        <f t="shared" si="12"/>
        <v>8.7246824353417427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9.9423076923076934</v>
      </c>
      <c r="CT48" s="12">
        <f>IF('Données projet'!$A$140&gt;35,CT47+CS48-DB47,IF(A48&lt;'Données projet'!$A$140,$CQ$205^A48,IF(A48='Données projet'!$A$140,'Données projet'!$B$140,CT47+CS48-DB47)))</f>
        <v>173.28846153846149</v>
      </c>
      <c r="CU48" s="17">
        <f>CT48*VLOOKUP('Données projet'!$B$13,Paramètres!$A$1:$I$89,3,0)*VLOOKUP('Données projet'!$B$13,Paramètres!$A$1:$I$89,5,0)</f>
        <v>156.79139999999995</v>
      </c>
      <c r="CV48" s="13">
        <f t="shared" si="41"/>
        <v>40.117955688416771</v>
      </c>
      <c r="CW48" s="20">
        <f t="shared" si="13"/>
        <v>342.95046115732583</v>
      </c>
      <c r="CX48" s="59">
        <f t="shared" si="14"/>
        <v>636.28379449065915</v>
      </c>
      <c r="CY48" s="59">
        <f ca="1">AVERAGE(OFFSET($CX$3,0,0,'Données projet'!$E$13+1,1))-AVERAGE(OFFSET($H$3,0,0,'Données projet'!$E$13+1,1))</f>
        <v>309.07357540707869</v>
      </c>
      <c r="CZ48" s="59">
        <f t="shared" si="42"/>
        <v>155.9593924683299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6.8</v>
      </c>
      <c r="DO48" s="12">
        <f>IF('Données projet'!$A$166&gt;35,DO47+DN48-DW47,IF(A48&lt;'Données projet'!$A$166,$DL$205^A48,IF(A48='Données projet'!$A$166,'Données projet'!$B$166,DO47+DN48-DW47)))</f>
        <v>178.99999999999991</v>
      </c>
      <c r="DP48" s="17">
        <f>DO48*VLOOKUP('Données projet'!$B$14,Paramètres!$A$1:$I$89,3,0)*VLOOKUP('Données projet'!$B$14,Paramètres!$A$1:$I$89,5,0)</f>
        <v>156.37439999999995</v>
      </c>
      <c r="DQ48" s="13">
        <f t="shared" si="43"/>
        <v>40.02366352429317</v>
      </c>
      <c r="DR48" s="20">
        <f t="shared" si="16"/>
        <v>342.05996063814382</v>
      </c>
      <c r="DS48" s="59">
        <f t="shared" si="17"/>
        <v>635.39329397147708</v>
      </c>
      <c r="DT48" s="59">
        <f ca="1">AVERAGE(OFFSET($DS$3,0,0,'Données projet'!$E$14+1,1))-AVERAGE(OFFSET($H$3,0,0,'Données projet'!$E$14+1,1))</f>
        <v>210.07838338464626</v>
      </c>
      <c r="DU48" s="59">
        <f t="shared" si="44"/>
        <v>241.76003724236273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3.9380467189558743</v>
      </c>
      <c r="EB48" s="21">
        <f>EXP(-LN(2)/25)*EB47+(1-EXP(-LN(2)/25))/(LN(2)/25)*Calculateur!DW48*Calculateur!DY48*VLOOKUP('Données projet'!$B$14,Paramètres!$A$1:$I$89,3,0)*0.475*44/12</f>
        <v>8.9462022309229869</v>
      </c>
      <c r="EC48" s="21">
        <f>EXP(-LN(2)/2)*EC47+(1-EXP(-LN(2)/2))/(LN(2)/2)*DW48*DZ48*VLOOKUP('Données projet'!$B$14,Paramètres!$A$1:$I$89,3,0)*0.475*44/12</f>
        <v>8.8230488660517775E-2</v>
      </c>
      <c r="ED48" s="22">
        <f t="shared" si="18"/>
        <v>12.972479438539379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11</v>
      </c>
      <c r="EJ48" s="12">
        <f>IF('Données projet'!$A$192&gt;35,EJ47+EI48-ER47,IF(A48&lt;'Données projet'!$A$192,$EG$205^A48,IF(A48='Données projet'!$A$192,'Données projet'!$B$192,EJ47+EI48-ER47)))</f>
        <v>268.00000000000017</v>
      </c>
      <c r="EK48" s="17">
        <f>EJ48*VLOOKUP('Données projet'!$B$15,Paramètres!$A$1:$I$89,3,0)*VLOOKUP('Données projet'!$B$15,Paramètres!$A$1:$I$89,5,0)</f>
        <v>167.23200000000011</v>
      </c>
      <c r="EL48" s="13">
        <f t="shared" si="45"/>
        <v>42.469492598516958</v>
      </c>
      <c r="EM48" s="20">
        <f t="shared" si="19"/>
        <v>365.23009960908388</v>
      </c>
      <c r="EN48" s="59">
        <f t="shared" si="20"/>
        <v>658.56343294241719</v>
      </c>
      <c r="EO48" s="59">
        <f ca="1">AVERAGE(OFFSET($EN$3,0,0,'Données projet'!$E$15+1,1))-AVERAGE(OFFSET($H$3,0,0,'Données projet'!$E$15+1,1))</f>
        <v>209.93608079129638</v>
      </c>
      <c r="EP48" s="59">
        <f t="shared" si="46"/>
        <v>240.15652428700969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5.1662970907466432</v>
      </c>
      <c r="EW48" s="21">
        <f>EXP(-LN(2)/25)*EW47+(1-EXP(-LN(2)/25))/(LN(2)/25)*Calculateur!ER48*Calculateur!ET48*VLOOKUP('Données projet'!$B$15,Paramètres!$A$1:$I$89,3,0)*0.475*44/12</f>
        <v>13.714904829271898</v>
      </c>
      <c r="EX48" s="21">
        <f>EXP(-LN(2)/2)*EX47+(1-EXP(-LN(2)/2))/(LN(2)/2)*ER48*EU48*VLOOKUP('Données projet'!$B$15,Paramètres!$A$1:$I$89,3,0)*0.475*44/12</f>
        <v>0.11153955125283928</v>
      </c>
      <c r="EY48" s="22">
        <f t="shared" si="21"/>
        <v>18.99274147127138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7.7</v>
      </c>
      <c r="N49" s="13">
        <f>IF('Données projet'!$A$36&gt;35,N48+M49-V48,IF(A49&lt;'Données projet'!$A$36,$K$205^A49,IF(A49='Données projet'!$A$36,'Données projet'!$B$36,N48+M49-V48)))</f>
        <v>210.19999999999979</v>
      </c>
      <c r="O49" s="13">
        <f>N49*VLOOKUP('Données projet'!$B$9,Paramètres!$A$1:$I$89,3,0)*VLOOKUP('Données projet'!$B$9,Paramètres!$A$1:$I$89,5,0)</f>
        <v>167.23511999999985</v>
      </c>
      <c r="P49" s="13">
        <f t="shared" si="33"/>
        <v>42.470192710511569</v>
      </c>
      <c r="Q49" s="20">
        <f t="shared" si="53"/>
        <v>365.23675297080734</v>
      </c>
      <c r="R49" s="59">
        <f t="shared" si="0"/>
        <v>658.57008630414066</v>
      </c>
      <c r="S49" s="59">
        <f ca="1">AVERAGE(OFFSET($R$3,0,0,'Données projet'!$E$9+1,1))-AVERAGE(OFFSET($H$3,0,0,'Données projet'!$E$9+1,1))</f>
        <v>199.58763537752952</v>
      </c>
      <c r="T49" s="59">
        <f t="shared" si="34"/>
        <v>242.62852778451929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6.5987191524365434</v>
      </c>
      <c r="AB49" s="21">
        <f>EXP(-LN(2)/2)*AB48+(1-EXP(-LN(2)/2))/(LN(2)/2)*V49*Y49*VLOOKUP('Données projet'!$B$9,Paramètres!$A$1:$I$89,3,0)*0.475*44/12</f>
        <v>4.2037337473516477E-2</v>
      </c>
      <c r="AC49" s="22">
        <f t="shared" si="3"/>
        <v>6.6407564899100597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14.5</v>
      </c>
      <c r="AI49" s="13">
        <f>IF('Données projet'!$A$62&gt;35,AI48+AH49-AQ48,IF(A49&lt;'Données projet'!$A$62,$AF$205^A49,IF(A49='Données projet'!$A$62,'Données projet'!$B$62,AI48+AH49-AQ48)))</f>
        <v>281</v>
      </c>
      <c r="AJ49" s="13">
        <f>AI49*VLOOKUP('Données projet'!$B$10,Paramètres!$A$1:$I$89,3,0)*VLOOKUP('Données projet'!$B$10,Paramètres!$A$1:$I$89,5,0)</f>
        <v>168.03800000000004</v>
      </c>
      <c r="AK49" s="13">
        <f t="shared" si="35"/>
        <v>42.650304418351887</v>
      </c>
      <c r="AL49" s="20">
        <f t="shared" si="4"/>
        <v>366.94879686196288</v>
      </c>
      <c r="AM49" s="59">
        <f t="shared" si="5"/>
        <v>660.28213019529619</v>
      </c>
      <c r="AN49" s="59">
        <f ca="1">AVERAGE(OFFSET($AM$3,0,0,'Données projet'!$E$10+1,1))-AVERAGE(OFFSET($H$3,0,0,'Données projet'!$E$10+1,1))</f>
        <v>287.78657453117694</v>
      </c>
      <c r="AO49" s="59">
        <f t="shared" si="36"/>
        <v>153.31562485362252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2.1322699884104157</v>
      </c>
      <c r="AV49" s="21">
        <f>EXP(-LN(2)/25)*AV48+(1-EXP(-LN(2)/25))/(LN(2)/25)*Calculateur!AQ49*Calculateur!AS49*VLOOKUP('Données projet'!$B$10,Paramètres!$A$1:$I$89,3,0)*0.475*44/12</f>
        <v>3.7420824045012768</v>
      </c>
      <c r="AW49" s="21">
        <f>EXP(-LN(2)/2)*AW48+(1-EXP(-LN(2)/2))/(LN(2)/2)*AQ49*AT49*VLOOKUP('Données projet'!$B$10,Paramètres!$A$1:$I$89,3,0)*0.475*44/12</f>
        <v>4.3375111673053017E-2</v>
      </c>
      <c r="AX49" s="21">
        <f t="shared" si="6"/>
        <v>5.9177275045847457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>
        <f>VLOOKUP(A49,'Données projet'!$A$87:$I$107,2,0)</f>
        <v>362.82307692307694</v>
      </c>
      <c r="BB49" s="12">
        <f>VLOOKUP(A49,'Données projet'!$A$87:$I$107,9,0)</f>
        <v>15.364102564102568</v>
      </c>
      <c r="BC49" s="12">
        <f t="array" ref="BC49">INDEX(BB:BB,MIN(IF(ISNUMBER(BB49:BB245),ROW(BB49:BB245),"")))</f>
        <v>15.364102564102568</v>
      </c>
      <c r="BD49" s="12">
        <f>IF('Données projet'!$A$88&gt;35,BD48+BC49-BL48,IF(A49&lt;'Données projet'!$A$88,$BA$205^A49,IF(A49='Données projet'!$A$88,'Données projet'!$B$88,BD48+BC49-BL48)))</f>
        <v>362.82307692307683</v>
      </c>
      <c r="BE49" s="13">
        <f>BD49*VLOOKUP('Données projet'!$B$11,Paramètres!$A$1:$I$89,3,0)*VLOOKUP('Données projet'!$B$11,Paramètres!$A$1:$I$89,5,0)</f>
        <v>216.96819999999994</v>
      </c>
      <c r="BF49" s="13">
        <f t="shared" si="37"/>
        <v>53.455407732310803</v>
      </c>
      <c r="BG49" s="20">
        <f t="shared" si="7"/>
        <v>470.98778346710793</v>
      </c>
      <c r="BH49" s="59">
        <f t="shared" si="8"/>
        <v>764.32111680044125</v>
      </c>
      <c r="BI49" s="59">
        <f ca="1">AVERAGE(OFFSET($BH$3,0,0,'Données projet'!$E$11+1,1))-AVERAGE(OFFSET($H$3,0,0,'Données projet'!$E$11+1,1))</f>
        <v>250.93905519128998</v>
      </c>
      <c r="BJ49" s="59">
        <f t="shared" si="38"/>
        <v>222.32879462265032</v>
      </c>
      <c r="BK49" s="15">
        <f>IF(ISNA(VLOOKUP(A49,'Données projet'!$A$87:$I$107,3,0)),0,VLOOKUP(A49,'Données projet'!$A$87:$I$107,3,0))</f>
        <v>5</v>
      </c>
      <c r="BL49" s="15">
        <f>IF(ISNA(VLOOKUP(A49,'Données projet'!$A$87:$I$107,4,0)),0,VLOOKUP(A49,'Données projet'!$A$87:$I$107,4,0))</f>
        <v>72.561538461538461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0.93318965544976451</v>
      </c>
      <c r="BQ49" s="21">
        <f>EXP(-LN(2)/25)*BQ48+(1-EXP(-LN(2)/25))/(LN(2)/25)*Calculateur!BL49*Calculateur!BN49*VLOOKUP('Données projet'!$B$11,Paramètres!$A$1:$I$89,3,0)*0.475*44/12</f>
        <v>7.4276336215047127</v>
      </c>
      <c r="BR49" s="21">
        <f>EXP(-LN(2)/2)*BR48+(1-EXP(-LN(2)/2))/(LN(2)/2)*BL49*BO49*VLOOKUP('Données projet'!$B$11,Paramètres!$A$1:$I$89,3,0)*0.475*44/12</f>
        <v>7.372572464244026E-3</v>
      </c>
      <c r="BS49" s="22">
        <f t="shared" si="9"/>
        <v>8.3681958494187203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11.861538461538462</v>
      </c>
      <c r="BY49" s="12">
        <f>IF('Données projet'!$A$114&gt;35,BY48+BX49-CG48,IF(A49&lt;'Données projet'!$A$114,$BV$205^A49,IF(A49='Données projet'!$A$114,'Données projet'!$B$114,BY48+BX49-CG48)))</f>
        <v>243.63846153846154</v>
      </c>
      <c r="BZ49" s="13">
        <f>BY49*VLOOKUP('Données projet'!$B$12,Paramètres!$A$1:$I$89,3,0)*VLOOKUP('Données projet'!$B$12,Paramètres!$A$1:$I$89,5,0)</f>
        <v>145.69580000000002</v>
      </c>
      <c r="CA49" s="13">
        <f t="shared" si="39"/>
        <v>37.598789481990465</v>
      </c>
      <c r="CB49" s="20">
        <f t="shared" si="10"/>
        <v>319.23807668113341</v>
      </c>
      <c r="CC49" s="59">
        <f t="shared" si="11"/>
        <v>612.57141001446666</v>
      </c>
      <c r="CD49" s="59">
        <f ca="1">AVERAGE(OFFSET($CC$3,0,0,'Données projet'!$E$12+1,1))-AVERAGE(OFFSET($H$3,0,0,'Données projet'!$E$12+1,1))</f>
        <v>179.32848817523677</v>
      </c>
      <c r="CE49" s="59">
        <f t="shared" si="40"/>
        <v>131.3292389103035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8.4578270317744639</v>
      </c>
      <c r="CM49" s="21">
        <f>EXP(-LN(2)/2)*CM48+(1-EXP(-LN(2)/2))/(LN(2)/2)*CG49*CJ49*VLOOKUP('Données projet'!$B$12,Paramètres!$A$1:$I$89,3,0)*0.475*44/12</f>
        <v>2.0558083504864984E-2</v>
      </c>
      <c r="CN49" s="22">
        <f t="shared" si="12"/>
        <v>8.4783851152793286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9.9423076923076934</v>
      </c>
      <c r="CT49" s="12">
        <f>IF('Données projet'!$A$140&gt;35,CT48+CS49-DB48,IF(A49&lt;'Données projet'!$A$140,$CQ$205^A49,IF(A49='Données projet'!$A$140,'Données projet'!$B$140,CT48+CS49-DB48)))</f>
        <v>183.23076923076917</v>
      </c>
      <c r="CU49" s="17">
        <f>CT49*VLOOKUP('Données projet'!$B$13,Paramètres!$A$1:$I$89,3,0)*VLOOKUP('Données projet'!$B$13,Paramètres!$A$1:$I$89,5,0)</f>
        <v>165.78719999999993</v>
      </c>
      <c r="CV49" s="13">
        <f t="shared" si="41"/>
        <v>42.145122994841088</v>
      </c>
      <c r="CW49" s="20">
        <f t="shared" si="13"/>
        <v>362.14879588268133</v>
      </c>
      <c r="CX49" s="59">
        <f t="shared" si="14"/>
        <v>655.48212921601464</v>
      </c>
      <c r="CY49" s="59">
        <f ca="1">AVERAGE(OFFSET($CX$3,0,0,'Données projet'!$E$13+1,1))-AVERAGE(OFFSET($H$3,0,0,'Données projet'!$E$13+1,1))</f>
        <v>309.07357540707869</v>
      </c>
      <c r="CZ49" s="59">
        <f t="shared" si="42"/>
        <v>155.9593924683299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6.8</v>
      </c>
      <c r="DO49" s="12">
        <f>IF('Données projet'!$A$166&gt;35,DO48+DN49-DW48,IF(A49&lt;'Données projet'!$A$166,$DL$205^A49,IF(A49='Données projet'!$A$166,'Données projet'!$B$166,DO48+DN49-DW48)))</f>
        <v>185.79999999999993</v>
      </c>
      <c r="DP49" s="17">
        <f>DO49*VLOOKUP('Données projet'!$B$14,Paramètres!$A$1:$I$89,3,0)*VLOOKUP('Données projet'!$B$14,Paramètres!$A$1:$I$89,5,0)</f>
        <v>162.31487999999996</v>
      </c>
      <c r="DQ49" s="13">
        <f t="shared" si="43"/>
        <v>41.364205750322519</v>
      </c>
      <c r="DR49" s="20">
        <f t="shared" si="16"/>
        <v>354.74107434847832</v>
      </c>
      <c r="DS49" s="59">
        <f t="shared" si="17"/>
        <v>648.07440768181164</v>
      </c>
      <c r="DT49" s="59">
        <f ca="1">AVERAGE(OFFSET($DS$3,0,0,'Données projet'!$E$14+1,1))-AVERAGE(OFFSET($H$3,0,0,'Données projet'!$E$14+1,1))</f>
        <v>210.07838338464626</v>
      </c>
      <c r="DU49" s="59">
        <f t="shared" si="44"/>
        <v>241.76003724236273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3.8608240247684731</v>
      </c>
      <c r="EB49" s="21">
        <f>EXP(-LN(2)/25)*EB48+(1-EXP(-LN(2)/25))/(LN(2)/25)*Calculateur!DW49*Calculateur!DY49*VLOOKUP('Données projet'!$B$14,Paramètres!$A$1:$I$89,3,0)*0.475*44/12</f>
        <v>8.70156786045807</v>
      </c>
      <c r="EC49" s="21">
        <f>EXP(-LN(2)/2)*EC48+(1-EXP(-LN(2)/2))/(LN(2)/2)*DW49*DZ49*VLOOKUP('Données projet'!$B$14,Paramètres!$A$1:$I$89,3,0)*0.475*44/12</f>
        <v>6.2388376839254911E-2</v>
      </c>
      <c r="ED49" s="22">
        <f t="shared" si="18"/>
        <v>12.624780262065798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11</v>
      </c>
      <c r="EJ49" s="12">
        <f>IF('Données projet'!$A$192&gt;35,EJ48+EI49-ER48,IF(A49&lt;'Données projet'!$A$192,$EG$205^A49,IF(A49='Données projet'!$A$192,'Données projet'!$B$192,EJ48+EI49-ER48)))</f>
        <v>279.00000000000017</v>
      </c>
      <c r="EK49" s="17">
        <f>EJ49*VLOOKUP('Données projet'!$B$15,Paramètres!$A$1:$I$89,3,0)*VLOOKUP('Données projet'!$B$15,Paramètres!$A$1:$I$89,5,0)</f>
        <v>174.09600000000009</v>
      </c>
      <c r="EL49" s="13">
        <f t="shared" si="45"/>
        <v>44.00611631426144</v>
      </c>
      <c r="EM49" s="20">
        <f t="shared" si="19"/>
        <v>379.86118591400549</v>
      </c>
      <c r="EN49" s="59">
        <f t="shared" si="20"/>
        <v>673.1945192473388</v>
      </c>
      <c r="EO49" s="59">
        <f ca="1">AVERAGE(OFFSET($EN$3,0,0,'Données projet'!$E$15+1,1))-AVERAGE(OFFSET($H$3,0,0,'Données projet'!$E$15+1,1))</f>
        <v>209.93608079129638</v>
      </c>
      <c r="EP49" s="59">
        <f t="shared" si="46"/>
        <v>240.15652428700969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5.0649891559271785</v>
      </c>
      <c r="EW49" s="21">
        <f>EXP(-LN(2)/25)*EW48+(1-EXP(-LN(2)/25))/(LN(2)/25)*Calculateur!ER49*Calculateur!ET49*VLOOKUP('Données projet'!$B$15,Paramètres!$A$1:$I$89,3,0)*0.475*44/12</f>
        <v>13.339870035479958</v>
      </c>
      <c r="EX49" s="21">
        <f>EXP(-LN(2)/2)*EX48+(1-EXP(-LN(2)/2))/(LN(2)/2)*ER49*EU49*VLOOKUP('Données projet'!$B$15,Paramètres!$A$1:$I$89,3,0)*0.475*44/12</f>
        <v>7.8870373061387125E-2</v>
      </c>
      <c r="EY49" s="22">
        <f t="shared" si="21"/>
        <v>18.483729564468526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7.7</v>
      </c>
      <c r="N50" s="13">
        <f>IF('Données projet'!$A$36&gt;35,N49+M50-V49,IF(A50&lt;'Données projet'!$A$36,$K$205^A50,IF(A50='Données projet'!$A$36,'Données projet'!$B$36,N49+M50-V49)))</f>
        <v>217.89999999999978</v>
      </c>
      <c r="O50" s="13">
        <f>N50*VLOOKUP('Données projet'!$B$9,Paramètres!$A$1:$I$89,3,0)*VLOOKUP('Données projet'!$B$9,Paramètres!$A$1:$I$89,5,0)</f>
        <v>173.36123999999984</v>
      </c>
      <c r="P50" s="13">
        <f t="shared" si="33"/>
        <v>43.841969562839758</v>
      </c>
      <c r="Q50" s="20">
        <f t="shared" si="53"/>
        <v>378.29558998861233</v>
      </c>
      <c r="R50" s="59">
        <f t="shared" si="0"/>
        <v>671.62892332194565</v>
      </c>
      <c r="S50" s="59">
        <f ca="1">AVERAGE(OFFSET($R$3,0,0,'Données projet'!$E$9+1,1))-AVERAGE(OFFSET($H$3,0,0,'Données projet'!$E$9+1,1))</f>
        <v>199.58763537752952</v>
      </c>
      <c r="T50" s="59">
        <f t="shared" si="34"/>
        <v>242.62852778451929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6.4182768302016076</v>
      </c>
      <c r="AB50" s="21">
        <f>EXP(-LN(2)/2)*AB49+(1-EXP(-LN(2)/2))/(LN(2)/2)*V50*Y50*VLOOKUP('Données projet'!$B$9,Paramètres!$A$1:$I$89,3,0)*0.475*44/12</f>
        <v>2.9724886390550872E-2</v>
      </c>
      <c r="AC50" s="22">
        <f t="shared" si="3"/>
        <v>6.4480017165921586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14.5</v>
      </c>
      <c r="AI50" s="13">
        <f>IF('Données projet'!$A$62&gt;35,AI49+AH50-AQ49,IF(A50&lt;'Données projet'!$A$62,$AF$205^A50,IF(A50='Données projet'!$A$62,'Données projet'!$B$62,AI49+AH50-AQ49)))</f>
        <v>295.5</v>
      </c>
      <c r="AJ50" s="13">
        <f>AI50*VLOOKUP('Données projet'!$B$10,Paramètres!$A$1:$I$89,3,0)*VLOOKUP('Données projet'!$B$10,Paramètres!$A$1:$I$89,5,0)</f>
        <v>176.709</v>
      </c>
      <c r="AK50" s="13">
        <f t="shared" si="35"/>
        <v>44.589214834089773</v>
      </c>
      <c r="AL50" s="20">
        <f t="shared" si="4"/>
        <v>385.42772416937305</v>
      </c>
      <c r="AM50" s="59">
        <f t="shared" si="5"/>
        <v>678.76105750270631</v>
      </c>
      <c r="AN50" s="59">
        <f ca="1">AVERAGE(OFFSET($AM$3,0,0,'Données projet'!$E$10+1,1))-AVERAGE(OFFSET($H$3,0,0,'Données projet'!$E$10+1,1))</f>
        <v>287.78657453117694</v>
      </c>
      <c r="AO50" s="59">
        <f t="shared" si="36"/>
        <v>153.31562485362252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2.0904574744939612</v>
      </c>
      <c r="AV50" s="21">
        <f>EXP(-LN(2)/25)*AV49+(1-EXP(-LN(2)/25))/(LN(2)/25)*Calculateur!AQ50*Calculateur!AS50*VLOOKUP('Données projet'!$B$10,Paramètres!$A$1:$I$89,3,0)*0.475*44/12</f>
        <v>3.6397549643626284</v>
      </c>
      <c r="AW50" s="21">
        <f>EXP(-LN(2)/2)*AW49+(1-EXP(-LN(2)/2))/(LN(2)/2)*AQ50*AT50*VLOOKUP('Données projet'!$B$10,Paramètres!$A$1:$I$89,3,0)*0.475*44/12</f>
        <v>3.0670835598739565E-2</v>
      </c>
      <c r="AX50" s="21">
        <f t="shared" si="6"/>
        <v>5.7608832744553293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13.793846153846152</v>
      </c>
      <c r="BD50" s="12">
        <f>IF('Données projet'!$A$88&gt;35,BD49+BC50-BL49,IF(A50&lt;'Données projet'!$A$88,$BA$205^A50,IF(A50='Données projet'!$A$88,'Données projet'!$B$88,BD49+BC50-BL49)))</f>
        <v>304.05538461538453</v>
      </c>
      <c r="BE50" s="13">
        <f>BD50*VLOOKUP('Données projet'!$B$11,Paramètres!$A$1:$I$89,3,0)*VLOOKUP('Données projet'!$B$11,Paramètres!$A$1:$I$89,5,0)</f>
        <v>181.82511999999997</v>
      </c>
      <c r="BF50" s="13">
        <f t="shared" si="37"/>
        <v>45.72800301768045</v>
      </c>
      <c r="BG50" s="20">
        <f t="shared" si="7"/>
        <v>396.32168925579339</v>
      </c>
      <c r="BH50" s="59">
        <f t="shared" si="8"/>
        <v>689.6550225891267</v>
      </c>
      <c r="BI50" s="59">
        <f ca="1">AVERAGE(OFFSET($BH$3,0,0,'Données projet'!$E$11+1,1))-AVERAGE(OFFSET($H$3,0,0,'Données projet'!$E$11+1,1))</f>
        <v>250.93905519128998</v>
      </c>
      <c r="BJ50" s="59">
        <f t="shared" si="38"/>
        <v>222.32879462265032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0.9148903754958817</v>
      </c>
      <c r="BQ50" s="21">
        <f>EXP(-LN(2)/25)*BQ49+(1-EXP(-LN(2)/25))/(LN(2)/25)*Calculateur!BL50*Calculateur!BN50*VLOOKUP('Données projet'!$B$11,Paramètres!$A$1:$I$89,3,0)*0.475*44/12</f>
        <v>7.2245245895223906</v>
      </c>
      <c r="BR50" s="21">
        <f>EXP(-LN(2)/2)*BR49+(1-EXP(-LN(2)/2))/(LN(2)/2)*BL50*BO50*VLOOKUP('Données projet'!$B$11,Paramètres!$A$1:$I$89,3,0)*0.475*44/12</f>
        <v>5.2131959842561665E-3</v>
      </c>
      <c r="BS50" s="22">
        <f t="shared" si="9"/>
        <v>8.1446281610025277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11.861538461538462</v>
      </c>
      <c r="BY50" s="12">
        <f>IF('Données projet'!$A$114&gt;35,BY49+BX50-CG49,IF(A50&lt;'Données projet'!$A$114,$BV$205^A50,IF(A50='Données projet'!$A$114,'Données projet'!$B$114,BY49+BX50-CG49)))</f>
        <v>255.5</v>
      </c>
      <c r="BZ50" s="13">
        <f>BY50*VLOOKUP('Données projet'!$B$12,Paramètres!$A$1:$I$89,3,0)*VLOOKUP('Données projet'!$B$12,Paramètres!$A$1:$I$89,5,0)</f>
        <v>152.78900000000002</v>
      </c>
      <c r="CA50" s="13">
        <f t="shared" si="39"/>
        <v>39.211714711932316</v>
      </c>
      <c r="CB50" s="20">
        <f t="shared" si="10"/>
        <v>334.40124478994881</v>
      </c>
      <c r="CC50" s="59">
        <f t="shared" si="11"/>
        <v>627.73457812328206</v>
      </c>
      <c r="CD50" s="59">
        <f ca="1">AVERAGE(OFFSET($CC$3,0,0,'Données projet'!$E$12+1,1))-AVERAGE(OFFSET($H$3,0,0,'Données projet'!$E$12+1,1))</f>
        <v>179.32848817523677</v>
      </c>
      <c r="CE50" s="59">
        <f t="shared" si="40"/>
        <v>131.3292389103035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8.2265473068127974</v>
      </c>
      <c r="CM50" s="21">
        <f>EXP(-LN(2)/2)*CM49+(1-EXP(-LN(2)/2))/(LN(2)/2)*CG50*CJ50*VLOOKUP('Données projet'!$B$12,Paramètres!$A$1:$I$89,3,0)*0.475*44/12</f>
        <v>1.4536760254489337E-2</v>
      </c>
      <c r="CN50" s="22">
        <f t="shared" si="12"/>
        <v>8.2410840670672876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9.9423076923076934</v>
      </c>
      <c r="CT50" s="12">
        <f>IF('Données projet'!$A$140&gt;35,CT49+CS50-DB49,IF(A50&lt;'Données projet'!$A$140,$CQ$205^A50,IF(A50='Données projet'!$A$140,'Données projet'!$B$140,CT49+CS50-DB49)))</f>
        <v>193.17307692307685</v>
      </c>
      <c r="CU50" s="17">
        <f>CT50*VLOOKUP('Données projet'!$B$13,Paramètres!$A$1:$I$89,3,0)*VLOOKUP('Données projet'!$B$13,Paramètres!$A$1:$I$89,5,0)</f>
        <v>174.78299999999993</v>
      </c>
      <c r="CV50" s="13">
        <f t="shared" si="41"/>
        <v>44.159520456631583</v>
      </c>
      <c r="CW50" s="20">
        <f t="shared" si="13"/>
        <v>381.3248897952999</v>
      </c>
      <c r="CX50" s="59">
        <f t="shared" si="14"/>
        <v>674.65822312863315</v>
      </c>
      <c r="CY50" s="59">
        <f ca="1">AVERAGE(OFFSET($CX$3,0,0,'Données projet'!$E$13+1,1))-AVERAGE(OFFSET($H$3,0,0,'Données projet'!$E$13+1,1))</f>
        <v>309.07357540707869</v>
      </c>
      <c r="CZ50" s="59">
        <f t="shared" si="42"/>
        <v>155.9593924683299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6.8</v>
      </c>
      <c r="DO50" s="12">
        <f>IF('Données projet'!$A$166&gt;35,DO49+DN50-DW49,IF(A50&lt;'Données projet'!$A$166,$DL$205^A50,IF(A50='Données projet'!$A$166,'Données projet'!$B$166,DO49+DN50-DW49)))</f>
        <v>192.59999999999994</v>
      </c>
      <c r="DP50" s="17">
        <f>DO50*VLOOKUP('Données projet'!$B$14,Paramètres!$A$1:$I$89,3,0)*VLOOKUP('Données projet'!$B$14,Paramètres!$A$1:$I$89,5,0)</f>
        <v>168.25535999999997</v>
      </c>
      <c r="DQ50" s="13">
        <f t="shared" si="43"/>
        <v>42.699047982710887</v>
      </c>
      <c r="DR50" s="20">
        <f t="shared" si="16"/>
        <v>367.41226056988802</v>
      </c>
      <c r="DS50" s="59">
        <f t="shared" si="17"/>
        <v>660.74559390322133</v>
      </c>
      <c r="DT50" s="59">
        <f ca="1">AVERAGE(OFFSET($DS$3,0,0,'Données projet'!$E$14+1,1))-AVERAGE(OFFSET($H$3,0,0,'Données projet'!$E$14+1,1))</f>
        <v>210.07838338464626</v>
      </c>
      <c r="DU50" s="59">
        <f t="shared" si="44"/>
        <v>241.76003724236273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3.7851156205128942</v>
      </c>
      <c r="EB50" s="21">
        <f>EXP(-LN(2)/25)*EB49+(1-EXP(-LN(2)/25))/(LN(2)/25)*Calculateur!DW50*Calculateur!DY50*VLOOKUP('Données projet'!$B$14,Paramètres!$A$1:$I$89,3,0)*0.475*44/12</f>
        <v>8.4636230297182777</v>
      </c>
      <c r="EC50" s="21">
        <f>EXP(-LN(2)/2)*EC49+(1-EXP(-LN(2)/2))/(LN(2)/2)*DW50*DZ50*VLOOKUP('Données projet'!$B$14,Paramètres!$A$1:$I$89,3,0)*0.475*44/12</f>
        <v>4.4115244330258895E-2</v>
      </c>
      <c r="ED50" s="22">
        <f t="shared" si="18"/>
        <v>12.29285389456143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11</v>
      </c>
      <c r="EJ50" s="12">
        <f>IF('Données projet'!$A$192&gt;35,EJ49+EI50-ER49,IF(A50&lt;'Données projet'!$A$192,$EG$205^A50,IF(A50='Données projet'!$A$192,'Données projet'!$B$192,EJ49+EI50-ER49)))</f>
        <v>290.00000000000017</v>
      </c>
      <c r="EK50" s="17">
        <f>EJ50*VLOOKUP('Données projet'!$B$15,Paramètres!$A$1:$I$89,3,0)*VLOOKUP('Données projet'!$B$15,Paramètres!$A$1:$I$89,5,0)</f>
        <v>180.96000000000009</v>
      </c>
      <c r="EL50" s="13">
        <f t="shared" si="45"/>
        <v>45.535702314871763</v>
      </c>
      <c r="EM50" s="20">
        <f t="shared" si="19"/>
        <v>394.48001486506854</v>
      </c>
      <c r="EN50" s="59">
        <f t="shared" si="20"/>
        <v>687.81334819840185</v>
      </c>
      <c r="EO50" s="59">
        <f ca="1">AVERAGE(OFFSET($EN$3,0,0,'Données projet'!$E$15+1,1))-AVERAGE(OFFSET($H$3,0,0,'Données projet'!$E$15+1,1))</f>
        <v>209.93608079129638</v>
      </c>
      <c r="EP50" s="59">
        <f t="shared" si="46"/>
        <v>240.15652428700969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4.9656678079177849</v>
      </c>
      <c r="EW50" s="21">
        <f>EXP(-LN(2)/25)*EW49+(1-EXP(-LN(2)/25))/(LN(2)/25)*Calculateur!ER50*Calculateur!ET50*VLOOKUP('Données projet'!$B$15,Paramètres!$A$1:$I$89,3,0)*0.475*44/12</f>
        <v>12.975090587846482</v>
      </c>
      <c r="EX50" s="21">
        <f>EXP(-LN(2)/2)*EX49+(1-EXP(-LN(2)/2))/(LN(2)/2)*ER50*EU50*VLOOKUP('Données projet'!$B$15,Paramètres!$A$1:$I$89,3,0)*0.475*44/12</f>
        <v>5.5769775626419639E-2</v>
      </c>
      <c r="EY50" s="22">
        <f t="shared" si="21"/>
        <v>17.996528171390686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7.7</v>
      </c>
      <c r="N51" s="13">
        <f>IF('Données projet'!$A$36&gt;35,N50+M51-V50,IF(A51&lt;'Données projet'!$A$36,$K$205^A51,IF(A51='Données projet'!$A$36,'Données projet'!$B$36,N50+M51-V50)))</f>
        <v>225.59999999999977</v>
      </c>
      <c r="O51" s="13">
        <f>N51*VLOOKUP('Données projet'!$B$9,Paramètres!$A$1:$I$89,3,0)*VLOOKUP('Données projet'!$B$9,Paramètres!$A$1:$I$89,5,0)</f>
        <v>179.48735999999982</v>
      </c>
      <c r="P51" s="13">
        <f t="shared" si="33"/>
        <v>45.208114286641525</v>
      </c>
      <c r="Q51" s="20">
        <f t="shared" si="53"/>
        <v>391.34461771590031</v>
      </c>
      <c r="R51" s="59">
        <f t="shared" si="0"/>
        <v>684.67795104923357</v>
      </c>
      <c r="S51" s="59">
        <f ca="1">AVERAGE(OFFSET($R$3,0,0,'Données projet'!$E$9+1,1))-AVERAGE(OFFSET($H$3,0,0,'Données projet'!$E$9+1,1))</f>
        <v>199.58763537752952</v>
      </c>
      <c r="T51" s="59">
        <f t="shared" si="34"/>
        <v>242.62852778451929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6.2427687127572353</v>
      </c>
      <c r="AB51" s="21">
        <f>EXP(-LN(2)/2)*AB50+(1-EXP(-LN(2)/2))/(LN(2)/2)*V51*Y51*VLOOKUP('Données projet'!$B$9,Paramètres!$A$1:$I$89,3,0)*0.475*44/12</f>
        <v>2.1018668736758242E-2</v>
      </c>
      <c r="AC51" s="22">
        <f t="shared" si="3"/>
        <v>6.2637873814939935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14.5</v>
      </c>
      <c r="AI51" s="13">
        <f>IF('Données projet'!$A$62&gt;35,AI50+AH51-AQ50,IF(A51&lt;'Données projet'!$A$62,$AF$205^A51,IF(A51='Données projet'!$A$62,'Données projet'!$B$62,AI50+AH51-AQ50)))</f>
        <v>310</v>
      </c>
      <c r="AJ51" s="13">
        <f>AI51*VLOOKUP('Données projet'!$B$10,Paramètres!$A$1:$I$89,3,0)*VLOOKUP('Données projet'!$B$10,Paramètres!$A$1:$I$89,5,0)</f>
        <v>185.38</v>
      </c>
      <c r="AK51" s="13">
        <f t="shared" si="35"/>
        <v>46.517077709312211</v>
      </c>
      <c r="AL51" s="20">
        <f t="shared" si="4"/>
        <v>403.88741034371878</v>
      </c>
      <c r="AM51" s="59">
        <f t="shared" si="5"/>
        <v>697.22074367705204</v>
      </c>
      <c r="AN51" s="59">
        <f ca="1">AVERAGE(OFFSET($AM$3,0,0,'Données projet'!$E$10+1,1))-AVERAGE(OFFSET($H$3,0,0,'Données projet'!$E$10+1,1))</f>
        <v>287.78657453117694</v>
      </c>
      <c r="AO51" s="59">
        <f t="shared" si="36"/>
        <v>153.31562485362252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2.0494648784722931</v>
      </c>
      <c r="AV51" s="21">
        <f>EXP(-LN(2)/25)*AV50+(1-EXP(-LN(2)/25))/(LN(2)/25)*Calculateur!AQ51*Calculateur!AS51*VLOOKUP('Données projet'!$B$10,Paramètres!$A$1:$I$89,3,0)*0.475*44/12</f>
        <v>3.5402256734557374</v>
      </c>
      <c r="AW51" s="21">
        <f>EXP(-LN(2)/2)*AW50+(1-EXP(-LN(2)/2))/(LN(2)/2)*AQ51*AT51*VLOOKUP('Données projet'!$B$10,Paramètres!$A$1:$I$89,3,0)*0.475*44/12</f>
        <v>2.1687555836526512E-2</v>
      </c>
      <c r="AX51" s="21">
        <f t="shared" si="6"/>
        <v>5.6113781077645566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13.793846153846152</v>
      </c>
      <c r="BD51" s="12">
        <f>IF('Données projet'!$A$88&gt;35,BD50+BC51-BL50,IF(A51&lt;'Données projet'!$A$88,$BA$205^A51,IF(A51='Données projet'!$A$88,'Données projet'!$B$88,BD50+BC51-BL50)))</f>
        <v>317.8492307692307</v>
      </c>
      <c r="BE51" s="13">
        <f>BD51*VLOOKUP('Données projet'!$B$11,Paramètres!$A$1:$I$89,3,0)*VLOOKUP('Données projet'!$B$11,Paramètres!$A$1:$I$89,5,0)</f>
        <v>190.07383999999999</v>
      </c>
      <c r="BF51" s="13">
        <f t="shared" si="37"/>
        <v>47.556277457641151</v>
      </c>
      <c r="BG51" s="20">
        <f t="shared" si="7"/>
        <v>413.87245457205836</v>
      </c>
      <c r="BH51" s="59">
        <f t="shared" si="8"/>
        <v>707.20578790539162</v>
      </c>
      <c r="BI51" s="59">
        <f ca="1">AVERAGE(OFFSET($BH$3,0,0,'Données projet'!$E$11+1,1))-AVERAGE(OFFSET($H$3,0,0,'Données projet'!$E$11+1,1))</f>
        <v>250.93905519128998</v>
      </c>
      <c r="BJ51" s="59">
        <f t="shared" si="38"/>
        <v>222.32879462265032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0.89694993326043582</v>
      </c>
      <c r="BQ51" s="21">
        <f>EXP(-LN(2)/25)*BQ50+(1-EXP(-LN(2)/25))/(LN(2)/25)*Calculateur!BL51*Calculateur!BN51*VLOOKUP('Données projet'!$B$11,Paramètres!$A$1:$I$89,3,0)*0.475*44/12</f>
        <v>7.0269695847006641</v>
      </c>
      <c r="BR51" s="21">
        <f>EXP(-LN(2)/2)*BR50+(1-EXP(-LN(2)/2))/(LN(2)/2)*BL51*BO51*VLOOKUP('Données projet'!$B$11,Paramètres!$A$1:$I$89,3,0)*0.475*44/12</f>
        <v>3.6862862321220134E-3</v>
      </c>
      <c r="BS51" s="22">
        <f t="shared" si="9"/>
        <v>7.9276058041932211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11.861538461538462</v>
      </c>
      <c r="BY51" s="12">
        <f>IF('Données projet'!$A$114&gt;35,BY50+BX51-CG50,IF(A51&lt;'Données projet'!$A$114,$BV$205^A51,IF(A51='Données projet'!$A$114,'Données projet'!$B$114,BY50+BX51-CG50)))</f>
        <v>267.36153846153849</v>
      </c>
      <c r="BZ51" s="13">
        <f>BY51*VLOOKUP('Données projet'!$B$12,Paramètres!$A$1:$I$89,3,0)*VLOOKUP('Données projet'!$B$12,Paramètres!$A$1:$I$89,5,0)</f>
        <v>159.88220000000001</v>
      </c>
      <c r="CA51" s="13">
        <f t="shared" si="39"/>
        <v>40.815944149041762</v>
      </c>
      <c r="CB51" s="20">
        <f t="shared" si="10"/>
        <v>349.54926772624776</v>
      </c>
      <c r="CC51" s="59">
        <f t="shared" si="11"/>
        <v>642.88260105958102</v>
      </c>
      <c r="CD51" s="59">
        <f ca="1">AVERAGE(OFFSET($CC$3,0,0,'Données projet'!$E$12+1,1))-AVERAGE(OFFSET($H$3,0,0,'Données projet'!$E$12+1,1))</f>
        <v>179.32848817523677</v>
      </c>
      <c r="CE51" s="59">
        <f t="shared" si="40"/>
        <v>131.3292389103035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8.0015919380926803</v>
      </c>
      <c r="CM51" s="21">
        <f>EXP(-LN(2)/2)*CM50+(1-EXP(-LN(2)/2))/(LN(2)/2)*CG51*CJ51*VLOOKUP('Données projet'!$B$12,Paramètres!$A$1:$I$89,3,0)*0.475*44/12</f>
        <v>1.0279041752432494E-2</v>
      </c>
      <c r="CN51" s="22">
        <f t="shared" si="12"/>
        <v>8.0118709798451135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9.9423076923076934</v>
      </c>
      <c r="CT51" s="12">
        <f>IF('Données projet'!$A$140&gt;35,CT50+CS51-DB50,IF(A51&lt;'Données projet'!$A$140,$CQ$205^A51,IF(A51='Données projet'!$A$140,'Données projet'!$B$140,CT50+CS51-DB50)))</f>
        <v>203.11538461538453</v>
      </c>
      <c r="CU51" s="17">
        <f>CT51*VLOOKUP('Données projet'!$B$13,Paramètres!$A$1:$I$89,3,0)*VLOOKUP('Données projet'!$B$13,Paramètres!$A$1:$I$89,5,0)</f>
        <v>183.7787999999999</v>
      </c>
      <c r="CV51" s="13">
        <f t="shared" si="41"/>
        <v>46.161880289388137</v>
      </c>
      <c r="CW51" s="20">
        <f t="shared" si="13"/>
        <v>400.48001817068416</v>
      </c>
      <c r="CX51" s="59">
        <f t="shared" si="14"/>
        <v>693.81335150401742</v>
      </c>
      <c r="CY51" s="59">
        <f ca="1">AVERAGE(OFFSET($CX$3,0,0,'Données projet'!$E$13+1,1))-AVERAGE(OFFSET($H$3,0,0,'Données projet'!$E$13+1,1))</f>
        <v>309.07357540707869</v>
      </c>
      <c r="CZ51" s="59">
        <f t="shared" si="42"/>
        <v>155.9593924683299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6.8</v>
      </c>
      <c r="DO51" s="12">
        <f>IF('Données projet'!$A$166&gt;35,DO50+DN51-DW50,IF(A51&lt;'Données projet'!$A$166,$DL$205^A51,IF(A51='Données projet'!$A$166,'Données projet'!$B$166,DO50+DN51-DW50)))</f>
        <v>199.39999999999995</v>
      </c>
      <c r="DP51" s="17">
        <f>DO51*VLOOKUP('Données projet'!$B$14,Paramètres!$A$1:$I$89,3,0)*VLOOKUP('Données projet'!$B$14,Paramètres!$A$1:$I$89,5,0)</f>
        <v>174.19583999999998</v>
      </c>
      <c r="DQ51" s="13">
        <f t="shared" si="43"/>
        <v>44.028414526076745</v>
      </c>
      <c r="DR51" s="20">
        <f t="shared" si="16"/>
        <v>380.07390996625026</v>
      </c>
      <c r="DS51" s="59">
        <f t="shared" si="17"/>
        <v>673.40724329958357</v>
      </c>
      <c r="DT51" s="59">
        <f ca="1">AVERAGE(OFFSET($DS$3,0,0,'Données projet'!$E$14+1,1))-AVERAGE(OFFSET($H$3,0,0,'Données projet'!$E$14+1,1))</f>
        <v>210.07838338464626</v>
      </c>
      <c r="DU51" s="59">
        <f t="shared" si="44"/>
        <v>241.76003724236273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3.7108918118872003</v>
      </c>
      <c r="EB51" s="21">
        <f>EXP(-LN(2)/25)*EB50+(1-EXP(-LN(2)/25))/(LN(2)/25)*Calculateur!DW51*Calculateur!DY51*VLOOKUP('Données projet'!$B$14,Paramètres!$A$1:$I$89,3,0)*0.475*44/12</f>
        <v>8.2321848128880397</v>
      </c>
      <c r="EC51" s="21">
        <f>EXP(-LN(2)/2)*EC50+(1-EXP(-LN(2)/2))/(LN(2)/2)*DW51*DZ51*VLOOKUP('Données projet'!$B$14,Paramètres!$A$1:$I$89,3,0)*0.475*44/12</f>
        <v>3.1194188419627459E-2</v>
      </c>
      <c r="ED51" s="22">
        <f t="shared" si="18"/>
        <v>11.974270813194869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11</v>
      </c>
      <c r="EJ51" s="12">
        <f>IF('Données projet'!$A$192&gt;35,EJ50+EI51-ER50,IF(A51&lt;'Données projet'!$A$192,$EG$205^A51,IF(A51='Données projet'!$A$192,'Données projet'!$B$192,EJ50+EI51-ER50)))</f>
        <v>301.00000000000017</v>
      </c>
      <c r="EK51" s="17">
        <f>EJ51*VLOOKUP('Données projet'!$B$15,Paramètres!$A$1:$I$89,3,0)*VLOOKUP('Données projet'!$B$15,Paramètres!$A$1:$I$89,5,0)</f>
        <v>187.8240000000001</v>
      </c>
      <c r="EL51" s="13">
        <f t="shared" si="45"/>
        <v>47.05854810918273</v>
      </c>
      <c r="EM51" s="20">
        <f t="shared" si="19"/>
        <v>409.08710462349342</v>
      </c>
      <c r="EN51" s="59">
        <f t="shared" si="20"/>
        <v>702.42043795682673</v>
      </c>
      <c r="EO51" s="59">
        <f ca="1">AVERAGE(OFFSET($EN$3,0,0,'Données projet'!$E$15+1,1))-AVERAGE(OFFSET($H$3,0,0,'Données projet'!$E$15+1,1))</f>
        <v>209.93608079129638</v>
      </c>
      <c r="EP51" s="59">
        <f t="shared" si="46"/>
        <v>240.15652428700969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4.8682940909628147</v>
      </c>
      <c r="EW51" s="21">
        <f>EXP(-LN(2)/25)*EW50+(1-EXP(-LN(2)/25))/(LN(2)/25)*Calculateur!ER51*Calculateur!ET51*VLOOKUP('Données projet'!$B$15,Paramètres!$A$1:$I$89,3,0)*0.475*44/12</f>
        <v>12.620286053391462</v>
      </c>
      <c r="EX51" s="21">
        <f>EXP(-LN(2)/2)*EX50+(1-EXP(-LN(2)/2))/(LN(2)/2)*ER51*EU51*VLOOKUP('Données projet'!$B$15,Paramètres!$A$1:$I$89,3,0)*0.475*44/12</f>
        <v>3.9435186530693563E-2</v>
      </c>
      <c r="EY51" s="22">
        <f t="shared" si="21"/>
        <v>17.528015330884969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7.7</v>
      </c>
      <c r="N52" s="13">
        <f>IF('Données projet'!$A$36&gt;35,N51+M52-V51,IF(A52&lt;'Données projet'!$A$36,$K$205^A52,IF(A52='Données projet'!$A$36,'Données projet'!$B$36,N51+M52-V51)))</f>
        <v>233.29999999999976</v>
      </c>
      <c r="O52" s="13">
        <f>N52*VLOOKUP('Données projet'!$B$9,Paramètres!$A$1:$I$89,3,0)*VLOOKUP('Données projet'!$B$9,Paramètres!$A$1:$I$89,5,0)</f>
        <v>185.61347999999981</v>
      </c>
      <c r="P52" s="13">
        <f t="shared" si="33"/>
        <v>46.568841147773846</v>
      </c>
      <c r="Q52" s="20">
        <f t="shared" si="53"/>
        <v>404.38420933237239</v>
      </c>
      <c r="R52" s="59">
        <f t="shared" si="0"/>
        <v>697.71754266570565</v>
      </c>
      <c r="S52" s="59">
        <f ca="1">AVERAGE(OFFSET($R$3,0,0,'Données projet'!$E$9+1,1))-AVERAGE(OFFSET($H$3,0,0,'Données projet'!$E$9+1,1))</f>
        <v>199.58763537752952</v>
      </c>
      <c r="T52" s="59">
        <f t="shared" si="34"/>
        <v>242.62852778451929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6.0720598740139504</v>
      </c>
      <c r="AB52" s="21">
        <f>EXP(-LN(2)/2)*AB51+(1-EXP(-LN(2)/2))/(LN(2)/2)*V52*Y52*VLOOKUP('Données projet'!$B$9,Paramètres!$A$1:$I$89,3,0)*0.475*44/12</f>
        <v>1.4862443195275438E-2</v>
      </c>
      <c r="AC52" s="22">
        <f t="shared" si="3"/>
        <v>6.0869223172092255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14.5</v>
      </c>
      <c r="AI52" s="13">
        <f>IF('Données projet'!$A$62&gt;35,AI51+AH52-AQ51,IF(A52&lt;'Données projet'!$A$62,$AF$205^A52,IF(A52='Données projet'!$A$62,'Données projet'!$B$62,AI51+AH52-AQ51)))</f>
        <v>324.5</v>
      </c>
      <c r="AJ52" s="13">
        <f>AI52*VLOOKUP('Données projet'!$B$10,Paramètres!$A$1:$I$89,3,0)*VLOOKUP('Données projet'!$B$10,Paramètres!$A$1:$I$89,5,0)</f>
        <v>194.05100000000002</v>
      </c>
      <c r="AK52" s="13">
        <f t="shared" si="35"/>
        <v>48.434468794025683</v>
      </c>
      <c r="AL52" s="20">
        <f t="shared" si="4"/>
        <v>422.32885814959474</v>
      </c>
      <c r="AM52" s="59">
        <f t="shared" si="5"/>
        <v>715.66219148292805</v>
      </c>
      <c r="AN52" s="59">
        <f ca="1">AVERAGE(OFFSET($AM$3,0,0,'Données projet'!$E$10+1,1))-AVERAGE(OFFSET($H$3,0,0,'Données projet'!$E$10+1,1))</f>
        <v>287.78657453117694</v>
      </c>
      <c r="AO52" s="59">
        <f t="shared" si="36"/>
        <v>153.31562485362252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2.0092761222555953</v>
      </c>
      <c r="AV52" s="21">
        <f>EXP(-LN(2)/25)*AV51+(1-EXP(-LN(2)/25))/(LN(2)/25)*Calculateur!AQ52*Calculateur!AS52*VLOOKUP('Données projet'!$B$10,Paramètres!$A$1:$I$89,3,0)*0.475*44/12</f>
        <v>3.4434180162427133</v>
      </c>
      <c r="AW52" s="21">
        <f>EXP(-LN(2)/2)*AW51+(1-EXP(-LN(2)/2))/(LN(2)/2)*AQ52*AT52*VLOOKUP('Données projet'!$B$10,Paramètres!$A$1:$I$89,3,0)*0.475*44/12</f>
        <v>1.5335417799369784E-2</v>
      </c>
      <c r="AX52" s="21">
        <f t="shared" si="6"/>
        <v>5.4680295562976786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13.793846153846152</v>
      </c>
      <c r="BD52" s="12">
        <f>IF('Données projet'!$A$88&gt;35,BD51+BC52-BL51,IF(A52&lt;'Données projet'!$A$88,$BA$205^A52,IF(A52='Données projet'!$A$88,'Données projet'!$B$88,BD51+BC52-BL51)))</f>
        <v>331.64307692307688</v>
      </c>
      <c r="BE52" s="13">
        <f>BD52*VLOOKUP('Données projet'!$B$11,Paramètres!$A$1:$I$89,3,0)*VLOOKUP('Données projet'!$B$11,Paramètres!$A$1:$I$89,5,0)</f>
        <v>198.32255999999998</v>
      </c>
      <c r="BF52" s="13">
        <f t="shared" si="37"/>
        <v>49.375336669033487</v>
      </c>
      <c r="BG52" s="20">
        <f t="shared" si="7"/>
        <v>431.40717003189997</v>
      </c>
      <c r="BH52" s="59">
        <f t="shared" si="8"/>
        <v>724.74050336523328</v>
      </c>
      <c r="BI52" s="59">
        <f ca="1">AVERAGE(OFFSET($BH$3,0,0,'Données projet'!$E$11+1,1))-AVERAGE(OFFSET($H$3,0,0,'Données projet'!$E$11+1,1))</f>
        <v>250.93905519128998</v>
      </c>
      <c r="BJ52" s="59">
        <f t="shared" si="38"/>
        <v>222.32879462265032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0.87936129215463776</v>
      </c>
      <c r="BQ52" s="21">
        <f>EXP(-LN(2)/25)*BQ51+(1-EXP(-LN(2)/25))/(LN(2)/25)*Calculateur!BL52*Calculateur!BN52*VLOOKUP('Données projet'!$B$11,Paramètres!$A$1:$I$89,3,0)*0.475*44/12</f>
        <v>6.8348167318747546</v>
      </c>
      <c r="BR52" s="21">
        <f>EXP(-LN(2)/2)*BR51+(1-EXP(-LN(2)/2))/(LN(2)/2)*BL52*BO52*VLOOKUP('Données projet'!$B$11,Paramètres!$A$1:$I$89,3,0)*0.475*44/12</f>
        <v>2.6065979921280837E-3</v>
      </c>
      <c r="BS52" s="22">
        <f t="shared" si="9"/>
        <v>7.7167846220215202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11.861538461538462</v>
      </c>
      <c r="BY52" s="12">
        <f>IF('Données projet'!$A$114&gt;35,BY51+BX52-CG51,IF(A52&lt;'Données projet'!$A$114,$BV$205^A52,IF(A52='Données projet'!$A$114,'Données projet'!$B$114,BY51+BX52-CG51)))</f>
        <v>279.22307692307697</v>
      </c>
      <c r="BZ52" s="13">
        <f>BY52*VLOOKUP('Données projet'!$B$12,Paramètres!$A$1:$I$89,3,0)*VLOOKUP('Données projet'!$B$12,Paramètres!$A$1:$I$89,5,0)</f>
        <v>166.97540000000004</v>
      </c>
      <c r="CA52" s="13">
        <f t="shared" si="39"/>
        <v>42.411907667415186</v>
      </c>
      <c r="CB52" s="20">
        <f t="shared" si="10"/>
        <v>364.68289418741483</v>
      </c>
      <c r="CC52" s="59">
        <f t="shared" si="11"/>
        <v>658.01622752074809</v>
      </c>
      <c r="CD52" s="59">
        <f ca="1">AVERAGE(OFFSET($CC$3,0,0,'Données projet'!$E$12+1,1))-AVERAGE(OFFSET($H$3,0,0,'Données projet'!$E$12+1,1))</f>
        <v>179.32848817523677</v>
      </c>
      <c r="CE52" s="59">
        <f t="shared" si="40"/>
        <v>131.3292389103035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7.7827879857601037</v>
      </c>
      <c r="CM52" s="21">
        <f>EXP(-LN(2)/2)*CM51+(1-EXP(-LN(2)/2))/(LN(2)/2)*CG52*CJ52*VLOOKUP('Données projet'!$B$12,Paramètres!$A$1:$I$89,3,0)*0.475*44/12</f>
        <v>7.2683801272446702E-3</v>
      </c>
      <c r="CN52" s="22">
        <f t="shared" si="12"/>
        <v>7.7900563658873487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9.9423076923076934</v>
      </c>
      <c r="CT52" s="12">
        <f>IF('Données projet'!$A$140&gt;35,CT51+CS52-DB51,IF(A52&lt;'Données projet'!$A$140,$CQ$205^A52,IF(A52='Données projet'!$A$140,'Données projet'!$B$140,CT51+CS52-DB51)))</f>
        <v>213.05769230769221</v>
      </c>
      <c r="CU52" s="17">
        <f>CT52*VLOOKUP('Données projet'!$B$13,Paramètres!$A$1:$I$89,3,0)*VLOOKUP('Données projet'!$B$13,Paramètres!$A$1:$I$89,5,0)</f>
        <v>192.77459999999991</v>
      </c>
      <c r="CV52" s="13">
        <f t="shared" si="41"/>
        <v>48.152858976416411</v>
      </c>
      <c r="CW52" s="20">
        <f t="shared" si="13"/>
        <v>419.6153243839251</v>
      </c>
      <c r="CX52" s="59">
        <f t="shared" si="14"/>
        <v>712.94865771725836</v>
      </c>
      <c r="CY52" s="59">
        <f ca="1">AVERAGE(OFFSET($CX$3,0,0,'Données projet'!$E$13+1,1))-AVERAGE(OFFSET($H$3,0,0,'Données projet'!$E$13+1,1))</f>
        <v>309.07357540707869</v>
      </c>
      <c r="CZ52" s="59">
        <f t="shared" si="42"/>
        <v>155.9593924683299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6.8</v>
      </c>
      <c r="DO52" s="12">
        <f>IF('Données projet'!$A$166&gt;35,DO51+DN52-DW51,IF(A52&lt;'Données projet'!$A$166,$DL$205^A52,IF(A52='Données projet'!$A$166,'Données projet'!$B$166,DO51+DN52-DW51)))</f>
        <v>206.19999999999996</v>
      </c>
      <c r="DP52" s="17">
        <f>DO52*VLOOKUP('Données projet'!$B$14,Paramètres!$A$1:$I$89,3,0)*VLOOKUP('Données projet'!$B$14,Paramètres!$A$1:$I$89,5,0)</f>
        <v>180.13631999999998</v>
      </c>
      <c r="DQ52" s="13">
        <f t="shared" si="43"/>
        <v>45.352513518602102</v>
      </c>
      <c r="DR52" s="20">
        <f t="shared" si="16"/>
        <v>392.72638504489856</v>
      </c>
      <c r="DS52" s="59">
        <f t="shared" si="17"/>
        <v>686.05971837823188</v>
      </c>
      <c r="DT52" s="59">
        <f ca="1">AVERAGE(OFFSET($DS$3,0,0,'Données projet'!$E$14+1,1))-AVERAGE(OFFSET($H$3,0,0,'Données projet'!$E$14+1,1))</f>
        <v>210.07838338464626</v>
      </c>
      <c r="DU52" s="59">
        <f t="shared" si="44"/>
        <v>241.76003724236273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3.6381234868766033</v>
      </c>
      <c r="EB52" s="21">
        <f>EXP(-LN(2)/25)*EB51+(1-EXP(-LN(2)/25))/(LN(2)/25)*Calculateur!DW52*Calculateur!DY52*VLOOKUP('Données projet'!$B$14,Paramètres!$A$1:$I$89,3,0)*0.475*44/12</f>
        <v>8.0070752862678312</v>
      </c>
      <c r="EC52" s="21">
        <f>EXP(-LN(2)/2)*EC51+(1-EXP(-LN(2)/2))/(LN(2)/2)*DW52*DZ52*VLOOKUP('Données projet'!$B$14,Paramètres!$A$1:$I$89,3,0)*0.475*44/12</f>
        <v>2.2057622165129451E-2</v>
      </c>
      <c r="ED52" s="22">
        <f t="shared" si="18"/>
        <v>11.667256395309565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11</v>
      </c>
      <c r="EJ52" s="12">
        <f>IF('Données projet'!$A$192&gt;35,EJ51+EI52-ER51,IF(A52&lt;'Données projet'!$A$192,$EG$205^A52,IF(A52='Données projet'!$A$192,'Données projet'!$B$192,EJ51+EI52-ER51)))</f>
        <v>312.00000000000017</v>
      </c>
      <c r="EK52" s="17">
        <f>EJ52*VLOOKUP('Données projet'!$B$15,Paramètres!$A$1:$I$89,3,0)*VLOOKUP('Données projet'!$B$15,Paramètres!$A$1:$I$89,5,0)</f>
        <v>194.6880000000001</v>
      </c>
      <c r="EL52" s="13">
        <f t="shared" si="45"/>
        <v>48.57492822891502</v>
      </c>
      <c r="EM52" s="20">
        <f t="shared" si="19"/>
        <v>423.68293333202706</v>
      </c>
      <c r="EN52" s="59">
        <f t="shared" si="20"/>
        <v>717.01626666536038</v>
      </c>
      <c r="EO52" s="59">
        <f ca="1">AVERAGE(OFFSET($EN$3,0,0,'Données projet'!$E$15+1,1))-AVERAGE(OFFSET($H$3,0,0,'Données projet'!$E$15+1,1))</f>
        <v>209.93608079129638</v>
      </c>
      <c r="EP52" s="59">
        <f t="shared" si="46"/>
        <v>240.15652428700969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4.7728298132052291</v>
      </c>
      <c r="EW52" s="21">
        <f>EXP(-LN(2)/25)*EW51+(1-EXP(-LN(2)/25))/(LN(2)/25)*Calculateur!ER52*Calculateur!ET52*VLOOKUP('Données projet'!$B$15,Paramètres!$A$1:$I$89,3,0)*0.475*44/12</f>
        <v>12.275183667589474</v>
      </c>
      <c r="EX52" s="21">
        <f>EXP(-LN(2)/2)*EX51+(1-EXP(-LN(2)/2))/(LN(2)/2)*ER52*EU52*VLOOKUP('Données projet'!$B$15,Paramètres!$A$1:$I$89,3,0)*0.475*44/12</f>
        <v>2.7884887813209819E-2</v>
      </c>
      <c r="EY52" s="22">
        <f t="shared" si="21"/>
        <v>17.075898368607909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241</v>
      </c>
      <c r="L53" s="12">
        <f>VLOOKUP(A53,'Données projet'!$A$35:$I$55,9,0)</f>
        <v>7.7</v>
      </c>
      <c r="M53" s="12">
        <f t="array" ref="M53">INDEX(L:L,MIN(IF(ISNUMBER(L53:L249),ROW(L53:L249),"")))</f>
        <v>7.7</v>
      </c>
      <c r="N53" s="13">
        <f>IF('Données projet'!$A$36&gt;35,N52+M53-V52,IF(A53&lt;'Données projet'!$A$36,$K$205^A53,IF(A53='Données projet'!$A$36,'Données projet'!$B$36,N52+M53-V52)))</f>
        <v>240.99999999999974</v>
      </c>
      <c r="O53" s="13">
        <f>N53*VLOOKUP('Données projet'!$B$9,Paramètres!$A$1:$I$89,3,0)*VLOOKUP('Données projet'!$B$9,Paramètres!$A$1:$I$89,5,0)</f>
        <v>191.7395999999998</v>
      </c>
      <c r="P53" s="13">
        <f t="shared" si="33"/>
        <v>47.924349465834901</v>
      </c>
      <c r="Q53" s="20">
        <f t="shared" si="53"/>
        <v>417.41471198632871</v>
      </c>
      <c r="R53" s="59">
        <f t="shared" si="0"/>
        <v>710.74804531966197</v>
      </c>
      <c r="S53" s="59">
        <f ca="1">AVERAGE(OFFSET($R$3,0,0,'Données projet'!$E$9+1,1))-AVERAGE(OFFSET($H$3,0,0,'Données projet'!$E$9+1,1))</f>
        <v>199.58763537752952</v>
      </c>
      <c r="T53" s="59">
        <f t="shared" si="34"/>
        <v>242.62852778451929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39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5.9060190774432879</v>
      </c>
      <c r="AB53" s="21">
        <f>EXP(-LN(2)/2)*AB52+(1-EXP(-LN(2)/2))/(LN(2)/2)*V53*Y53*VLOOKUP('Données projet'!$B$9,Paramètres!$A$1:$I$89,3,0)*0.475*44/12</f>
        <v>1.0509334368379121E-2</v>
      </c>
      <c r="AC53" s="22">
        <f t="shared" si="3"/>
        <v>5.916528411811667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339</v>
      </c>
      <c r="AG53" s="12">
        <f>VLOOKUP(A53,'Données projet'!$A$61:$I$81,9,0)</f>
        <v>14.5</v>
      </c>
      <c r="AH53" s="12">
        <f t="array" ref="AH53">INDEX(AG:AG,MIN(IF(ISNUMBER(AG53:AG249),ROW(AG53:AG249),"")))</f>
        <v>14.5</v>
      </c>
      <c r="AI53" s="13">
        <f>IF('Données projet'!$A$62&gt;35,AI52+AH53-AQ52,IF(A53&lt;'Données projet'!$A$62,$AF$205^A53,IF(A53='Données projet'!$A$62,'Données projet'!$B$62,AI52+AH53-AQ52)))</f>
        <v>339</v>
      </c>
      <c r="AJ53" s="13">
        <f>AI53*VLOOKUP('Données projet'!$B$10,Paramètres!$A$1:$I$89,3,0)*VLOOKUP('Données projet'!$B$10,Paramètres!$A$1:$I$89,5,0)</f>
        <v>202.72200000000001</v>
      </c>
      <c r="AK53" s="13">
        <f t="shared" si="35"/>
        <v>50.341909475522883</v>
      </c>
      <c r="AL53" s="20">
        <f t="shared" si="4"/>
        <v>440.75297566986904</v>
      </c>
      <c r="AM53" s="59">
        <f t="shared" si="5"/>
        <v>734.08630900320236</v>
      </c>
      <c r="AN53" s="59">
        <f ca="1">AVERAGE(OFFSET($AM$3,0,0,'Données projet'!$E$10+1,1))-AVERAGE(OFFSET($H$3,0,0,'Données projet'!$E$10+1,1))</f>
        <v>287.78657453117694</v>
      </c>
      <c r="AO53" s="59">
        <f t="shared" si="36"/>
        <v>153.31562485362252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72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1.9698754430355858</v>
      </c>
      <c r="AV53" s="21">
        <f>EXP(-LN(2)/25)*AV52+(1-EXP(-LN(2)/25))/(LN(2)/25)*Calculateur!AQ53*Calculateur!AS53*VLOOKUP('Données projet'!$B$10,Paramètres!$A$1:$I$89,3,0)*0.475*44/12</f>
        <v>3.3492575695070728</v>
      </c>
      <c r="AW53" s="21">
        <f>EXP(-LN(2)/2)*AW52+(1-EXP(-LN(2)/2))/(LN(2)/2)*AQ53*AT53*VLOOKUP('Données projet'!$B$10,Paramètres!$A$1:$I$89,3,0)*0.475*44/12</f>
        <v>1.0843777918263258E-2</v>
      </c>
      <c r="AX53" s="21">
        <f t="shared" si="6"/>
        <v>5.3299767904609219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13.793846153846152</v>
      </c>
      <c r="BD53" s="12">
        <f>IF('Données projet'!$A$88&gt;35,BD52+BC53-BL52,IF(A53&lt;'Données projet'!$A$88,$BA$205^A53,IF(A53='Données projet'!$A$88,'Données projet'!$B$88,BD52+BC53-BL52)))</f>
        <v>345.43692307692305</v>
      </c>
      <c r="BE53" s="13">
        <f>BD53*VLOOKUP('Données projet'!$B$11,Paramètres!$A$1:$I$89,3,0)*VLOOKUP('Données projet'!$B$11,Paramètres!$A$1:$I$89,5,0)</f>
        <v>206.57128</v>
      </c>
      <c r="BF53" s="13">
        <f t="shared" si="37"/>
        <v>51.185607766999659</v>
      </c>
      <c r="BG53" s="20">
        <f t="shared" si="7"/>
        <v>448.92657952752438</v>
      </c>
      <c r="BH53" s="59">
        <f t="shared" si="8"/>
        <v>742.25991286085764</v>
      </c>
      <c r="BI53" s="59">
        <f ca="1">AVERAGE(OFFSET($BH$3,0,0,'Données projet'!$E$11+1,1))-AVERAGE(OFFSET($H$3,0,0,'Données projet'!$E$11+1,1))</f>
        <v>250.93905519128998</v>
      </c>
      <c r="BJ53" s="59">
        <f t="shared" si="38"/>
        <v>222.32879462265032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0.86211755357291264</v>
      </c>
      <c r="BQ53" s="21">
        <f>EXP(-LN(2)/25)*BQ52+(1-EXP(-LN(2)/25))/(LN(2)/25)*Calculateur!BL53*Calculateur!BN53*VLOOKUP('Données projet'!$B$11,Paramètres!$A$1:$I$89,3,0)*0.475*44/12</f>
        <v>6.6479183089142486</v>
      </c>
      <c r="BR53" s="21">
        <f>EXP(-LN(2)/2)*BR52+(1-EXP(-LN(2)/2))/(LN(2)/2)*BL53*BO53*VLOOKUP('Données projet'!$B$11,Paramètres!$A$1:$I$89,3,0)*0.475*44/12</f>
        <v>1.8431431160610072E-3</v>
      </c>
      <c r="BS53" s="22">
        <f t="shared" si="9"/>
        <v>7.5118790056032223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291.0846153846154</v>
      </c>
      <c r="BW53" s="12">
        <f>VLOOKUP(A53,'Données projet'!$A$113:$I$133,9,0)</f>
        <v>11.861538461538462</v>
      </c>
      <c r="BX53" s="12">
        <f t="array" ref="BX53">INDEX(BW:BW,MIN(IF(ISNUMBER(BW53:BW249),ROW(BW53:BW249),"")))</f>
        <v>11.861538461538462</v>
      </c>
      <c r="BY53" s="12">
        <f>IF('Données projet'!$A$114&gt;35,BY52+BX53-CG52,IF(A53&lt;'Données projet'!$A$114,$BV$205^A53,IF(A53='Données projet'!$A$114,'Données projet'!$B$114,BY52+BX53-CG52)))</f>
        <v>291.08461538461546</v>
      </c>
      <c r="BZ53" s="13">
        <f>BY53*VLOOKUP('Données projet'!$B$12,Paramètres!$A$1:$I$89,3,0)*VLOOKUP('Données projet'!$B$12,Paramètres!$A$1:$I$89,5,0)</f>
        <v>174.06860000000006</v>
      </c>
      <c r="CA53" s="13">
        <f t="shared" si="39"/>
        <v>43.999996552753878</v>
      </c>
      <c r="CB53" s="20">
        <f t="shared" si="10"/>
        <v>379.80280566271313</v>
      </c>
      <c r="CC53" s="59">
        <f t="shared" si="11"/>
        <v>673.13613899604638</v>
      </c>
      <c r="CD53" s="59">
        <f ca="1">AVERAGE(OFFSET($CC$3,0,0,'Données projet'!$E$12+1,1))-AVERAGE(OFFSET($H$3,0,0,'Données projet'!$E$12+1,1))</f>
        <v>179.32848817523677</v>
      </c>
      <c r="CE53" s="59">
        <f t="shared" si="40"/>
        <v>131.3292389103035</v>
      </c>
      <c r="CF53" s="15">
        <f>IF(ISNA(VLOOKUP(A53,'Données projet'!$A$113:$I$133,3,0)),0,VLOOKUP(A53,'Données projet'!$A$113:$I$133,3,0))</f>
        <v>5</v>
      </c>
      <c r="CG53" s="15">
        <f>IF(ISNA(VLOOKUP(A53,'Données projet'!$A$113:$I$133,4,0)),0,VLOOKUP(A53,'Données projet'!$A$113:$I$133,4,0))</f>
        <v>55.292307692307688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7.5699672390104613</v>
      </c>
      <c r="CM53" s="21">
        <f>EXP(-LN(2)/2)*CM52+(1-EXP(-LN(2)/2))/(LN(2)/2)*CG53*CJ53*VLOOKUP('Données projet'!$B$12,Paramètres!$A$1:$I$89,3,0)*0.475*44/12</f>
        <v>5.1395208762162478E-3</v>
      </c>
      <c r="CN53" s="22">
        <f t="shared" si="12"/>
        <v>7.5751067598866779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223</v>
      </c>
      <c r="CR53" s="12">
        <f>VLOOKUP(A53,'Données projet'!$A$139:$I$159,9,0)</f>
        <v>9.9423076923076934</v>
      </c>
      <c r="CS53" s="12">
        <f t="array" ref="CS53">INDEX(CR:CR,MIN(IF(ISNUMBER(CR53:CR249),ROW(CR53:CR249),"")))</f>
        <v>9.9423076923076934</v>
      </c>
      <c r="CT53" s="12">
        <f>IF('Données projet'!$A$140&gt;35,CT52+CS53-DB52,IF(A53&lt;'Données projet'!$A$140,$CQ$205^A53,IF(A53='Données projet'!$A$140,'Données projet'!$B$140,CT52+CS53-DB52)))</f>
        <v>222.99999999999989</v>
      </c>
      <c r="CU53" s="17">
        <f>CT53*VLOOKUP('Données projet'!$B$13,Paramètres!$A$1:$I$89,3,0)*VLOOKUP('Données projet'!$B$13,Paramètres!$A$1:$I$89,5,0)</f>
        <v>201.77039999999988</v>
      </c>
      <c r="CV53" s="13">
        <f t="shared" si="41"/>
        <v>50.133048269036053</v>
      </c>
      <c r="CW53" s="20">
        <f t="shared" si="13"/>
        <v>438.73183906857093</v>
      </c>
      <c r="CX53" s="59">
        <f t="shared" si="14"/>
        <v>732.06517240190419</v>
      </c>
      <c r="CY53" s="59">
        <f ca="1">AVERAGE(OFFSET($CX$3,0,0,'Données projet'!$E$13+1,1))-AVERAGE(OFFSET($H$3,0,0,'Données projet'!$E$13+1,1))</f>
        <v>309.07357540707869</v>
      </c>
      <c r="CZ53" s="59">
        <f t="shared" si="42"/>
        <v>155.9593924683299</v>
      </c>
      <c r="DA53" s="15">
        <f>IF(ISNA(VLOOKUP(A53,'Données projet'!$A$139:$I$159,3,0)),0,VLOOKUP(A53,'Données projet'!$A$139:$I$159,3,0))</f>
        <v>3</v>
      </c>
      <c r="DB53" s="15">
        <f>IF(ISNA(VLOOKUP(A53,'Données projet'!$A$139:$I$159,4,0)),0,VLOOKUP(A53,'Données projet'!$A$139:$I$159,4,0))</f>
        <v>52.282051282051285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213</v>
      </c>
      <c r="DM53" s="12">
        <f>VLOOKUP(A53,'Données projet'!$A$165:$I$185,9,0)</f>
        <v>6.8</v>
      </c>
      <c r="DN53" s="12">
        <f t="array" ref="DN53">INDEX(DM:DM,MIN(IF(ISNUMBER(DM53:DM249),ROW(DM53:DM249),"")))</f>
        <v>6.8</v>
      </c>
      <c r="DO53" s="12">
        <f>IF('Données projet'!$A$166&gt;35,DO52+DN53-DW52,IF(A53&lt;'Données projet'!$A$166,$DL$205^A53,IF(A53='Données projet'!$A$166,'Données projet'!$B$166,DO52+DN53-DW52)))</f>
        <v>212.99999999999997</v>
      </c>
      <c r="DP53" s="17">
        <f>DO53*VLOOKUP('Données projet'!$B$14,Paramètres!$A$1:$I$89,3,0)*VLOOKUP('Données projet'!$B$14,Paramètres!$A$1:$I$89,5,0)</f>
        <v>186.07680000000002</v>
      </c>
      <c r="DQ53" s="13">
        <f t="shared" si="43"/>
        <v>46.671538591528673</v>
      </c>
      <c r="DR53" s="20">
        <f t="shared" si="16"/>
        <v>405.37002304691242</v>
      </c>
      <c r="DS53" s="59">
        <f t="shared" si="17"/>
        <v>698.70335638024574</v>
      </c>
      <c r="DT53" s="59">
        <f ca="1">AVERAGE(OFFSET($DS$3,0,0,'Données projet'!$E$14+1,1))-AVERAGE(OFFSET($H$3,0,0,'Données projet'!$E$14+1,1))</f>
        <v>210.07838338464626</v>
      </c>
      <c r="DU53" s="59">
        <f t="shared" si="44"/>
        <v>241.76003724236273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43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3.5667821043351684</v>
      </c>
      <c r="EB53" s="21">
        <f>EXP(-LN(2)/25)*EB52+(1-EXP(-LN(2)/25))/(LN(2)/25)*Calculateur!DW53*Calculateur!DY53*VLOOKUP('Données projet'!$B$14,Paramètres!$A$1:$I$89,3,0)*0.475*44/12</f>
        <v>7.7881213914910488</v>
      </c>
      <c r="EC53" s="21">
        <f>EXP(-LN(2)/2)*EC52+(1-EXP(-LN(2)/2))/(LN(2)/2)*DW53*DZ53*VLOOKUP('Données projet'!$B$14,Paramètres!$A$1:$I$89,3,0)*0.475*44/12</f>
        <v>1.5597094209813733E-2</v>
      </c>
      <c r="ED53" s="22">
        <f t="shared" si="18"/>
        <v>11.370500590036031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323</v>
      </c>
      <c r="EH53" s="12">
        <f>VLOOKUP(A53,'Données projet'!$A$191:$I$211,9,0)</f>
        <v>11</v>
      </c>
      <c r="EI53" s="12">
        <f t="array" ref="EI53">INDEX(EH:EH,MIN(IF(ISNUMBER(EH53:EH249),ROW(EH53:EH249),"")))</f>
        <v>11</v>
      </c>
      <c r="EJ53" s="12">
        <f>IF('Données projet'!$A$192&gt;35,EJ52+EI53-ER52,IF(A53&lt;'Données projet'!$A$192,$EG$205^A53,IF(A53='Données projet'!$A$192,'Données projet'!$B$192,EJ52+EI53-ER52)))</f>
        <v>323.00000000000017</v>
      </c>
      <c r="EK53" s="17">
        <f>EJ53*VLOOKUP('Données projet'!$B$15,Paramètres!$A$1:$I$89,3,0)*VLOOKUP('Données projet'!$B$15,Paramètres!$A$1:$I$89,5,0)</f>
        <v>201.55200000000011</v>
      </c>
      <c r="EL53" s="13">
        <f t="shared" si="45"/>
        <v>50.08509675021061</v>
      </c>
      <c r="EM53" s="20">
        <f t="shared" si="19"/>
        <v>438.26794350661703</v>
      </c>
      <c r="EN53" s="59">
        <f t="shared" si="20"/>
        <v>731.60127683995029</v>
      </c>
      <c r="EO53" s="59">
        <f ca="1">AVERAGE(OFFSET($EN$3,0,0,'Données projet'!$E$15+1,1))-AVERAGE(OFFSET($H$3,0,0,'Données projet'!$E$15+1,1))</f>
        <v>209.93608079129638</v>
      </c>
      <c r="EP53" s="59">
        <f t="shared" si="46"/>
        <v>240.15652428700969</v>
      </c>
      <c r="EQ53" s="15">
        <f>IF(ISNA(VLOOKUP(A53,'Données projet'!$A$191:$I$211,3,0)),0,VLOOKUP(A53,'Données projet'!$A$191:$I$211,3,0))</f>
        <v>4</v>
      </c>
      <c r="ER53" s="15">
        <f>IF(ISNA(VLOOKUP(A53,'Données projet'!$A$191:$I$211,4,0)),0,VLOOKUP(A53,'Données projet'!$A$191:$I$211,4,0))</f>
        <v>60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4.6792375317070096</v>
      </c>
      <c r="EW53" s="21">
        <f>EXP(-LN(2)/25)*EW52+(1-EXP(-LN(2)/25))/(LN(2)/25)*Calculateur!ER53*Calculateur!ET53*VLOOKUP('Données projet'!$B$15,Paramètres!$A$1:$I$89,3,0)*0.475*44/12</f>
        <v>11.939518124675386</v>
      </c>
      <c r="EX53" s="21">
        <f>EXP(-LN(2)/2)*EX52+(1-EXP(-LN(2)/2))/(LN(2)/2)*ER53*EU53*VLOOKUP('Données projet'!$B$15,Paramètres!$A$1:$I$89,3,0)*0.475*44/12</f>
        <v>1.9717593265346781E-2</v>
      </c>
      <c r="EY53" s="22">
        <f t="shared" si="21"/>
        <v>16.638473249647745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5.6</v>
      </c>
      <c r="N54" s="13">
        <f>IF('Données projet'!$A$36&gt;35,N53+M54-V53,IF(A54&lt;'Données projet'!$A$36,$K$205^A54,IF(A54='Données projet'!$A$36,'Données projet'!$B$36,N53+M54-V53)))</f>
        <v>207.59999999999974</v>
      </c>
      <c r="O54" s="13">
        <f>N54*VLOOKUP('Données projet'!$B$9,Paramètres!$A$1:$I$89,3,0)*VLOOKUP('Données projet'!$B$9,Paramètres!$A$1:$I$89,5,0)</f>
        <v>165.16655999999981</v>
      </c>
      <c r="P54" s="13">
        <f t="shared" si="33"/>
        <v>42.005683261714502</v>
      </c>
      <c r="Q54" s="20">
        <f t="shared" si="53"/>
        <v>360.82499034748571</v>
      </c>
      <c r="R54" s="59">
        <f t="shared" si="0"/>
        <v>654.15832368081897</v>
      </c>
      <c r="S54" s="59">
        <f ca="1">AVERAGE(OFFSET($R$3,0,0,'Données projet'!$E$9+1,1))-AVERAGE(OFFSET($H$3,0,0,'Données projet'!$E$9+1,1))</f>
        <v>199.58763537752952</v>
      </c>
      <c r="T54" s="59">
        <f t="shared" si="34"/>
        <v>242.62852778451929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5.7445186751865567</v>
      </c>
      <c r="AB54" s="21">
        <f>EXP(-LN(2)/2)*AB53+(1-EXP(-LN(2)/2))/(LN(2)/2)*V54*Y54*VLOOKUP('Données projet'!$B$9,Paramètres!$A$1:$I$89,3,0)*0.475*44/12</f>
        <v>7.4312215976377188E-3</v>
      </c>
      <c r="AC54" s="22">
        <f t="shared" si="3"/>
        <v>5.7519498967841942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15.6</v>
      </c>
      <c r="AI54" s="13">
        <f>IF('Données projet'!$A$62&gt;35,AI53+AH54-AQ53,IF(A54&lt;'Données projet'!$A$62,$AF$205^A54,IF(A54='Données projet'!$A$62,'Données projet'!$B$62,AI53+AH54-AQ53)))</f>
        <v>282.60000000000002</v>
      </c>
      <c r="AJ54" s="13">
        <f>AI54*VLOOKUP('Données projet'!$B$10,Paramètres!$A$1:$I$89,3,0)*VLOOKUP('Données projet'!$B$10,Paramètres!$A$1:$I$89,5,0)</f>
        <v>168.99480000000003</v>
      </c>
      <c r="AK54" s="13">
        <f t="shared" si="35"/>
        <v>42.864814577758281</v>
      </c>
      <c r="AL54" s="20">
        <f t="shared" si="4"/>
        <v>368.98882872292899</v>
      </c>
      <c r="AM54" s="59">
        <f t="shared" si="5"/>
        <v>662.3221620562623</v>
      </c>
      <c r="AN54" s="59">
        <f ca="1">AVERAGE(OFFSET($AM$3,0,0,'Données projet'!$E$10+1,1))-AVERAGE(OFFSET($H$3,0,0,'Données projet'!$E$10+1,1))</f>
        <v>287.78657453117694</v>
      </c>
      <c r="AO54" s="59">
        <f t="shared" si="36"/>
        <v>153.31562485362252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1.9312473871030393</v>
      </c>
      <c r="AV54" s="21">
        <f>EXP(-LN(2)/25)*AV53+(1-EXP(-LN(2)/25))/(LN(2)/25)*Calculateur!AQ54*Calculateur!AS54*VLOOKUP('Données projet'!$B$10,Paramètres!$A$1:$I$89,3,0)*0.475*44/12</f>
        <v>3.257671945139101</v>
      </c>
      <c r="AW54" s="21">
        <f>EXP(-LN(2)/2)*AW53+(1-EXP(-LN(2)/2))/(LN(2)/2)*AQ54*AT54*VLOOKUP('Données projet'!$B$10,Paramètres!$A$1:$I$89,3,0)*0.475*44/12</f>
        <v>7.6677088996848939E-3</v>
      </c>
      <c r="AX54" s="21">
        <f t="shared" si="6"/>
        <v>5.1965870411418251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13.793846153846152</v>
      </c>
      <c r="BD54" s="12">
        <f>IF('Données projet'!$A$88&gt;35,BD53+BC54-BL53,IF(A54&lt;'Données projet'!$A$88,$BA$205^A54,IF(A54='Données projet'!$A$88,'Données projet'!$B$88,BD53+BC54-BL53)))</f>
        <v>359.23076923076923</v>
      </c>
      <c r="BE54" s="13">
        <f>BD54*VLOOKUP('Données projet'!$B$11,Paramètres!$A$1:$I$89,3,0)*VLOOKUP('Données projet'!$B$11,Paramètres!$A$1:$I$89,5,0)</f>
        <v>214.82</v>
      </c>
      <c r="BF54" s="13">
        <f t="shared" si="37"/>
        <v>52.987481825087599</v>
      </c>
      <c r="BG54" s="20">
        <f t="shared" si="7"/>
        <v>466.43136417869431</v>
      </c>
      <c r="BH54" s="59">
        <f t="shared" si="8"/>
        <v>759.76469751202762</v>
      </c>
      <c r="BI54" s="59">
        <f ca="1">AVERAGE(OFFSET($BH$3,0,0,'Données projet'!$E$11+1,1))-AVERAGE(OFFSET($H$3,0,0,'Données projet'!$E$11+1,1))</f>
        <v>250.93905519128998</v>
      </c>
      <c r="BJ54" s="59">
        <f t="shared" si="38"/>
        <v>222.32879462265032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0.84521195418713313</v>
      </c>
      <c r="BQ54" s="21">
        <f>EXP(-LN(2)/25)*BQ53+(1-EXP(-LN(2)/25))/(LN(2)/25)*Calculateur!BL54*Calculateur!BN54*VLOOKUP('Données projet'!$B$11,Paramètres!$A$1:$I$89,3,0)*0.475*44/12</f>
        <v>6.4661306331581585</v>
      </c>
      <c r="BR54" s="21">
        <f>EXP(-LN(2)/2)*BR53+(1-EXP(-LN(2)/2))/(LN(2)/2)*BL54*BO54*VLOOKUP('Données projet'!$B$11,Paramètres!$A$1:$I$89,3,0)*0.475*44/12</f>
        <v>1.3032989960640421E-3</v>
      </c>
      <c r="BS54" s="22">
        <f t="shared" si="9"/>
        <v>7.3126458863413557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10.66307692307692</v>
      </c>
      <c r="BY54" s="12">
        <f>IF('Données projet'!$A$114&gt;35,BY53+BX54-CG53,IF(A54&lt;'Données projet'!$A$114,$BV$205^A54,IF(A54='Données projet'!$A$114,'Données projet'!$B$114,BY53+BX54-CG53)))</f>
        <v>246.45538461538467</v>
      </c>
      <c r="BZ54" s="13">
        <f>BY54*VLOOKUP('Données projet'!$B$12,Paramètres!$A$1:$I$89,3,0)*VLOOKUP('Données projet'!$B$12,Paramètres!$A$1:$I$89,5,0)</f>
        <v>147.38032000000004</v>
      </c>
      <c r="CA54" s="13">
        <f t="shared" si="39"/>
        <v>37.982644854557613</v>
      </c>
      <c r="CB54" s="20">
        <f t="shared" si="10"/>
        <v>322.84049712168786</v>
      </c>
      <c r="CC54" s="59">
        <f t="shared" si="11"/>
        <v>616.17383045502118</v>
      </c>
      <c r="CD54" s="59">
        <f ca="1">AVERAGE(OFFSET($CC$3,0,0,'Données projet'!$E$12+1,1))-AVERAGE(OFFSET($H$3,0,0,'Données projet'!$E$12+1,1))</f>
        <v>179.32848817523677</v>
      </c>
      <c r="CE54" s="59">
        <f t="shared" si="40"/>
        <v>131.3292389103035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7.3629660867724445</v>
      </c>
      <c r="CM54" s="21">
        <f>EXP(-LN(2)/2)*CM53+(1-EXP(-LN(2)/2))/(LN(2)/2)*CG54*CJ54*VLOOKUP('Données projet'!$B$12,Paramètres!$A$1:$I$89,3,0)*0.475*44/12</f>
        <v>3.6341900636223355E-3</v>
      </c>
      <c r="CN54" s="22">
        <f t="shared" si="12"/>
        <v>7.366600276836067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9.6586538461538431</v>
      </c>
      <c r="CT54" s="12">
        <f>IF('Données projet'!$A$140&gt;35,CT53+CS54-DB53,IF(A54&lt;'Données projet'!$A$140,$CQ$205^A54,IF(A54='Données projet'!$A$140,'Données projet'!$B$140,CT53+CS54-DB53)))</f>
        <v>180.37660256410243</v>
      </c>
      <c r="CU54" s="17">
        <f>CT54*VLOOKUP('Données projet'!$B$13,Paramètres!$A$1:$I$89,3,0)*VLOOKUP('Données projet'!$B$13,Paramètres!$A$1:$I$89,5,0)</f>
        <v>163.20474999999988</v>
      </c>
      <c r="CV54" s="13">
        <f t="shared" si="41"/>
        <v>41.564519294689731</v>
      </c>
      <c r="CW54" s="20">
        <f t="shared" si="13"/>
        <v>356.63981068825109</v>
      </c>
      <c r="CX54" s="59">
        <f t="shared" si="14"/>
        <v>649.9731440215844</v>
      </c>
      <c r="CY54" s="59">
        <f ca="1">AVERAGE(OFFSET($CX$3,0,0,'Données projet'!$E$13+1,1))-AVERAGE(OFFSET($H$3,0,0,'Données projet'!$E$13+1,1))</f>
        <v>309.07357540707869</v>
      </c>
      <c r="CZ54" s="59">
        <f t="shared" si="42"/>
        <v>155.9593924683299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5.7</v>
      </c>
      <c r="DO54" s="12">
        <f>IF('Données projet'!$A$166&gt;35,DO53+DN54-DW53,IF(A54&lt;'Données projet'!$A$166,$DL$205^A54,IF(A54='Données projet'!$A$166,'Données projet'!$B$166,DO53+DN54-DW53)))</f>
        <v>175.69999999999996</v>
      </c>
      <c r="DP54" s="17">
        <f>DO54*VLOOKUP('Données projet'!$B$14,Paramètres!$A$1:$I$89,3,0)*VLOOKUP('Données projet'!$B$14,Paramètres!$A$1:$I$89,5,0)</f>
        <v>153.49151999999998</v>
      </c>
      <c r="DQ54" s="13">
        <f t="shared" si="43"/>
        <v>39.370980358987183</v>
      </c>
      <c r="DR54" s="20">
        <f t="shared" si="16"/>
        <v>335.90218812523602</v>
      </c>
      <c r="DS54" s="59">
        <f t="shared" si="17"/>
        <v>629.23552145856934</v>
      </c>
      <c r="DT54" s="59">
        <f ca="1">AVERAGE(OFFSET($DS$3,0,0,'Données projet'!$E$14+1,1))-AVERAGE(OFFSET($H$3,0,0,'Données projet'!$E$14+1,1))</f>
        <v>210.07838338464626</v>
      </c>
      <c r="DU54" s="59">
        <f t="shared" si="44"/>
        <v>241.76003724236273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3.4968396827914243</v>
      </c>
      <c r="EB54" s="21">
        <f>EXP(-LN(2)/25)*EB53+(1-EXP(-LN(2)/25))/(LN(2)/25)*Calculateur!DW54*Calculateur!DY54*VLOOKUP('Données projet'!$B$14,Paramètres!$A$1:$I$89,3,0)*0.475*44/12</f>
        <v>7.5751548024812223</v>
      </c>
      <c r="EC54" s="21">
        <f>EXP(-LN(2)/2)*EC53+(1-EXP(-LN(2)/2))/(LN(2)/2)*DW54*DZ54*VLOOKUP('Données projet'!$B$14,Paramètres!$A$1:$I$89,3,0)*0.475*44/12</f>
        <v>1.1028811082564727E-2</v>
      </c>
      <c r="ED54" s="22">
        <f t="shared" si="18"/>
        <v>11.083023296355211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8.8000000000000007</v>
      </c>
      <c r="EJ54" s="12">
        <f>IF('Données projet'!$A$192&gt;35,EJ53+EI54-ER53,IF(A54&lt;'Données projet'!$A$192,$EG$205^A54,IF(A54='Données projet'!$A$192,'Données projet'!$B$192,EJ53+EI54-ER53)))</f>
        <v>271.80000000000018</v>
      </c>
      <c r="EK54" s="17">
        <f>EJ54*VLOOKUP('Données projet'!$B$15,Paramètres!$A$1:$I$89,3,0)*VLOOKUP('Données projet'!$B$15,Paramètres!$A$1:$I$89,5,0)</f>
        <v>169.60320000000013</v>
      </c>
      <c r="EL54" s="13">
        <f t="shared" si="45"/>
        <v>43.001141502019024</v>
      </c>
      <c r="EM54" s="20">
        <f t="shared" si="19"/>
        <v>370.28589478268333</v>
      </c>
      <c r="EN54" s="59">
        <f t="shared" si="20"/>
        <v>663.61922811601664</v>
      </c>
      <c r="EO54" s="59">
        <f ca="1">AVERAGE(OFFSET($EN$3,0,0,'Données projet'!$E$15+1,1))-AVERAGE(OFFSET($H$3,0,0,'Données projet'!$E$15+1,1))</f>
        <v>209.93608079129638</v>
      </c>
      <c r="EP54" s="59">
        <f t="shared" si="46"/>
        <v>240.15652428700969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4.587480537763315</v>
      </c>
      <c r="EW54" s="21">
        <f>EXP(-LN(2)/25)*EW53+(1-EXP(-LN(2)/25))/(LN(2)/25)*Calculateur!ER54*Calculateur!ET54*VLOOKUP('Données projet'!$B$15,Paramètres!$A$1:$I$89,3,0)*0.475*44/12</f>
        <v>11.613031373684167</v>
      </c>
      <c r="EX54" s="21">
        <f>EXP(-LN(2)/2)*EX53+(1-EXP(-LN(2)/2))/(LN(2)/2)*ER54*EU54*VLOOKUP('Données projet'!$B$15,Paramètres!$A$1:$I$89,3,0)*0.475*44/12</f>
        <v>1.394244390660491E-2</v>
      </c>
      <c r="EY54" s="22">
        <f t="shared" si="21"/>
        <v>16.214454355354086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5.6</v>
      </c>
      <c r="N55" s="13">
        <f>IF('Données projet'!$A$36&gt;35,N54+M55-V54,IF(A55&lt;'Données projet'!$A$36,$K$205^A55,IF(A55='Données projet'!$A$36,'Données projet'!$B$36,N54+M55-V54)))</f>
        <v>213.19999999999973</v>
      </c>
      <c r="O55" s="13">
        <f>N55*VLOOKUP('Données projet'!$B$9,Paramètres!$A$1:$I$89,3,0)*VLOOKUP('Données projet'!$B$9,Paramètres!$A$1:$I$89,5,0)</f>
        <v>169.62191999999982</v>
      </c>
      <c r="P55" s="13">
        <f t="shared" si="33"/>
        <v>43.005335272941906</v>
      </c>
      <c r="Q55" s="20">
        <f t="shared" si="53"/>
        <v>370.32580293370683</v>
      </c>
      <c r="R55" s="59">
        <f t="shared" si="0"/>
        <v>663.65913626704014</v>
      </c>
      <c r="S55" s="59">
        <f ca="1">AVERAGE(OFFSET($R$3,0,0,'Données projet'!$E$9+1,1))-AVERAGE(OFFSET($H$3,0,0,'Données projet'!$E$9+1,1))</f>
        <v>199.58763537752952</v>
      </c>
      <c r="T55" s="59">
        <f t="shared" si="34"/>
        <v>242.62852778451929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5.5874345099224723</v>
      </c>
      <c r="AB55" s="21">
        <f>EXP(-LN(2)/2)*AB54+(1-EXP(-LN(2)/2))/(LN(2)/2)*V55*Y55*VLOOKUP('Données projet'!$B$9,Paramètres!$A$1:$I$89,3,0)*0.475*44/12</f>
        <v>5.2546671841895605E-3</v>
      </c>
      <c r="AC55" s="22">
        <f t="shared" si="3"/>
        <v>5.5926891771066618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15.6</v>
      </c>
      <c r="AI55" s="13">
        <f>IF('Données projet'!$A$62&gt;35,AI54+AH55-AQ54,IF(A55&lt;'Données projet'!$A$62,$AF$205^A55,IF(A55='Données projet'!$A$62,'Données projet'!$B$62,AI54+AH55-AQ54)))</f>
        <v>298.20000000000005</v>
      </c>
      <c r="AJ55" s="13">
        <f>AI55*VLOOKUP('Données projet'!$B$10,Paramètres!$A$1:$I$89,3,0)*VLOOKUP('Données projet'!$B$10,Paramètres!$A$1:$I$89,5,0)</f>
        <v>178.32360000000003</v>
      </c>
      <c r="AK55" s="13">
        <f t="shared" si="35"/>
        <v>44.949015186129948</v>
      </c>
      <c r="AL55" s="20">
        <f t="shared" si="4"/>
        <v>388.86647144917634</v>
      </c>
      <c r="AM55" s="59">
        <f t="shared" si="5"/>
        <v>682.19980478250966</v>
      </c>
      <c r="AN55" s="59">
        <f ca="1">AVERAGE(OFFSET($AM$3,0,0,'Données projet'!$E$10+1,1))-AVERAGE(OFFSET($H$3,0,0,'Données projet'!$E$10+1,1))</f>
        <v>287.78657453117694</v>
      </c>
      <c r="AO55" s="59">
        <f t="shared" si="36"/>
        <v>153.31562485362252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1.8933768037865426</v>
      </c>
      <c r="AV55" s="21">
        <f>EXP(-LN(2)/25)*AV54+(1-EXP(-LN(2)/25))/(LN(2)/25)*Calculateur!AQ55*Calculateur!AS55*VLOOKUP('Données projet'!$B$10,Paramètres!$A$1:$I$89,3,0)*0.475*44/12</f>
        <v>3.16859073448575</v>
      </c>
      <c r="AW55" s="21">
        <f>EXP(-LN(2)/2)*AW54+(1-EXP(-LN(2)/2))/(LN(2)/2)*AQ55*AT55*VLOOKUP('Données projet'!$B$10,Paramètres!$A$1:$I$89,3,0)*0.475*44/12</f>
        <v>5.4218889591316297E-3</v>
      </c>
      <c r="AX55" s="21">
        <f t="shared" si="6"/>
        <v>5.0673894272314239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13.793846153846152</v>
      </c>
      <c r="BD55" s="12">
        <f>IF('Données projet'!$A$88&gt;35,BD54+BC55-BL54,IF(A55&lt;'Données projet'!$A$88,$BA$205^A55,IF(A55='Données projet'!$A$88,'Données projet'!$B$88,BD54+BC55-BL54)))</f>
        <v>373.0246153846154</v>
      </c>
      <c r="BE55" s="13">
        <f>BD55*VLOOKUP('Données projet'!$B$11,Paramètres!$A$1:$I$89,3,0)*VLOOKUP('Données projet'!$B$11,Paramètres!$A$1:$I$89,5,0)</f>
        <v>223.06872000000001</v>
      </c>
      <c r="BF55" s="13">
        <f t="shared" si="37"/>
        <v>54.78131818288734</v>
      </c>
      <c r="BG55" s="20">
        <f t="shared" si="7"/>
        <v>483.92214983519551</v>
      </c>
      <c r="BH55" s="59">
        <f t="shared" si="8"/>
        <v>777.25548316852883</v>
      </c>
      <c r="BI55" s="59">
        <f ca="1">AVERAGE(OFFSET($BH$3,0,0,'Données projet'!$E$11+1,1))-AVERAGE(OFFSET($H$3,0,0,'Données projet'!$E$11+1,1))</f>
        <v>250.93905519128998</v>
      </c>
      <c r="BJ55" s="59">
        <f t="shared" si="38"/>
        <v>222.32879462265032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0.82863786329391131</v>
      </c>
      <c r="BQ55" s="21">
        <f>EXP(-LN(2)/25)*BQ54+(1-EXP(-LN(2)/25))/(LN(2)/25)*Calculateur!BL55*Calculateur!BN55*VLOOKUP('Données projet'!$B$11,Paramètres!$A$1:$I$89,3,0)*0.475*44/12</f>
        <v>6.2893139509554175</v>
      </c>
      <c r="BR55" s="21">
        <f>EXP(-LN(2)/2)*BR54+(1-EXP(-LN(2)/2))/(LN(2)/2)*BL55*BO55*VLOOKUP('Données projet'!$B$11,Paramètres!$A$1:$I$89,3,0)*0.475*44/12</f>
        <v>9.2157155803050369E-4</v>
      </c>
      <c r="BS55" s="22">
        <f t="shared" si="9"/>
        <v>7.1188733858073592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10.66307692307692</v>
      </c>
      <c r="BY55" s="12">
        <f>IF('Données projet'!$A$114&gt;35,BY54+BX55-CG54,IF(A55&lt;'Données projet'!$A$114,$BV$205^A55,IF(A55='Données projet'!$A$114,'Données projet'!$B$114,BY54+BX55-CG54)))</f>
        <v>257.11846153846159</v>
      </c>
      <c r="BZ55" s="13">
        <f>BY55*VLOOKUP('Données projet'!$B$12,Paramètres!$A$1:$I$89,3,0)*VLOOKUP('Données projet'!$B$12,Paramètres!$A$1:$I$89,5,0)</f>
        <v>153.75684000000004</v>
      </c>
      <c r="CA55" s="13">
        <f t="shared" si="39"/>
        <v>39.431107959482766</v>
      </c>
      <c r="CB55" s="20">
        <f t="shared" si="10"/>
        <v>336.46900936276592</v>
      </c>
      <c r="CC55" s="59">
        <f t="shared" si="11"/>
        <v>629.80234269609923</v>
      </c>
      <c r="CD55" s="59">
        <f ca="1">AVERAGE(OFFSET($CC$3,0,0,'Données projet'!$E$12+1,1))-AVERAGE(OFFSET($H$3,0,0,'Données projet'!$E$12+1,1))</f>
        <v>179.32848817523677</v>
      </c>
      <c r="CE55" s="59">
        <f t="shared" si="40"/>
        <v>131.3292389103035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7.1616253919280934</v>
      </c>
      <c r="CM55" s="21">
        <f>EXP(-LN(2)/2)*CM54+(1-EXP(-LN(2)/2))/(LN(2)/2)*CG55*CJ55*VLOOKUP('Données projet'!$B$12,Paramètres!$A$1:$I$89,3,0)*0.475*44/12</f>
        <v>2.5697604381081244E-3</v>
      </c>
      <c r="CN55" s="22">
        <f t="shared" si="12"/>
        <v>7.1641951523662017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9.6586538461538431</v>
      </c>
      <c r="CT55" s="12">
        <f>IF('Données projet'!$A$140&gt;35,CT54+CS55-DB54,IF(A55&lt;'Données projet'!$A$140,$CQ$205^A55,IF(A55='Données projet'!$A$140,'Données projet'!$B$140,CT54+CS55-DB54)))</f>
        <v>190.03525641025627</v>
      </c>
      <c r="CU55" s="17">
        <f>CT55*VLOOKUP('Données projet'!$B$13,Paramètres!$A$1:$I$89,3,0)*VLOOKUP('Données projet'!$B$13,Paramètres!$A$1:$I$89,5,0)</f>
        <v>171.94389999999987</v>
      </c>
      <c r="CV55" s="13">
        <f t="shared" si="41"/>
        <v>43.525104007742414</v>
      </c>
      <c r="CW55" s="20">
        <f t="shared" si="13"/>
        <v>375.2751819801511</v>
      </c>
      <c r="CX55" s="59">
        <f t="shared" si="14"/>
        <v>668.60851531348442</v>
      </c>
      <c r="CY55" s="59">
        <f ca="1">AVERAGE(OFFSET($CX$3,0,0,'Données projet'!$E$13+1,1))-AVERAGE(OFFSET($H$3,0,0,'Données projet'!$E$13+1,1))</f>
        <v>309.07357540707869</v>
      </c>
      <c r="CZ55" s="59">
        <f t="shared" si="42"/>
        <v>155.9593924683299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5.7</v>
      </c>
      <c r="DO55" s="12">
        <f>IF('Données projet'!$A$166&gt;35,DO54+DN55-DW54,IF(A55&lt;'Données projet'!$A$166,$DL$205^A55,IF(A55='Données projet'!$A$166,'Données projet'!$B$166,DO54+DN55-DW54)))</f>
        <v>181.39999999999995</v>
      </c>
      <c r="DP55" s="17">
        <f>DO55*VLOOKUP('Données projet'!$B$14,Paramètres!$A$1:$I$89,3,0)*VLOOKUP('Données projet'!$B$14,Paramètres!$A$1:$I$89,5,0)</f>
        <v>158.47103999999996</v>
      </c>
      <c r="DQ55" s="13">
        <f t="shared" si="43"/>
        <v>40.497461727609561</v>
      </c>
      <c r="DR55" s="20">
        <f t="shared" si="16"/>
        <v>346.53680717558655</v>
      </c>
      <c r="DS55" s="59">
        <f t="shared" si="17"/>
        <v>639.8701405089198</v>
      </c>
      <c r="DT55" s="59">
        <f ca="1">AVERAGE(OFFSET($DS$3,0,0,'Données projet'!$E$14+1,1))-AVERAGE(OFFSET($H$3,0,0,'Données projet'!$E$14+1,1))</f>
        <v>210.07838338464626</v>
      </c>
      <c r="DU55" s="59">
        <f t="shared" si="44"/>
        <v>241.76003724236273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3.4282687894734885</v>
      </c>
      <c r="EB55" s="21">
        <f>EXP(-LN(2)/25)*EB54+(1-EXP(-LN(2)/25))/(LN(2)/25)*Calculateur!DW55*Calculateur!DY55*VLOOKUP('Données projet'!$B$14,Paramètres!$A$1:$I$89,3,0)*0.475*44/12</f>
        <v>7.3680117960472957</v>
      </c>
      <c r="EC55" s="21">
        <f>EXP(-LN(2)/2)*EC54+(1-EXP(-LN(2)/2))/(LN(2)/2)*DW55*DZ55*VLOOKUP('Données projet'!$B$14,Paramètres!$A$1:$I$89,3,0)*0.475*44/12</f>
        <v>7.7985471049068673E-3</v>
      </c>
      <c r="ED55" s="22">
        <f t="shared" si="18"/>
        <v>10.80407913262569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8.8000000000000007</v>
      </c>
      <c r="EJ55" s="12">
        <f>IF('Données projet'!$A$192&gt;35,EJ54+EI55-ER54,IF(A55&lt;'Données projet'!$A$192,$EG$205^A55,IF(A55='Données projet'!$A$192,'Données projet'!$B$192,EJ54+EI55-ER54)))</f>
        <v>280.60000000000019</v>
      </c>
      <c r="EK55" s="17">
        <f>EJ55*VLOOKUP('Données projet'!$B$15,Paramètres!$A$1:$I$89,3,0)*VLOOKUP('Données projet'!$B$15,Paramètres!$A$1:$I$89,5,0)</f>
        <v>175.09440000000015</v>
      </c>
      <c r="EL55" s="13">
        <f t="shared" si="45"/>
        <v>44.229031605991956</v>
      </c>
      <c r="EM55" s="20">
        <f t="shared" si="19"/>
        <v>381.98831004710291</v>
      </c>
      <c r="EN55" s="59">
        <f t="shared" si="20"/>
        <v>675.32164338043617</v>
      </c>
      <c r="EO55" s="59">
        <f ca="1">AVERAGE(OFFSET($EN$3,0,0,'Données projet'!$E$15+1,1))-AVERAGE(OFFSET($H$3,0,0,'Données projet'!$E$15+1,1))</f>
        <v>209.93608079129638</v>
      </c>
      <c r="EP55" s="59">
        <f t="shared" si="46"/>
        <v>240.15652428700969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4.4975228425046163</v>
      </c>
      <c r="EW55" s="21">
        <f>EXP(-LN(2)/25)*EW54+(1-EXP(-LN(2)/25))/(LN(2)/25)*Calculateur!ER55*Calculateur!ET55*VLOOKUP('Données projet'!$B$15,Paramètres!$A$1:$I$89,3,0)*0.475*44/12</f>
        <v>11.295472420067997</v>
      </c>
      <c r="EX55" s="21">
        <f>EXP(-LN(2)/2)*EX54+(1-EXP(-LN(2)/2))/(LN(2)/2)*ER55*EU55*VLOOKUP('Données projet'!$B$15,Paramètres!$A$1:$I$89,3,0)*0.475*44/12</f>
        <v>9.8587966326733906E-3</v>
      </c>
      <c r="EY55" s="22">
        <f t="shared" si="21"/>
        <v>15.802854059205288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5.6</v>
      </c>
      <c r="N56" s="13">
        <f>IF('Données projet'!$A$36&gt;35,N55+M56-V55,IF(A56&lt;'Données projet'!$A$36,$K$205^A56,IF(A56='Données projet'!$A$36,'Données projet'!$B$36,N55+M56-V55)))</f>
        <v>218.79999999999973</v>
      </c>
      <c r="O56" s="13">
        <f>N56*VLOOKUP('Données projet'!$B$9,Paramètres!$A$1:$I$89,3,0)*VLOOKUP('Données projet'!$B$9,Paramètres!$A$1:$I$89,5,0)</f>
        <v>174.0772799999998</v>
      </c>
      <c r="P56" s="13">
        <f t="shared" si="33"/>
        <v>44.001935233861104</v>
      </c>
      <c r="Q56" s="20">
        <f t="shared" si="53"/>
        <v>379.82129986564109</v>
      </c>
      <c r="R56" s="59">
        <f t="shared" si="0"/>
        <v>673.15463319897435</v>
      </c>
      <c r="S56" s="59">
        <f ca="1">AVERAGE(OFFSET($R$3,0,0,'Données projet'!$E$9+1,1))-AVERAGE(OFFSET($H$3,0,0,'Données projet'!$E$9+1,1))</f>
        <v>199.58763537752952</v>
      </c>
      <c r="T56" s="59">
        <f t="shared" si="34"/>
        <v>242.62852778451929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5.4346458194182317</v>
      </c>
      <c r="AB56" s="21">
        <f>EXP(-LN(2)/2)*AB55+(1-EXP(-LN(2)/2))/(LN(2)/2)*V56*Y56*VLOOKUP('Données projet'!$B$9,Paramètres!$A$1:$I$89,3,0)*0.475*44/12</f>
        <v>3.7156107988188594E-3</v>
      </c>
      <c r="AC56" s="22">
        <f t="shared" si="3"/>
        <v>5.4383614302170509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15.6</v>
      </c>
      <c r="AI56" s="13">
        <f>IF('Données projet'!$A$62&gt;35,AI55+AH56-AQ55,IF(A56&lt;'Données projet'!$A$62,$AF$205^A56,IF(A56='Données projet'!$A$62,'Données projet'!$B$62,AI55+AH56-AQ55)))</f>
        <v>313.80000000000007</v>
      </c>
      <c r="AJ56" s="13">
        <f>AI56*VLOOKUP('Données projet'!$B$10,Paramètres!$A$1:$I$89,3,0)*VLOOKUP('Données projet'!$B$10,Paramètres!$A$1:$I$89,5,0)</f>
        <v>187.65240000000006</v>
      </c>
      <c r="AK56" s="13">
        <f t="shared" si="35"/>
        <v>47.020556863902272</v>
      </c>
      <c r="AL56" s="20">
        <f t="shared" si="4"/>
        <v>408.7220665379632</v>
      </c>
      <c r="AM56" s="59">
        <f t="shared" si="5"/>
        <v>702.05539987129646</v>
      </c>
      <c r="AN56" s="59">
        <f ca="1">AVERAGE(OFFSET($AM$3,0,0,'Données projet'!$E$10+1,1))-AVERAGE(OFFSET($H$3,0,0,'Données projet'!$E$10+1,1))</f>
        <v>287.78657453117694</v>
      </c>
      <c r="AO56" s="59">
        <f t="shared" si="36"/>
        <v>153.31562485362252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1.8562488395101073</v>
      </c>
      <c r="AV56" s="21">
        <f>EXP(-LN(2)/25)*AV55+(1-EXP(-LN(2)/25))/(LN(2)/25)*Calculateur!AQ56*Calculateur!AS56*VLOOKUP('Données projet'!$B$10,Paramètres!$A$1:$I$89,3,0)*0.475*44/12</f>
        <v>3.0819454542222924</v>
      </c>
      <c r="AW56" s="21">
        <f>EXP(-LN(2)/2)*AW55+(1-EXP(-LN(2)/2))/(LN(2)/2)*AQ56*AT56*VLOOKUP('Données projet'!$B$10,Paramètres!$A$1:$I$89,3,0)*0.475*44/12</f>
        <v>3.8338544498424474E-3</v>
      </c>
      <c r="AX56" s="21">
        <f t="shared" si="6"/>
        <v>4.9420281481822421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13.793846153846152</v>
      </c>
      <c r="BD56" s="12">
        <f>IF('Données projet'!$A$88&gt;35,BD55+BC56-BL55,IF(A56&lt;'Données projet'!$A$88,$BA$205^A56,IF(A56='Données projet'!$A$88,'Données projet'!$B$88,BD55+BC56-BL55)))</f>
        <v>386.81846153846158</v>
      </c>
      <c r="BE56" s="13">
        <f>BD56*VLOOKUP('Données projet'!$B$11,Paramètres!$A$1:$I$89,3,0)*VLOOKUP('Données projet'!$B$11,Paramètres!$A$1:$I$89,5,0)</f>
        <v>231.31744000000003</v>
      </c>
      <c r="BF56" s="13">
        <f t="shared" si="37"/>
        <v>56.567448098598192</v>
      </c>
      <c r="BG56" s="20">
        <f t="shared" si="7"/>
        <v>501.39951343839198</v>
      </c>
      <c r="BH56" s="59">
        <f t="shared" si="8"/>
        <v>794.73284677172524</v>
      </c>
      <c r="BI56" s="59">
        <f ca="1">AVERAGE(OFFSET($BH$3,0,0,'Données projet'!$E$11+1,1))-AVERAGE(OFFSET($H$3,0,0,'Données projet'!$E$11+1,1))</f>
        <v>250.93905519128998</v>
      </c>
      <c r="BJ56" s="59">
        <f t="shared" si="38"/>
        <v>222.32879462265032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0.81238878021390837</v>
      </c>
      <c r="BQ56" s="21">
        <f>EXP(-LN(2)/25)*BQ55+(1-EXP(-LN(2)/25))/(LN(2)/25)*Calculateur!BL56*Calculateur!BN56*VLOOKUP('Données projet'!$B$11,Paramètres!$A$1:$I$89,3,0)*0.475*44/12</f>
        <v>6.1173323302258957</v>
      </c>
      <c r="BR56" s="21">
        <f>EXP(-LN(2)/2)*BR55+(1-EXP(-LN(2)/2))/(LN(2)/2)*BL56*BO56*VLOOKUP('Données projet'!$B$11,Paramètres!$A$1:$I$89,3,0)*0.475*44/12</f>
        <v>6.5164949803202114E-4</v>
      </c>
      <c r="BS56" s="22">
        <f t="shared" si="9"/>
        <v>6.9303727599378355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10.66307692307692</v>
      </c>
      <c r="BY56" s="12">
        <f>IF('Données projet'!$A$114&gt;35,BY55+BX56-CG55,IF(A56&lt;'Données projet'!$A$114,$BV$205^A56,IF(A56='Données projet'!$A$114,'Données projet'!$B$114,BY55+BX56-CG55)))</f>
        <v>267.7815384615385</v>
      </c>
      <c r="BZ56" s="13">
        <f>BY56*VLOOKUP('Données projet'!$B$12,Paramètres!$A$1:$I$89,3,0)*VLOOKUP('Données projet'!$B$12,Paramètres!$A$1:$I$89,5,0)</f>
        <v>160.13336000000004</v>
      </c>
      <c r="CA56" s="13">
        <f t="shared" si="39"/>
        <v>40.872593668242253</v>
      </c>
      <c r="CB56" s="20">
        <f t="shared" si="10"/>
        <v>350.08536930552197</v>
      </c>
      <c r="CC56" s="59">
        <f t="shared" si="11"/>
        <v>643.41870263885528</v>
      </c>
      <c r="CD56" s="59">
        <f ca="1">AVERAGE(OFFSET($CC$3,0,0,'Données projet'!$E$12+1,1))-AVERAGE(OFFSET($H$3,0,0,'Données projet'!$E$12+1,1))</f>
        <v>179.32848817523677</v>
      </c>
      <c r="CE56" s="59">
        <f t="shared" si="40"/>
        <v>131.3292389103035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6.9657903689723089</v>
      </c>
      <c r="CM56" s="21">
        <f>EXP(-LN(2)/2)*CM55+(1-EXP(-LN(2)/2))/(LN(2)/2)*CG56*CJ56*VLOOKUP('Données projet'!$B$12,Paramètres!$A$1:$I$89,3,0)*0.475*44/12</f>
        <v>1.8170950318111682E-3</v>
      </c>
      <c r="CN56" s="22">
        <f t="shared" si="12"/>
        <v>6.9676074640041197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9.6586538461538431</v>
      </c>
      <c r="CT56" s="12">
        <f>IF('Données projet'!$A$140&gt;35,CT55+CS56-DB55,IF(A56&lt;'Données projet'!$A$140,$CQ$205^A56,IF(A56='Données projet'!$A$140,'Données projet'!$B$140,CT55+CS56-DB55)))</f>
        <v>199.69391025641011</v>
      </c>
      <c r="CU56" s="17">
        <f>CT56*VLOOKUP('Données projet'!$B$13,Paramètres!$A$1:$I$89,3,0)*VLOOKUP('Données projet'!$B$13,Paramètres!$A$1:$I$89,5,0)</f>
        <v>180.68304999999987</v>
      </c>
      <c r="CV56" s="13">
        <f t="shared" si="41"/>
        <v>45.474118692283398</v>
      </c>
      <c r="CW56" s="20">
        <f t="shared" si="13"/>
        <v>393.89040213906009</v>
      </c>
      <c r="CX56" s="59">
        <f t="shared" si="14"/>
        <v>687.2237354723934</v>
      </c>
      <c r="CY56" s="59">
        <f ca="1">AVERAGE(OFFSET($CX$3,0,0,'Données projet'!$E$13+1,1))-AVERAGE(OFFSET($H$3,0,0,'Données projet'!$E$13+1,1))</f>
        <v>309.07357540707869</v>
      </c>
      <c r="CZ56" s="59">
        <f t="shared" si="42"/>
        <v>155.9593924683299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5.7</v>
      </c>
      <c r="DO56" s="12">
        <f>IF('Données projet'!$A$166&gt;35,DO55+DN56-DW55,IF(A56&lt;'Données projet'!$A$166,$DL$205^A56,IF(A56='Données projet'!$A$166,'Données projet'!$B$166,DO55+DN56-DW55)))</f>
        <v>187.09999999999994</v>
      </c>
      <c r="DP56" s="17">
        <f>DO56*VLOOKUP('Données projet'!$B$14,Paramètres!$A$1:$I$89,3,0)*VLOOKUP('Données projet'!$B$14,Paramètres!$A$1:$I$89,5,0)</f>
        <v>163.45055999999997</v>
      </c>
      <c r="DQ56" s="13">
        <f t="shared" si="43"/>
        <v>41.619829742162572</v>
      </c>
      <c r="DR56" s="20">
        <f t="shared" si="16"/>
        <v>357.16426213426638</v>
      </c>
      <c r="DS56" s="59">
        <f t="shared" si="17"/>
        <v>650.49759546759969</v>
      </c>
      <c r="DT56" s="59">
        <f ca="1">AVERAGE(OFFSET($DS$3,0,0,'Données projet'!$E$14+1,1))-AVERAGE(OFFSET($H$3,0,0,'Données projet'!$E$14+1,1))</f>
        <v>210.07838338464626</v>
      </c>
      <c r="DU56" s="59">
        <f t="shared" si="44"/>
        <v>241.76003724236273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3.361042529549402</v>
      </c>
      <c r="EB56" s="21">
        <f>EXP(-LN(2)/25)*EB55+(1-EXP(-LN(2)/25))/(LN(2)/25)*Calculateur!DW56*Calculateur!DY56*VLOOKUP('Données projet'!$B$14,Paramètres!$A$1:$I$89,3,0)*0.475*44/12</f>
        <v>7.166533126017482</v>
      </c>
      <c r="EC56" s="21">
        <f>EXP(-LN(2)/2)*EC55+(1-EXP(-LN(2)/2))/(LN(2)/2)*DW56*DZ56*VLOOKUP('Données projet'!$B$14,Paramètres!$A$1:$I$89,3,0)*0.475*44/12</f>
        <v>5.5144055412823644E-3</v>
      </c>
      <c r="ED56" s="22">
        <f t="shared" si="18"/>
        <v>10.533090061108167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8.8000000000000007</v>
      </c>
      <c r="EJ56" s="12">
        <f>IF('Données projet'!$A$192&gt;35,EJ55+EI56-ER55,IF(A56&lt;'Données projet'!$A$192,$EG$205^A56,IF(A56='Données projet'!$A$192,'Données projet'!$B$192,EJ55+EI56-ER55)))</f>
        <v>289.4000000000002</v>
      </c>
      <c r="EK56" s="17">
        <f>EJ56*VLOOKUP('Données projet'!$B$15,Paramètres!$A$1:$I$89,3,0)*VLOOKUP('Données projet'!$B$15,Paramètres!$A$1:$I$89,5,0)</f>
        <v>180.58560000000011</v>
      </c>
      <c r="EL56" s="13">
        <f t="shared" si="45"/>
        <v>45.452446738615699</v>
      </c>
      <c r="EM56" s="20">
        <f t="shared" si="19"/>
        <v>393.68293140308919</v>
      </c>
      <c r="EN56" s="59">
        <f t="shared" si="20"/>
        <v>687.0162647364225</v>
      </c>
      <c r="EO56" s="59">
        <f ca="1">AVERAGE(OFFSET($EN$3,0,0,'Données projet'!$E$15+1,1))-AVERAGE(OFFSET($H$3,0,0,'Données projet'!$E$15+1,1))</f>
        <v>209.93608079129638</v>
      </c>
      <c r="EP56" s="59">
        <f t="shared" si="46"/>
        <v>240.15652428700969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4.4093291627811642</v>
      </c>
      <c r="EW56" s="21">
        <f>EXP(-LN(2)/25)*EW55+(1-EXP(-LN(2)/25))/(LN(2)/25)*Calculateur!ER56*Calculateur!ET56*VLOOKUP('Données projet'!$B$15,Paramètres!$A$1:$I$89,3,0)*0.475*44/12</f>
        <v>10.986597132738158</v>
      </c>
      <c r="EX56" s="21">
        <f>EXP(-LN(2)/2)*EX55+(1-EXP(-LN(2)/2))/(LN(2)/2)*ER56*EU56*VLOOKUP('Données projet'!$B$15,Paramètres!$A$1:$I$89,3,0)*0.475*44/12</f>
        <v>6.9712219533024549E-3</v>
      </c>
      <c r="EY56" s="22">
        <f t="shared" si="21"/>
        <v>15.402897517472624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5.6</v>
      </c>
      <c r="N57" s="13">
        <f>IF('Données projet'!$A$36&gt;35,N56+M57-V56,IF(A57&lt;'Données projet'!$A$36,$K$205^A57,IF(A57='Données projet'!$A$36,'Données projet'!$B$36,N56+M57-V56)))</f>
        <v>224.39999999999972</v>
      </c>
      <c r="O57" s="13">
        <f>N57*VLOOKUP('Données projet'!$B$9,Paramètres!$A$1:$I$89,3,0)*VLOOKUP('Données projet'!$B$9,Paramètres!$A$1:$I$89,5,0)</f>
        <v>178.53263999999979</v>
      </c>
      <c r="P57" s="13">
        <f t="shared" si="33"/>
        <v>44.99557024111764</v>
      </c>
      <c r="Q57" s="20">
        <f t="shared" si="53"/>
        <v>389.31163283661289</v>
      </c>
      <c r="R57" s="59">
        <f t="shared" si="0"/>
        <v>682.6449661699462</v>
      </c>
      <c r="S57" s="59">
        <f ca="1">AVERAGE(OFFSET($R$3,0,0,'Données projet'!$E$9+1,1))-AVERAGE(OFFSET($H$3,0,0,'Données projet'!$E$9+1,1))</f>
        <v>199.58763537752952</v>
      </c>
      <c r="T57" s="59">
        <f t="shared" si="34"/>
        <v>242.62852778451929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5.2860351436906372</v>
      </c>
      <c r="AB57" s="21">
        <f>EXP(-LN(2)/2)*AB56+(1-EXP(-LN(2)/2))/(LN(2)/2)*V57*Y57*VLOOKUP('Données projet'!$B$9,Paramètres!$A$1:$I$89,3,0)*0.475*44/12</f>
        <v>2.6273335920947802E-3</v>
      </c>
      <c r="AC57" s="22">
        <f t="shared" si="3"/>
        <v>5.288662477282732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15.6</v>
      </c>
      <c r="AI57" s="13">
        <f>IF('Données projet'!$A$62&gt;35,AI56+AH57-AQ56,IF(A57&lt;'Données projet'!$A$62,$AF$205^A57,IF(A57='Données projet'!$A$62,'Données projet'!$B$62,AI56+AH57-AQ56)))</f>
        <v>329.40000000000009</v>
      </c>
      <c r="AJ57" s="13">
        <f>AI57*VLOOKUP('Données projet'!$B$10,Paramètres!$A$1:$I$89,3,0)*VLOOKUP('Données projet'!$B$10,Paramètres!$A$1:$I$89,5,0)</f>
        <v>196.98120000000009</v>
      </c>
      <c r="AK57" s="13">
        <f t="shared" si="35"/>
        <v>49.080140741894176</v>
      </c>
      <c r="AL57" s="20">
        <f t="shared" si="4"/>
        <v>428.5568351254658</v>
      </c>
      <c r="AM57" s="59">
        <f t="shared" si="5"/>
        <v>721.89016845879905</v>
      </c>
      <c r="AN57" s="59">
        <f ca="1">AVERAGE(OFFSET($AM$3,0,0,'Données projet'!$E$10+1,1))-AVERAGE(OFFSET($H$3,0,0,'Données projet'!$E$10+1,1))</f>
        <v>287.78657453117694</v>
      </c>
      <c r="AO57" s="59">
        <f t="shared" si="36"/>
        <v>153.31562485362252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1.8198489319673108</v>
      </c>
      <c r="AV57" s="21">
        <f>EXP(-LN(2)/25)*AV56+(1-EXP(-LN(2)/25))/(LN(2)/25)*Calculateur!AQ57*Calculateur!AS57*VLOOKUP('Données projet'!$B$10,Paramètres!$A$1:$I$89,3,0)*0.475*44/12</f>
        <v>2.9976694937041164</v>
      </c>
      <c r="AW57" s="21">
        <f>EXP(-LN(2)/2)*AW56+(1-EXP(-LN(2)/2))/(LN(2)/2)*AQ57*AT57*VLOOKUP('Données projet'!$B$10,Paramètres!$A$1:$I$89,3,0)*0.475*44/12</f>
        <v>2.7109444795658153E-3</v>
      </c>
      <c r="AX57" s="21">
        <f t="shared" si="6"/>
        <v>4.8202293701509928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13.793846153846152</v>
      </c>
      <c r="BD57" s="12">
        <f>IF('Données projet'!$A$88&gt;35,BD56+BC57-BL56,IF(A57&lt;'Données projet'!$A$88,$BA$205^A57,IF(A57='Données projet'!$A$88,'Données projet'!$B$88,BD56+BC57-BL56)))</f>
        <v>400.61230769230775</v>
      </c>
      <c r="BE57" s="13">
        <f>BD57*VLOOKUP('Données projet'!$B$11,Paramètres!$A$1:$I$89,3,0)*VLOOKUP('Données projet'!$B$11,Paramètres!$A$1:$I$89,5,0)</f>
        <v>239.56616000000005</v>
      </c>
      <c r="BF57" s="13">
        <f t="shared" si="37"/>
        <v>58.346177865957287</v>
      </c>
      <c r="BG57" s="20">
        <f t="shared" si="7"/>
        <v>518.86398844987571</v>
      </c>
      <c r="BH57" s="59">
        <f t="shared" si="8"/>
        <v>812.19732178320896</v>
      </c>
      <c r="BI57" s="59">
        <f ca="1">AVERAGE(OFFSET($BH$3,0,0,'Données projet'!$E$11+1,1))-AVERAGE(OFFSET($H$3,0,0,'Données projet'!$E$11+1,1))</f>
        <v>250.93905519128998</v>
      </c>
      <c r="BJ57" s="59">
        <f t="shared" si="38"/>
        <v>222.32879462265032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0.7964583317421422</v>
      </c>
      <c r="BQ57" s="21">
        <f>EXP(-LN(2)/25)*BQ56+(1-EXP(-LN(2)/25))/(LN(2)/25)*Calculateur!BL57*Calculateur!BN57*VLOOKUP('Données projet'!$B$11,Paramètres!$A$1:$I$89,3,0)*0.475*44/12</f>
        <v>5.950053555959343</v>
      </c>
      <c r="BR57" s="21">
        <f>EXP(-LN(2)/2)*BR56+(1-EXP(-LN(2)/2))/(LN(2)/2)*BL57*BO57*VLOOKUP('Données projet'!$B$11,Paramètres!$A$1:$I$89,3,0)*0.475*44/12</f>
        <v>4.6078577901525195E-4</v>
      </c>
      <c r="BS57" s="22">
        <f t="shared" si="9"/>
        <v>6.7469726734805011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10.66307692307692</v>
      </c>
      <c r="BY57" s="12">
        <f>IF('Données projet'!$A$114&gt;35,BY56+BX57-CG56,IF(A57&lt;'Données projet'!$A$114,$BV$205^A57,IF(A57='Données projet'!$A$114,'Données projet'!$B$114,BY56+BX57-CG56)))</f>
        <v>278.44461538461542</v>
      </c>
      <c r="BZ57" s="13">
        <f>BY57*VLOOKUP('Données projet'!$B$12,Paramètres!$A$1:$I$89,3,0)*VLOOKUP('Données projet'!$B$12,Paramètres!$A$1:$I$89,5,0)</f>
        <v>166.50988000000001</v>
      </c>
      <c r="CA57" s="13">
        <f t="shared" si="39"/>
        <v>42.307411610776938</v>
      </c>
      <c r="CB57" s="20">
        <f t="shared" si="10"/>
        <v>363.69011622210314</v>
      </c>
      <c r="CC57" s="59">
        <f t="shared" si="11"/>
        <v>657.0234495554364</v>
      </c>
      <c r="CD57" s="59">
        <f ca="1">AVERAGE(OFFSET($CC$3,0,0,'Données projet'!$E$12+1,1))-AVERAGE(OFFSET($H$3,0,0,'Données projet'!$E$12+1,1))</f>
        <v>179.32848817523677</v>
      </c>
      <c r="CE57" s="59">
        <f t="shared" si="40"/>
        <v>131.3292389103035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6.7753104650177658</v>
      </c>
      <c r="CM57" s="21">
        <f>EXP(-LN(2)/2)*CM56+(1-EXP(-LN(2)/2))/(LN(2)/2)*CG57*CJ57*VLOOKUP('Données projet'!$B$12,Paramètres!$A$1:$I$89,3,0)*0.475*44/12</f>
        <v>1.2848802190540624E-3</v>
      </c>
      <c r="CN57" s="22">
        <f t="shared" si="12"/>
        <v>6.7765953452368199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9.6586538461538431</v>
      </c>
      <c r="CT57" s="12">
        <f>IF('Données projet'!$A$140&gt;35,CT56+CS57-DB56,IF(A57&lt;'Données projet'!$A$140,$CQ$205^A57,IF(A57='Données projet'!$A$140,'Données projet'!$B$140,CT56+CS57-DB56)))</f>
        <v>209.35256410256395</v>
      </c>
      <c r="CU57" s="17">
        <f>CT57*VLOOKUP('Données projet'!$B$13,Paramètres!$A$1:$I$89,3,0)*VLOOKUP('Données projet'!$B$13,Paramètres!$A$1:$I$89,5,0)</f>
        <v>189.42219999999983</v>
      </c>
      <c r="CV57" s="13">
        <f t="shared" si="41"/>
        <v>47.412186840122445</v>
      </c>
      <c r="CW57" s="20">
        <f t="shared" si="13"/>
        <v>412.48655707987967</v>
      </c>
      <c r="CX57" s="59">
        <f t="shared" si="14"/>
        <v>705.81989041321299</v>
      </c>
      <c r="CY57" s="59">
        <f ca="1">AVERAGE(OFFSET($CX$3,0,0,'Données projet'!$E$13+1,1))-AVERAGE(OFFSET($H$3,0,0,'Données projet'!$E$13+1,1))</f>
        <v>309.07357540707869</v>
      </c>
      <c r="CZ57" s="59">
        <f t="shared" si="42"/>
        <v>155.9593924683299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5.7</v>
      </c>
      <c r="DO57" s="12">
        <f>IF('Données projet'!$A$166&gt;35,DO56+DN57-DW56,IF(A57&lt;'Données projet'!$A$166,$DL$205^A57,IF(A57='Données projet'!$A$166,'Données projet'!$B$166,DO56+DN57-DW56)))</f>
        <v>192.79999999999993</v>
      </c>
      <c r="DP57" s="17">
        <f>DO57*VLOOKUP('Données projet'!$B$14,Paramètres!$A$1:$I$89,3,0)*VLOOKUP('Données projet'!$B$14,Paramètres!$A$1:$I$89,5,0)</f>
        <v>168.43007999999998</v>
      </c>
      <c r="DQ57" s="13">
        <f t="shared" si="43"/>
        <v>42.738224098484984</v>
      </c>
      <c r="DR57" s="20">
        <f t="shared" si="16"/>
        <v>367.78479630486135</v>
      </c>
      <c r="DS57" s="59">
        <f t="shared" si="17"/>
        <v>661.11812963819466</v>
      </c>
      <c r="DT57" s="59">
        <f ca="1">AVERAGE(OFFSET($DS$3,0,0,'Données projet'!$E$14+1,1))-AVERAGE(OFFSET($H$3,0,0,'Données projet'!$E$14+1,1))</f>
        <v>210.07838338464626</v>
      </c>
      <c r="DU57" s="59">
        <f t="shared" si="44"/>
        <v>241.76003724236273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3.2951345355784571</v>
      </c>
      <c r="EB57" s="21">
        <f>EXP(-LN(2)/25)*EB56+(1-EXP(-LN(2)/25))/(LN(2)/25)*Calculateur!DW57*Calculateur!DY57*VLOOKUP('Données projet'!$B$14,Paramètres!$A$1:$I$89,3,0)*0.475*44/12</f>
        <v>6.9705639008149358</v>
      </c>
      <c r="EC57" s="21">
        <f>EXP(-LN(2)/2)*EC56+(1-EXP(-LN(2)/2))/(LN(2)/2)*DW57*DZ57*VLOOKUP('Données projet'!$B$14,Paramètres!$A$1:$I$89,3,0)*0.475*44/12</f>
        <v>3.8992735524534341E-3</v>
      </c>
      <c r="ED57" s="22">
        <f t="shared" si="18"/>
        <v>10.269597709945847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8.8000000000000007</v>
      </c>
      <c r="EJ57" s="12">
        <f>IF('Données projet'!$A$192&gt;35,EJ56+EI57-ER56,IF(A57&lt;'Données projet'!$A$192,$EG$205^A57,IF(A57='Données projet'!$A$192,'Données projet'!$B$192,EJ56+EI57-ER56)))</f>
        <v>298.20000000000022</v>
      </c>
      <c r="EK57" s="17">
        <f>EJ57*VLOOKUP('Données projet'!$B$15,Paramètres!$A$1:$I$89,3,0)*VLOOKUP('Données projet'!$B$15,Paramètres!$A$1:$I$89,5,0)</f>
        <v>186.07680000000016</v>
      </c>
      <c r="EL57" s="13">
        <f t="shared" si="45"/>
        <v>46.671538591528716</v>
      </c>
      <c r="EM57" s="20">
        <f t="shared" si="19"/>
        <v>405.37002304691276</v>
      </c>
      <c r="EN57" s="59">
        <f t="shared" si="20"/>
        <v>698.70335638024608</v>
      </c>
      <c r="EO57" s="59">
        <f ca="1">AVERAGE(OFFSET($EN$3,0,0,'Données projet'!$E$15+1,1))-AVERAGE(OFFSET($H$3,0,0,'Données projet'!$E$15+1,1))</f>
        <v>209.93608079129638</v>
      </c>
      <c r="EP57" s="59">
        <f t="shared" si="46"/>
        <v>240.15652428700969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4.3228649073242558</v>
      </c>
      <c r="EW57" s="21">
        <f>EXP(-LN(2)/25)*EW56+(1-EXP(-LN(2)/25))/(LN(2)/25)*Calculateur!ER57*Calculateur!ET57*VLOOKUP('Données projet'!$B$15,Paramètres!$A$1:$I$89,3,0)*0.475*44/12</f>
        <v>10.6861680563834</v>
      </c>
      <c r="EX57" s="21">
        <f>EXP(-LN(2)/2)*EX56+(1-EXP(-LN(2)/2))/(LN(2)/2)*ER57*EU57*VLOOKUP('Données projet'!$B$15,Paramètres!$A$1:$I$89,3,0)*0.475*44/12</f>
        <v>4.9293983163366953E-3</v>
      </c>
      <c r="EY57" s="22">
        <f t="shared" si="21"/>
        <v>15.013962362023992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5.6</v>
      </c>
      <c r="N58" s="13">
        <f>IF('Données projet'!$A$36&gt;35,N57+M58-V57,IF(A58&lt;'Données projet'!$A$36,$K$205^A58,IF(A58='Données projet'!$A$36,'Données projet'!$B$36,N57+M58-V57)))</f>
        <v>229.99999999999972</v>
      </c>
      <c r="O58" s="13">
        <f>N58*VLOOKUP('Données projet'!$B$9,Paramètres!$A$1:$I$89,3,0)*VLOOKUP('Données projet'!$B$9,Paramètres!$A$1:$I$89,5,0)</f>
        <v>182.98799999999977</v>
      </c>
      <c r="P58" s="13">
        <f t="shared" si="33"/>
        <v>45.986322796524796</v>
      </c>
      <c r="Q58" s="20">
        <f t="shared" si="53"/>
        <v>398.79694553728024</v>
      </c>
      <c r="R58" s="59">
        <f t="shared" si="0"/>
        <v>692.13027887061355</v>
      </c>
      <c r="S58" s="59">
        <f ca="1">AVERAGE(OFFSET($R$3,0,0,'Données projet'!$E$9+1,1))-AVERAGE(OFFSET($H$3,0,0,'Données projet'!$E$9+1,1))</f>
        <v>199.58763537752952</v>
      </c>
      <c r="T58" s="59">
        <f t="shared" si="34"/>
        <v>242.62852778451929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5.1414882347059097</v>
      </c>
      <c r="AB58" s="21">
        <f>EXP(-LN(2)/2)*AB57+(1-EXP(-LN(2)/2))/(LN(2)/2)*V58*Y58*VLOOKUP('Données projet'!$B$9,Paramètres!$A$1:$I$89,3,0)*0.475*44/12</f>
        <v>1.8578053994094297E-3</v>
      </c>
      <c r="AC58" s="22">
        <f t="shared" si="3"/>
        <v>5.1433460401053193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15.6</v>
      </c>
      <c r="AI58" s="13">
        <f>IF('Données projet'!$A$62&gt;35,AI57+AH58-AQ57,IF(A58&lt;'Données projet'!$A$62,$AF$205^A58,IF(A58='Données projet'!$A$62,'Données projet'!$B$62,AI57+AH58-AQ57)))</f>
        <v>345.00000000000011</v>
      </c>
      <c r="AJ58" s="13">
        <f>AI58*VLOOKUP('Données projet'!$B$10,Paramètres!$A$1:$I$89,3,0)*VLOOKUP('Données projet'!$B$10,Paramètres!$A$1:$I$89,5,0)</f>
        <v>206.31000000000006</v>
      </c>
      <c r="AK58" s="13">
        <f t="shared" si="35"/>
        <v>51.128397788793635</v>
      </c>
      <c r="AL58" s="20">
        <f t="shared" si="4"/>
        <v>448.3718761488156</v>
      </c>
      <c r="AM58" s="59">
        <f t="shared" si="5"/>
        <v>741.70520948214892</v>
      </c>
      <c r="AN58" s="59">
        <f ca="1">AVERAGE(OFFSET($AM$3,0,0,'Données projet'!$E$10+1,1))-AVERAGE(OFFSET($H$3,0,0,'Données projet'!$E$10+1,1))</f>
        <v>287.78657453117694</v>
      </c>
      <c r="AO58" s="59">
        <f t="shared" si="36"/>
        <v>153.31562485362252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1.7841628044096771</v>
      </c>
      <c r="AV58" s="21">
        <f>EXP(-LN(2)/25)*AV57+(1-EXP(-LN(2)/25))/(LN(2)/25)*Calculateur!AQ58*Calculateur!AS58*VLOOKUP('Données projet'!$B$10,Paramètres!$A$1:$I$89,3,0)*0.475*44/12</f>
        <v>2.9156980637581897</v>
      </c>
      <c r="AW58" s="21">
        <f>EXP(-LN(2)/2)*AW57+(1-EXP(-LN(2)/2))/(LN(2)/2)*AQ58*AT58*VLOOKUP('Données projet'!$B$10,Paramètres!$A$1:$I$89,3,0)*0.475*44/12</f>
        <v>1.9169272249212241E-3</v>
      </c>
      <c r="AX58" s="21">
        <f t="shared" si="6"/>
        <v>4.701777795392788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13.793846153846152</v>
      </c>
      <c r="BD58" s="12">
        <f>IF('Données projet'!$A$88&gt;35,BD57+BC58-BL57,IF(A58&lt;'Données projet'!$A$88,$BA$205^A58,IF(A58='Données projet'!$A$88,'Données projet'!$B$88,BD57+BC58-BL57)))</f>
        <v>414.40615384615393</v>
      </c>
      <c r="BE58" s="13">
        <f>BD58*VLOOKUP('Données projet'!$B$11,Paramètres!$A$1:$I$89,3,0)*VLOOKUP('Données projet'!$B$11,Paramètres!$A$1:$I$89,5,0)</f>
        <v>247.81488000000007</v>
      </c>
      <c r="BF58" s="13">
        <f t="shared" si="37"/>
        <v>60.117791489820576</v>
      </c>
      <c r="BG58" s="20">
        <f t="shared" si="7"/>
        <v>536.3160695114376</v>
      </c>
      <c r="BH58" s="59">
        <f t="shared" si="8"/>
        <v>829.64940284477098</v>
      </c>
      <c r="BI58" s="59">
        <f ca="1">AVERAGE(OFFSET($BH$3,0,0,'Données projet'!$E$11+1,1))-AVERAGE(OFFSET($H$3,0,0,'Données projet'!$E$11+1,1))</f>
        <v>250.93905519128998</v>
      </c>
      <c r="BJ58" s="59">
        <f t="shared" si="38"/>
        <v>222.32879462265032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0.78084026964829323</v>
      </c>
      <c r="BQ58" s="21">
        <f>EXP(-LN(2)/25)*BQ57+(1-EXP(-LN(2)/25))/(LN(2)/25)*Calculateur!BL58*Calculateur!BN58*VLOOKUP('Données projet'!$B$11,Paramètres!$A$1:$I$89,3,0)*0.475*44/12</f>
        <v>5.7873490285719171</v>
      </c>
      <c r="BR58" s="21">
        <f>EXP(-LN(2)/2)*BR57+(1-EXP(-LN(2)/2))/(LN(2)/2)*BL58*BO58*VLOOKUP('Données projet'!$B$11,Paramètres!$A$1:$I$89,3,0)*0.475*44/12</f>
        <v>3.2582474901601062E-4</v>
      </c>
      <c r="BS58" s="22">
        <f t="shared" si="9"/>
        <v>6.5685151229692265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10.66307692307692</v>
      </c>
      <c r="BY58" s="12">
        <f>IF('Données projet'!$A$114&gt;35,BY57+BX58-CG57,IF(A58&lt;'Données projet'!$A$114,$BV$205^A58,IF(A58='Données projet'!$A$114,'Données projet'!$B$114,BY57+BX58-CG57)))</f>
        <v>289.10769230769233</v>
      </c>
      <c r="BZ58" s="13">
        <f>BY58*VLOOKUP('Données projet'!$B$12,Paramètres!$A$1:$I$89,3,0)*VLOOKUP('Données projet'!$B$12,Paramètres!$A$1:$I$89,5,0)</f>
        <v>172.88640000000001</v>
      </c>
      <c r="CA58" s="13">
        <f t="shared" si="39"/>
        <v>43.735846359314351</v>
      </c>
      <c r="CB58" s="20">
        <f t="shared" si="10"/>
        <v>377.28374574247255</v>
      </c>
      <c r="CC58" s="59">
        <f t="shared" si="11"/>
        <v>670.6170790758058</v>
      </c>
      <c r="CD58" s="59">
        <f ca="1">AVERAGE(OFFSET($CC$3,0,0,'Données projet'!$E$12+1,1))-AVERAGE(OFFSET($H$3,0,0,'Données projet'!$E$12+1,1))</f>
        <v>179.32848817523677</v>
      </c>
      <c r="CE58" s="59">
        <f t="shared" si="40"/>
        <v>131.3292389103035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6.590039244053763</v>
      </c>
      <c r="CM58" s="21">
        <f>EXP(-LN(2)/2)*CM57+(1-EXP(-LN(2)/2))/(LN(2)/2)*CG58*CJ58*VLOOKUP('Données projet'!$B$12,Paramètres!$A$1:$I$89,3,0)*0.475*44/12</f>
        <v>9.085475159055842E-4</v>
      </c>
      <c r="CN58" s="22">
        <f t="shared" si="12"/>
        <v>6.5909477915696684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9.6586538461538431</v>
      </c>
      <c r="CT58" s="12">
        <f>IF('Données projet'!$A$140&gt;35,CT57+CS58-DB57,IF(A58&lt;'Données projet'!$A$140,$CQ$205^A58,IF(A58='Données projet'!$A$140,'Données projet'!$B$140,CT57+CS58-DB57)))</f>
        <v>219.01121794871779</v>
      </c>
      <c r="CU58" s="17">
        <f>CT58*VLOOKUP('Données projet'!$B$13,Paramètres!$A$1:$I$89,3,0)*VLOOKUP('Données projet'!$B$13,Paramètres!$A$1:$I$89,5,0)</f>
        <v>198.16134999999983</v>
      </c>
      <c r="CV58" s="13">
        <f t="shared" si="41"/>
        <v>49.339871160864917</v>
      </c>
      <c r="CW58" s="20">
        <f t="shared" si="13"/>
        <v>431.06462685517272</v>
      </c>
      <c r="CX58" s="59">
        <f t="shared" si="14"/>
        <v>724.39796018850598</v>
      </c>
      <c r="CY58" s="59">
        <f ca="1">AVERAGE(OFFSET($CX$3,0,0,'Données projet'!$E$13+1,1))-AVERAGE(OFFSET($H$3,0,0,'Données projet'!$E$13+1,1))</f>
        <v>309.07357540707869</v>
      </c>
      <c r="CZ58" s="59">
        <f t="shared" si="42"/>
        <v>155.9593924683299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5.7</v>
      </c>
      <c r="DO58" s="12">
        <f>IF('Données projet'!$A$166&gt;35,DO57+DN58-DW57,IF(A58&lt;'Données projet'!$A$166,$DL$205^A58,IF(A58='Données projet'!$A$166,'Données projet'!$B$166,DO57+DN58-DW57)))</f>
        <v>198.49999999999991</v>
      </c>
      <c r="DP58" s="17">
        <f>DO58*VLOOKUP('Données projet'!$B$14,Paramètres!$A$1:$I$89,3,0)*VLOOKUP('Données projet'!$B$14,Paramètres!$A$1:$I$89,5,0)</f>
        <v>173.40959999999995</v>
      </c>
      <c r="DQ58" s="13">
        <f t="shared" si="43"/>
        <v>43.852775762829346</v>
      </c>
      <c r="DR58" s="20">
        <f t="shared" si="16"/>
        <v>378.39863778692774</v>
      </c>
      <c r="DS58" s="59">
        <f t="shared" si="17"/>
        <v>671.73197112026105</v>
      </c>
      <c r="DT58" s="59">
        <f ca="1">AVERAGE(OFFSET($DS$3,0,0,'Données projet'!$E$14+1,1))-AVERAGE(OFFSET($H$3,0,0,'Données projet'!$E$14+1,1))</f>
        <v>210.07838338464626</v>
      </c>
      <c r="DU58" s="59">
        <f t="shared" si="44"/>
        <v>241.76003724236273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3.2305189571693758</v>
      </c>
      <c r="EB58" s="21">
        <f>EXP(-LN(2)/25)*EB57+(1-EXP(-LN(2)/25))/(LN(2)/25)*Calculateur!DW58*Calculateur!DY58*VLOOKUP('Données projet'!$B$14,Paramètres!$A$1:$I$89,3,0)*0.475*44/12</f>
        <v>6.7799534643811272</v>
      </c>
      <c r="EC58" s="21">
        <f>EXP(-LN(2)/2)*EC57+(1-EXP(-LN(2)/2))/(LN(2)/2)*DW58*DZ58*VLOOKUP('Données projet'!$B$14,Paramètres!$A$1:$I$89,3,0)*0.475*44/12</f>
        <v>2.7572027706411826E-3</v>
      </c>
      <c r="ED58" s="22">
        <f t="shared" si="18"/>
        <v>10.013229624321145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8.8000000000000007</v>
      </c>
      <c r="EJ58" s="12">
        <f>IF('Données projet'!$A$192&gt;35,EJ57+EI58-ER57,IF(A58&lt;'Données projet'!$A$192,$EG$205^A58,IF(A58='Données projet'!$A$192,'Données projet'!$B$192,EJ57+EI58-ER57)))</f>
        <v>307.00000000000023</v>
      </c>
      <c r="EK58" s="17">
        <f>EJ58*VLOOKUP('Données projet'!$B$15,Paramètres!$A$1:$I$89,3,0)*VLOOKUP('Données projet'!$B$15,Paramètres!$A$1:$I$89,5,0)</f>
        <v>191.56800000000013</v>
      </c>
      <c r="EL58" s="13">
        <f t="shared" si="45"/>
        <v>47.886449394440142</v>
      </c>
      <c r="EM58" s="20">
        <f t="shared" si="19"/>
        <v>417.04983269531681</v>
      </c>
      <c r="EN58" s="59">
        <f t="shared" si="20"/>
        <v>710.38316602865007</v>
      </c>
      <c r="EO58" s="59">
        <f ca="1">AVERAGE(OFFSET($EN$3,0,0,'Données projet'!$E$15+1,1))-AVERAGE(OFFSET($H$3,0,0,'Données projet'!$E$15+1,1))</f>
        <v>209.93608079129638</v>
      </c>
      <c r="EP58" s="59">
        <f t="shared" si="46"/>
        <v>240.15652428700969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4.2380961631788692</v>
      </c>
      <c r="EW58" s="21">
        <f>EXP(-LN(2)/25)*EW57+(1-EXP(-LN(2)/25))/(LN(2)/25)*Calculateur!ER58*Calculateur!ET58*VLOOKUP('Données projet'!$B$15,Paramètres!$A$1:$I$89,3,0)*0.475*44/12</f>
        <v>10.393954228920441</v>
      </c>
      <c r="EX58" s="21">
        <f>EXP(-LN(2)/2)*EX57+(1-EXP(-LN(2)/2))/(LN(2)/2)*ER58*EU58*VLOOKUP('Données projet'!$B$15,Paramètres!$A$1:$I$89,3,0)*0.475*44/12</f>
        <v>3.4856109766512274E-3</v>
      </c>
      <c r="EY58" s="22">
        <f t="shared" si="21"/>
        <v>14.635536003075961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5.6</v>
      </c>
      <c r="N59" s="13">
        <f>IF('Données projet'!$A$36&gt;35,N58+M59-V58,IF(A59&lt;'Données projet'!$A$36,$K$205^A59,IF(A59='Données projet'!$A$36,'Données projet'!$B$36,N58+M59-V58)))</f>
        <v>235.59999999999971</v>
      </c>
      <c r="O59" s="13">
        <f>N59*VLOOKUP('Données projet'!$B$9,Paramètres!$A$1:$I$89,3,0)*VLOOKUP('Données projet'!$B$9,Paramètres!$A$1:$I$89,5,0)</f>
        <v>187.44335999999979</v>
      </c>
      <c r="P59" s="13">
        <f t="shared" si="33"/>
        <v>46.974271155353591</v>
      </c>
      <c r="Q59" s="20">
        <f t="shared" si="53"/>
        <v>408.27737426224047</v>
      </c>
      <c r="R59" s="59">
        <f t="shared" si="0"/>
        <v>701.61070759557379</v>
      </c>
      <c r="S59" s="59">
        <f ca="1">AVERAGE(OFFSET($R$3,0,0,'Données projet'!$E$9+1,1))-AVERAGE(OFFSET($H$3,0,0,'Données projet'!$E$9+1,1))</f>
        <v>199.58763537752952</v>
      </c>
      <c r="T59" s="59">
        <f t="shared" si="34"/>
        <v>242.62852778451929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5.0008939685487617</v>
      </c>
      <c r="AB59" s="21">
        <f>EXP(-LN(2)/2)*AB58+(1-EXP(-LN(2)/2))/(LN(2)/2)*V59*Y59*VLOOKUP('Données projet'!$B$9,Paramètres!$A$1:$I$89,3,0)*0.475*44/12</f>
        <v>1.3136667960473901E-3</v>
      </c>
      <c r="AC59" s="22">
        <f t="shared" si="3"/>
        <v>5.0022076353448091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15.6</v>
      </c>
      <c r="AI59" s="13">
        <f>IF('Données projet'!$A$62&gt;35,AI58+AH59-AQ58,IF(A59&lt;'Données projet'!$A$62,$AF$205^A59,IF(A59='Données projet'!$A$62,'Données projet'!$B$62,AI58+AH59-AQ58)))</f>
        <v>360.60000000000014</v>
      </c>
      <c r="AJ59" s="13">
        <f>AI59*VLOOKUP('Données projet'!$B$10,Paramètres!$A$1:$I$89,3,0)*VLOOKUP('Données projet'!$B$10,Paramètres!$A$1:$I$89,5,0)</f>
        <v>215.63880000000009</v>
      </c>
      <c r="AK59" s="13">
        <f t="shared" si="35"/>
        <v>53.165898686149312</v>
      </c>
      <c r="AL59" s="20">
        <f t="shared" si="4"/>
        <v>468.16818354504352</v>
      </c>
      <c r="AM59" s="59">
        <f t="shared" si="5"/>
        <v>761.50151687837683</v>
      </c>
      <c r="AN59" s="59">
        <f ca="1">AVERAGE(OFFSET($AM$3,0,0,'Données projet'!$E$10+1,1))-AVERAGE(OFFSET($H$3,0,0,'Données projet'!$E$10+1,1))</f>
        <v>287.78657453117694</v>
      </c>
      <c r="AO59" s="59">
        <f t="shared" si="36"/>
        <v>153.31562485362252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1.7491764600470601</v>
      </c>
      <c r="AV59" s="21">
        <f>EXP(-LN(2)/25)*AV58+(1-EXP(-LN(2)/25))/(LN(2)/25)*Calculateur!AQ59*Calculateur!AS59*VLOOKUP('Données projet'!$B$10,Paramètres!$A$1:$I$89,3,0)*0.475*44/12</f>
        <v>2.8359681468748246</v>
      </c>
      <c r="AW59" s="21">
        <f>EXP(-LN(2)/2)*AW58+(1-EXP(-LN(2)/2))/(LN(2)/2)*AQ59*AT59*VLOOKUP('Données projet'!$B$10,Paramètres!$A$1:$I$89,3,0)*0.475*44/12</f>
        <v>1.3554722397829079E-3</v>
      </c>
      <c r="AX59" s="21">
        <f t="shared" si="6"/>
        <v>4.5865000791616675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>
        <f>VLOOKUP(A59,'Données projet'!$A$87:$I$107,2,0)</f>
        <v>428.2</v>
      </c>
      <c r="BB59" s="12">
        <f>VLOOKUP(A59,'Données projet'!$A$87:$I$107,9,0)</f>
        <v>13.793846153846152</v>
      </c>
      <c r="BC59" s="12">
        <f t="array" ref="BC59">INDEX(BB:BB,MIN(IF(ISNUMBER(BB59:BB255),ROW(BB59:BB255),"")))</f>
        <v>13.793846153846152</v>
      </c>
      <c r="BD59" s="12">
        <f>IF('Données projet'!$A$88&gt;35,BD58+BC59-BL58,IF(A59&lt;'Données projet'!$A$88,$BA$205^A59,IF(A59='Données projet'!$A$88,'Données projet'!$B$88,BD58+BC59-BL58)))</f>
        <v>428.2000000000001</v>
      </c>
      <c r="BE59" s="13">
        <f>BD59*VLOOKUP('Données projet'!$B$11,Paramètres!$A$1:$I$89,3,0)*VLOOKUP('Données projet'!$B$11,Paramètres!$A$1:$I$89,5,0)</f>
        <v>256.06360000000012</v>
      </c>
      <c r="BF59" s="13">
        <f t="shared" si="37"/>
        <v>61.882552995500411</v>
      </c>
      <c r="BG59" s="20">
        <f t="shared" si="7"/>
        <v>553.75621646716343</v>
      </c>
      <c r="BH59" s="59">
        <f t="shared" si="8"/>
        <v>847.0895498004968</v>
      </c>
      <c r="BI59" s="59">
        <f ca="1">AVERAGE(OFFSET($BH$3,0,0,'Données projet'!$E$11+1,1))-AVERAGE(OFFSET($H$3,0,0,'Données projet'!$E$11+1,1))</f>
        <v>250.93905519128998</v>
      </c>
      <c r="BJ59" s="59">
        <f t="shared" si="38"/>
        <v>222.32879462265032</v>
      </c>
      <c r="BK59" s="15">
        <f>IF(ISNA(VLOOKUP(A59,'Données projet'!$A$87:$I$107,3,0)),0,VLOOKUP(A59,'Données projet'!$A$87:$I$107,3,0))</f>
        <v>6</v>
      </c>
      <c r="BL59" s="15">
        <f>IF(ISNA(VLOOKUP(A59,'Données projet'!$A$87:$I$107,4,0)),0,VLOOKUP(A59,'Données projet'!$A$87:$I$107,4,0))</f>
        <v>60.092307692307692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0.76552846822602738</v>
      </c>
      <c r="BQ59" s="21">
        <f>EXP(-LN(2)/25)*BQ58+(1-EXP(-LN(2)/25))/(LN(2)/25)*Calculateur!BL59*Calculateur!BN59*VLOOKUP('Données projet'!$B$11,Paramètres!$A$1:$I$89,3,0)*0.475*44/12</f>
        <v>5.6290936650421601</v>
      </c>
      <c r="BR59" s="21">
        <f>EXP(-LN(2)/2)*BR58+(1-EXP(-LN(2)/2))/(LN(2)/2)*BL59*BO59*VLOOKUP('Données projet'!$B$11,Paramètres!$A$1:$I$89,3,0)*0.475*44/12</f>
        <v>2.30392889507626E-4</v>
      </c>
      <c r="BS59" s="22">
        <f t="shared" si="9"/>
        <v>6.3948525261576954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10.66307692307692</v>
      </c>
      <c r="BY59" s="12">
        <f>IF('Données projet'!$A$114&gt;35,BY58+BX59-CG58,IF(A59&lt;'Données projet'!$A$114,$BV$205^A59,IF(A59='Données projet'!$A$114,'Données projet'!$B$114,BY58+BX59-CG58)))</f>
        <v>299.77076923076925</v>
      </c>
      <c r="BZ59" s="13">
        <f>BY59*VLOOKUP('Données projet'!$B$12,Paramètres!$A$1:$I$89,3,0)*VLOOKUP('Données projet'!$B$12,Paramètres!$A$1:$I$89,5,0)</f>
        <v>179.26292000000001</v>
      </c>
      <c r="CA59" s="13">
        <f t="shared" si="39"/>
        <v>45.158160305042841</v>
      </c>
      <c r="CB59" s="20">
        <f t="shared" si="10"/>
        <v>390.8667148646162</v>
      </c>
      <c r="CC59" s="59">
        <f t="shared" si="11"/>
        <v>684.20004819794951</v>
      </c>
      <c r="CD59" s="59">
        <f ca="1">AVERAGE(OFFSET($CC$3,0,0,'Données projet'!$E$12+1,1))-AVERAGE(OFFSET($H$3,0,0,'Données projet'!$E$12+1,1))</f>
        <v>179.32848817523677</v>
      </c>
      <c r="CE59" s="59">
        <f t="shared" si="40"/>
        <v>131.3292389103035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6.4098342743700103</v>
      </c>
      <c r="CM59" s="21">
        <f>EXP(-LN(2)/2)*CM58+(1-EXP(-LN(2)/2))/(LN(2)/2)*CG59*CJ59*VLOOKUP('Données projet'!$B$12,Paramètres!$A$1:$I$89,3,0)*0.475*44/12</f>
        <v>6.4244010952703131E-4</v>
      </c>
      <c r="CN59" s="22">
        <f t="shared" si="12"/>
        <v>6.4104767144795369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9.6586538461538431</v>
      </c>
      <c r="CT59" s="12">
        <f>IF('Données projet'!$A$140&gt;35,CT58+CS59-DB58,IF(A59&lt;'Données projet'!$A$140,$CQ$205^A59,IF(A59='Données projet'!$A$140,'Données projet'!$B$140,CT58+CS59-DB58)))</f>
        <v>228.66987179487163</v>
      </c>
      <c r="CU59" s="17">
        <f>CT59*VLOOKUP('Données projet'!$B$13,Paramètres!$A$1:$I$89,3,0)*VLOOKUP('Données projet'!$B$13,Paramètres!$A$1:$I$89,5,0)</f>
        <v>206.90049999999985</v>
      </c>
      <c r="CV59" s="13">
        <f t="shared" si="41"/>
        <v>51.257681925484725</v>
      </c>
      <c r="CW59" s="20">
        <f t="shared" si="13"/>
        <v>449.62550018688563</v>
      </c>
      <c r="CX59" s="59">
        <f t="shared" si="14"/>
        <v>742.95883352021895</v>
      </c>
      <c r="CY59" s="59">
        <f ca="1">AVERAGE(OFFSET($CX$3,0,0,'Données projet'!$E$13+1,1))-AVERAGE(OFFSET($H$3,0,0,'Données projet'!$E$13+1,1))</f>
        <v>309.07357540707869</v>
      </c>
      <c r="CZ59" s="59">
        <f t="shared" si="42"/>
        <v>155.9593924683299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5.7</v>
      </c>
      <c r="DO59" s="12">
        <f>IF('Données projet'!$A$166&gt;35,DO58+DN59-DW58,IF(A59&lt;'Données projet'!$A$166,$DL$205^A59,IF(A59='Données projet'!$A$166,'Données projet'!$B$166,DO58+DN59-DW58)))</f>
        <v>204.1999999999999</v>
      </c>
      <c r="DP59" s="17">
        <f>DO59*VLOOKUP('Données projet'!$B$14,Paramètres!$A$1:$I$89,3,0)*VLOOKUP('Données projet'!$B$14,Paramètres!$A$1:$I$89,5,0)</f>
        <v>178.38911999999993</v>
      </c>
      <c r="DQ59" s="13">
        <f t="shared" si="43"/>
        <v>44.963607752190804</v>
      </c>
      <c r="DR59" s="20">
        <f t="shared" si="16"/>
        <v>389.00600083506555</v>
      </c>
      <c r="DS59" s="59">
        <f t="shared" si="17"/>
        <v>682.33933416839886</v>
      </c>
      <c r="DT59" s="59">
        <f ca="1">AVERAGE(OFFSET($DS$3,0,0,'Données projet'!$E$14+1,1))-AVERAGE(OFFSET($H$3,0,0,'Données projet'!$E$14+1,1))</f>
        <v>210.07838338464626</v>
      </c>
      <c r="DU59" s="59">
        <f t="shared" si="44"/>
        <v>241.76003724236273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3.1671704508412852</v>
      </c>
      <c r="EB59" s="21">
        <f>EXP(-LN(2)/25)*EB58+(1-EXP(-LN(2)/25))/(LN(2)/25)*Calculateur!DW59*Calculateur!DY59*VLOOKUP('Données projet'!$B$14,Paramètres!$A$1:$I$89,3,0)*0.475*44/12</f>
        <v>6.594555280355368</v>
      </c>
      <c r="EC59" s="21">
        <f>EXP(-LN(2)/2)*EC58+(1-EXP(-LN(2)/2))/(LN(2)/2)*DW59*DZ59*VLOOKUP('Données projet'!$B$14,Paramètres!$A$1:$I$89,3,0)*0.475*44/12</f>
        <v>1.9496367762267175E-3</v>
      </c>
      <c r="ED59" s="22">
        <f t="shared" si="18"/>
        <v>9.7636753679728798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8.8000000000000007</v>
      </c>
      <c r="EJ59" s="12">
        <f>IF('Données projet'!$A$192&gt;35,EJ58+EI59-ER58,IF(A59&lt;'Données projet'!$A$192,$EG$205^A59,IF(A59='Données projet'!$A$192,'Données projet'!$B$192,EJ58+EI59-ER58)))</f>
        <v>315.80000000000024</v>
      </c>
      <c r="EK59" s="17">
        <f>EJ59*VLOOKUP('Données projet'!$B$15,Paramètres!$A$1:$I$89,3,0)*VLOOKUP('Données projet'!$B$15,Paramètres!$A$1:$I$89,5,0)</f>
        <v>197.05920000000015</v>
      </c>
      <c r="EL59" s="13">
        <f t="shared" si="45"/>
        <v>49.097312759424973</v>
      </c>
      <c r="EM59" s="20">
        <f t="shared" si="19"/>
        <v>428.72259305599874</v>
      </c>
      <c r="EN59" s="59">
        <f t="shared" si="20"/>
        <v>722.05592638933206</v>
      </c>
      <c r="EO59" s="59">
        <f ca="1">AVERAGE(OFFSET($EN$3,0,0,'Données projet'!$E$15+1,1))-AVERAGE(OFFSET($H$3,0,0,'Données projet'!$E$15+1,1))</f>
        <v>209.93608079129638</v>
      </c>
      <c r="EP59" s="59">
        <f t="shared" si="46"/>
        <v>240.15652428700969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4.1549896824023449</v>
      </c>
      <c r="EW59" s="21">
        <f>EXP(-LN(2)/25)*EW58+(1-EXP(-LN(2)/25))/(LN(2)/25)*Calculateur!ER59*Calculateur!ET59*VLOOKUP('Données projet'!$B$15,Paramètres!$A$1:$I$89,3,0)*0.475*44/12</f>
        <v>10.109731003936314</v>
      </c>
      <c r="EX59" s="21">
        <f>EXP(-LN(2)/2)*EX58+(1-EXP(-LN(2)/2))/(LN(2)/2)*ER59*EU59*VLOOKUP('Données projet'!$B$15,Paramètres!$A$1:$I$89,3,0)*0.475*44/12</f>
        <v>2.4646991581683477E-3</v>
      </c>
      <c r="EY59" s="22">
        <f t="shared" si="21"/>
        <v>14.267185385496827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5.6</v>
      </c>
      <c r="N60" s="13">
        <f>IF('Données projet'!$A$36&gt;35,N59+M60-V59,IF(A60&lt;'Données projet'!$A$36,$K$205^A60,IF(A60='Données projet'!$A$36,'Données projet'!$B$36,N59+M60-V59)))</f>
        <v>241.1999999999997</v>
      </c>
      <c r="O60" s="13">
        <f>N60*VLOOKUP('Données projet'!$B$9,Paramètres!$A$1:$I$89,3,0)*VLOOKUP('Données projet'!$B$9,Paramètres!$A$1:$I$89,5,0)</f>
        <v>191.8987199999998</v>
      </c>
      <c r="P60" s="13">
        <f t="shared" si="33"/>
        <v>47.959489640575512</v>
      </c>
      <c r="Q60" s="20">
        <f t="shared" si="53"/>
        <v>417.7530484573353</v>
      </c>
      <c r="R60" s="59">
        <f t="shared" si="0"/>
        <v>711.08638179066861</v>
      </c>
      <c r="S60" s="59">
        <f ca="1">AVERAGE(OFFSET($R$3,0,0,'Données projet'!$E$9+1,1))-AVERAGE(OFFSET($H$3,0,0,'Données projet'!$E$9+1,1))</f>
        <v>199.58763537752952</v>
      </c>
      <c r="T60" s="59">
        <f t="shared" si="34"/>
        <v>242.62852778451929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4.8641442599932114</v>
      </c>
      <c r="AB60" s="21">
        <f>EXP(-LN(2)/2)*AB59+(1-EXP(-LN(2)/2))/(LN(2)/2)*V60*Y60*VLOOKUP('Données projet'!$B$9,Paramètres!$A$1:$I$89,3,0)*0.475*44/12</f>
        <v>9.2890269970471485E-4</v>
      </c>
      <c r="AC60" s="22">
        <f t="shared" si="3"/>
        <v>4.8650731626929158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15.6</v>
      </c>
      <c r="AI60" s="13">
        <f>IF('Données projet'!$A$62&gt;35,AI59+AH60-AQ59,IF(A60&lt;'Données projet'!$A$62,$AF$205^A60,IF(A60='Données projet'!$A$62,'Données projet'!$B$62,AI59+AH60-AQ59)))</f>
        <v>376.20000000000016</v>
      </c>
      <c r="AJ60" s="13">
        <f>AI60*VLOOKUP('Données projet'!$B$10,Paramètres!$A$1:$I$89,3,0)*VLOOKUP('Données projet'!$B$10,Paramètres!$A$1:$I$89,5,0)</f>
        <v>224.96760000000012</v>
      </c>
      <c r="AK60" s="13">
        <f t="shared" si="35"/>
        <v>55.193161946335238</v>
      </c>
      <c r="AL60" s="20">
        <f t="shared" si="4"/>
        <v>487.94666038986742</v>
      </c>
      <c r="AM60" s="59">
        <f t="shared" si="5"/>
        <v>781.27999372320073</v>
      </c>
      <c r="AN60" s="59">
        <f ca="1">AVERAGE(OFFSET($AM$3,0,0,'Données projet'!$E$10+1,1))-AVERAGE(OFFSET($H$3,0,0,'Données projet'!$E$10+1,1))</f>
        <v>287.78657453117694</v>
      </c>
      <c r="AO60" s="59">
        <f t="shared" si="36"/>
        <v>153.31562485362252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1.7148761765578311</v>
      </c>
      <c r="AV60" s="21">
        <f>EXP(-LN(2)/25)*AV59+(1-EXP(-LN(2)/25))/(LN(2)/25)*Calculateur!AQ60*Calculateur!AS60*VLOOKUP('Données projet'!$B$10,Paramètres!$A$1:$I$89,3,0)*0.475*44/12</f>
        <v>2.7584184487614491</v>
      </c>
      <c r="AW60" s="21">
        <f>EXP(-LN(2)/2)*AW59+(1-EXP(-LN(2)/2))/(LN(2)/2)*AQ60*AT60*VLOOKUP('Données projet'!$B$10,Paramètres!$A$1:$I$89,3,0)*0.475*44/12</f>
        <v>9.5846361246061218E-4</v>
      </c>
      <c r="AX60" s="21">
        <f t="shared" si="6"/>
        <v>4.4742530889317402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12.054615384615385</v>
      </c>
      <c r="BD60" s="12">
        <f>IF('Données projet'!$A$88&gt;35,BD59+BC60-BL59,IF(A60&lt;'Données projet'!$A$88,$BA$205^A60,IF(A60='Données projet'!$A$88,'Données projet'!$B$88,BD59+BC60-BL59)))</f>
        <v>380.16230769230776</v>
      </c>
      <c r="BE60" s="13">
        <f>BD60*VLOOKUP('Données projet'!$B$11,Paramètres!$A$1:$I$89,3,0)*VLOOKUP('Données projet'!$B$11,Paramètres!$A$1:$I$89,5,0)</f>
        <v>227.33706000000004</v>
      </c>
      <c r="BF60" s="13">
        <f t="shared" si="37"/>
        <v>55.70650197157245</v>
      </c>
      <c r="BG60" s="20">
        <f t="shared" si="7"/>
        <v>492.9675371004887</v>
      </c>
      <c r="BH60" s="59">
        <f t="shared" si="8"/>
        <v>786.30087043382196</v>
      </c>
      <c r="BI60" s="59">
        <f ca="1">AVERAGE(OFFSET($BH$3,0,0,'Données projet'!$E$11+1,1))-AVERAGE(OFFSET($H$3,0,0,'Données projet'!$E$11+1,1))</f>
        <v>250.93905519128998</v>
      </c>
      <c r="BJ60" s="59">
        <f t="shared" si="38"/>
        <v>222.32879462265032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0.75051692189037544</v>
      </c>
      <c r="BQ60" s="21">
        <f>EXP(-LN(2)/25)*BQ59+(1-EXP(-LN(2)/25))/(LN(2)/25)*Calculateur!BL60*Calculateur!BN60*VLOOKUP('Données projet'!$B$11,Paramètres!$A$1:$I$89,3,0)*0.475*44/12</f>
        <v>5.4751658027504115</v>
      </c>
      <c r="BR60" s="21">
        <f>EXP(-LN(2)/2)*BR59+(1-EXP(-LN(2)/2))/(LN(2)/2)*BL60*BO60*VLOOKUP('Données projet'!$B$11,Paramètres!$A$1:$I$89,3,0)*0.475*44/12</f>
        <v>1.6291237450800534E-4</v>
      </c>
      <c r="BS60" s="22">
        <f t="shared" si="9"/>
        <v>6.2258456370152953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10.66307692307692</v>
      </c>
      <c r="BY60" s="12">
        <f>IF('Données projet'!$A$114&gt;35,BY59+BX60-CG59,IF(A60&lt;'Données projet'!$A$114,$BV$205^A60,IF(A60='Données projet'!$A$114,'Données projet'!$B$114,BY59+BX60-CG59)))</f>
        <v>310.43384615384616</v>
      </c>
      <c r="BZ60" s="13">
        <f>BY60*VLOOKUP('Données projet'!$B$12,Paramètres!$A$1:$I$89,3,0)*VLOOKUP('Données projet'!$B$12,Paramètres!$A$1:$I$89,5,0)</f>
        <v>185.63944000000001</v>
      </c>
      <c r="CA60" s="13">
        <f t="shared" si="39"/>
        <v>46.574596113982338</v>
      </c>
      <c r="CB60" s="20">
        <f t="shared" si="10"/>
        <v>404.43944623185251</v>
      </c>
      <c r="CC60" s="59">
        <f t="shared" si="11"/>
        <v>697.77277956518583</v>
      </c>
      <c r="CD60" s="59">
        <f ca="1">AVERAGE(OFFSET($CC$3,0,0,'Données projet'!$E$12+1,1))-AVERAGE(OFFSET($H$3,0,0,'Données projet'!$E$12+1,1))</f>
        <v>179.32848817523677</v>
      </c>
      <c r="CE60" s="59">
        <f t="shared" si="40"/>
        <v>131.3292389103035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6.234557019058828</v>
      </c>
      <c r="CM60" s="21">
        <f>EXP(-LN(2)/2)*CM59+(1-EXP(-LN(2)/2))/(LN(2)/2)*CG60*CJ60*VLOOKUP('Données projet'!$B$12,Paramètres!$A$1:$I$89,3,0)*0.475*44/12</f>
        <v>4.5427375795279216E-4</v>
      </c>
      <c r="CN60" s="22">
        <f t="shared" si="12"/>
        <v>6.2350112928167807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9.6586538461538431</v>
      </c>
      <c r="CT60" s="12">
        <f>IF('Données projet'!$A$140&gt;35,CT59+CS60-DB59,IF(A60&lt;'Données projet'!$A$140,$CQ$205^A60,IF(A60='Données projet'!$A$140,'Données projet'!$B$140,CT59+CS60-DB59)))</f>
        <v>238.32852564102546</v>
      </c>
      <c r="CU60" s="17">
        <f>CT60*VLOOKUP('Données projet'!$B$13,Paramètres!$A$1:$I$89,3,0)*VLOOKUP('Données projet'!$B$13,Paramètres!$A$1:$I$89,5,0)</f>
        <v>215.63964999999985</v>
      </c>
      <c r="CV60" s="13">
        <f t="shared" si="41"/>
        <v>53.166083860481116</v>
      </c>
      <c r="CW60" s="20">
        <f t="shared" si="13"/>
        <v>468.16998647367103</v>
      </c>
      <c r="CX60" s="59">
        <f t="shared" si="14"/>
        <v>761.50331980700435</v>
      </c>
      <c r="CY60" s="59">
        <f ca="1">AVERAGE(OFFSET($CX$3,0,0,'Données projet'!$E$13+1,1))-AVERAGE(OFFSET($H$3,0,0,'Données projet'!$E$13+1,1))</f>
        <v>309.07357540707869</v>
      </c>
      <c r="CZ60" s="59">
        <f t="shared" si="42"/>
        <v>155.9593924683299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5.7</v>
      </c>
      <c r="DO60" s="12">
        <f>IF('Données projet'!$A$166&gt;35,DO59+DN60-DW59,IF(A60&lt;'Données projet'!$A$166,$DL$205^A60,IF(A60='Données projet'!$A$166,'Données projet'!$B$166,DO59+DN60-DW59)))</f>
        <v>209.89999999999989</v>
      </c>
      <c r="DP60" s="17">
        <f>DO60*VLOOKUP('Données projet'!$B$14,Paramètres!$A$1:$I$89,3,0)*VLOOKUP('Données projet'!$B$14,Paramètres!$A$1:$I$89,5,0)</f>
        <v>183.36863999999994</v>
      </c>
      <c r="DQ60" s="13">
        <f t="shared" si="43"/>
        <v>46.07083582505949</v>
      </c>
      <c r="DR60" s="20">
        <f t="shared" si="16"/>
        <v>399.60708706197852</v>
      </c>
      <c r="DS60" s="59">
        <f t="shared" si="17"/>
        <v>692.94042039531178</v>
      </c>
      <c r="DT60" s="59">
        <f ca="1">AVERAGE(OFFSET($DS$3,0,0,'Données projet'!$E$14+1,1))-AVERAGE(OFFSET($H$3,0,0,'Données projet'!$E$14+1,1))</f>
        <v>210.07838338464626</v>
      </c>
      <c r="DU60" s="59">
        <f t="shared" si="44"/>
        <v>241.76003724236273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3.1050641700835149</v>
      </c>
      <c r="EB60" s="21">
        <f>EXP(-LN(2)/25)*EB59+(1-EXP(-LN(2)/25))/(LN(2)/25)*Calculateur!DW60*Calculateur!DY60*VLOOKUP('Données projet'!$B$14,Paramètres!$A$1:$I$89,3,0)*0.475*44/12</f>
        <v>6.4142268194214607</v>
      </c>
      <c r="EC60" s="21">
        <f>EXP(-LN(2)/2)*EC59+(1-EXP(-LN(2)/2))/(LN(2)/2)*DW60*DZ60*VLOOKUP('Données projet'!$B$14,Paramètres!$A$1:$I$89,3,0)*0.475*44/12</f>
        <v>1.3786013853205915E-3</v>
      </c>
      <c r="ED60" s="22">
        <f t="shared" si="18"/>
        <v>9.5206695908902965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8.8000000000000007</v>
      </c>
      <c r="EJ60" s="12">
        <f>IF('Données projet'!$A$192&gt;35,EJ59+EI60-ER59,IF(A60&lt;'Données projet'!$A$192,$EG$205^A60,IF(A60='Données projet'!$A$192,'Données projet'!$B$192,EJ59+EI60-ER59)))</f>
        <v>324.60000000000025</v>
      </c>
      <c r="EK60" s="17">
        <f>EJ60*VLOOKUP('Données projet'!$B$15,Paramètres!$A$1:$I$89,3,0)*VLOOKUP('Données projet'!$B$15,Paramètres!$A$1:$I$89,5,0)</f>
        <v>202.55040000000014</v>
      </c>
      <c r="EL60" s="13">
        <f t="shared" si="45"/>
        <v>50.304254428465725</v>
      </c>
      <c r="EM60" s="20">
        <f t="shared" si="19"/>
        <v>440.38852312957806</v>
      </c>
      <c r="EN60" s="59">
        <f t="shared" si="20"/>
        <v>733.72185646291132</v>
      </c>
      <c r="EO60" s="59">
        <f ca="1">AVERAGE(OFFSET($EN$3,0,0,'Données projet'!$E$15+1,1))-AVERAGE(OFFSET($H$3,0,0,'Données projet'!$E$15+1,1))</f>
        <v>209.93608079129638</v>
      </c>
      <c r="EP60" s="59">
        <f t="shared" si="46"/>
        <v>240.15652428700969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4.0735128690239009</v>
      </c>
      <c r="EW60" s="21">
        <f>EXP(-LN(2)/25)*EW59+(1-EXP(-LN(2)/25))/(LN(2)/25)*Calculateur!ER60*Calculateur!ET60*VLOOKUP('Données projet'!$B$15,Paramètres!$A$1:$I$89,3,0)*0.475*44/12</f>
        <v>9.833279877986028</v>
      </c>
      <c r="EX60" s="21">
        <f>EXP(-LN(2)/2)*EX59+(1-EXP(-LN(2)/2))/(LN(2)/2)*ER60*EU60*VLOOKUP('Données projet'!$B$15,Paramètres!$A$1:$I$89,3,0)*0.475*44/12</f>
        <v>1.7428054883256137E-3</v>
      </c>
      <c r="EY60" s="22">
        <f t="shared" si="21"/>
        <v>13.908535552498254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5.6</v>
      </c>
      <c r="N61" s="13">
        <f>IF('Données projet'!$A$36&gt;35,N60+M61-V60,IF(A61&lt;'Données projet'!$A$36,$K$205^A61,IF(A61='Données projet'!$A$36,'Données projet'!$B$36,N60+M61-V60)))</f>
        <v>246.7999999999997</v>
      </c>
      <c r="O61" s="13">
        <f>N61*VLOOKUP('Données projet'!$B$9,Paramètres!$A$1:$I$89,3,0)*VLOOKUP('Données projet'!$B$9,Paramètres!$A$1:$I$89,5,0)</f>
        <v>196.35407999999978</v>
      </c>
      <c r="P61" s="13">
        <f t="shared" si="33"/>
        <v>48.942048927099485</v>
      </c>
      <c r="Q61" s="20">
        <f t="shared" si="53"/>
        <v>427.22409121469786</v>
      </c>
      <c r="R61" s="59">
        <f t="shared" si="0"/>
        <v>720.55742454803112</v>
      </c>
      <c r="S61" s="59">
        <f ca="1">AVERAGE(OFFSET($R$3,0,0,'Données projet'!$E$9+1,1))-AVERAGE(OFFSET($H$3,0,0,'Données projet'!$E$9+1,1))</f>
        <v>199.58763537752952</v>
      </c>
      <c r="T61" s="59">
        <f t="shared" si="34"/>
        <v>242.62852778451929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4.731133979409468</v>
      </c>
      <c r="AB61" s="21">
        <f>EXP(-LN(2)/2)*AB60+(1-EXP(-LN(2)/2))/(LN(2)/2)*V61*Y61*VLOOKUP('Données projet'!$B$9,Paramètres!$A$1:$I$89,3,0)*0.475*44/12</f>
        <v>6.5683339802369506E-4</v>
      </c>
      <c r="AC61" s="22">
        <f t="shared" si="3"/>
        <v>4.7317908128074917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15.6</v>
      </c>
      <c r="AI61" s="13">
        <f>IF('Données projet'!$A$62&gt;35,AI60+AH61-AQ60,IF(A61&lt;'Données projet'!$A$62,$AF$205^A61,IF(A61='Données projet'!$A$62,'Données projet'!$B$62,AI60+AH61-AQ60)))</f>
        <v>391.80000000000018</v>
      </c>
      <c r="AJ61" s="13">
        <f>AI61*VLOOKUP('Données projet'!$B$10,Paramètres!$A$1:$I$89,3,0)*VLOOKUP('Données projet'!$B$10,Paramètres!$A$1:$I$89,5,0)</f>
        <v>234.29640000000012</v>
      </c>
      <c r="AK61" s="13">
        <f t="shared" si="35"/>
        <v>57.210660646058095</v>
      </c>
      <c r="AL61" s="20">
        <f t="shared" si="4"/>
        <v>507.70813062521802</v>
      </c>
      <c r="AM61" s="59">
        <f t="shared" si="5"/>
        <v>801.04146395855128</v>
      </c>
      <c r="AN61" s="59">
        <f ca="1">AVERAGE(OFFSET($AM$3,0,0,'Données projet'!$E$10+1,1))-AVERAGE(OFFSET($H$3,0,0,'Données projet'!$E$10+1,1))</f>
        <v>287.78657453117694</v>
      </c>
      <c r="AO61" s="59">
        <f t="shared" si="36"/>
        <v>153.31562485362252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1.6812485007067186</v>
      </c>
      <c r="AV61" s="21">
        <f>EXP(-LN(2)/25)*AV60+(1-EXP(-LN(2)/25))/(LN(2)/25)*Calculateur!AQ61*Calculateur!AS61*VLOOKUP('Données projet'!$B$10,Paramètres!$A$1:$I$89,3,0)*0.475*44/12</f>
        <v>2.6829893512211456</v>
      </c>
      <c r="AW61" s="21">
        <f>EXP(-LN(2)/2)*AW60+(1-EXP(-LN(2)/2))/(LN(2)/2)*AQ61*AT61*VLOOKUP('Données projet'!$B$10,Paramètres!$A$1:$I$89,3,0)*0.475*44/12</f>
        <v>6.7773611989145404E-4</v>
      </c>
      <c r="AX61" s="21">
        <f t="shared" si="6"/>
        <v>4.3649155880477561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12.054615384615385</v>
      </c>
      <c r="BD61" s="12">
        <f>IF('Données projet'!$A$88&gt;35,BD60+BC61-BL60,IF(A61&lt;'Données projet'!$A$88,$BA$205^A61,IF(A61='Données projet'!$A$88,'Données projet'!$B$88,BD60+BC61-BL60)))</f>
        <v>392.21692307692314</v>
      </c>
      <c r="BE61" s="13">
        <f>BD61*VLOOKUP('Données projet'!$B$11,Paramètres!$A$1:$I$89,3,0)*VLOOKUP('Données projet'!$B$11,Paramètres!$A$1:$I$89,5,0)</f>
        <v>234.54572000000007</v>
      </c>
      <c r="BF61" s="13">
        <f t="shared" si="37"/>
        <v>57.264450118616011</v>
      </c>
      <c r="BG61" s="20">
        <f t="shared" si="7"/>
        <v>508.23604628992302</v>
      </c>
      <c r="BH61" s="59">
        <f t="shared" si="8"/>
        <v>801.56937962325628</v>
      </c>
      <c r="BI61" s="59">
        <f ca="1">AVERAGE(OFFSET($BH$3,0,0,'Données projet'!$E$11+1,1))-AVERAGE(OFFSET($H$3,0,0,'Données projet'!$E$11+1,1))</f>
        <v>250.93905519128998</v>
      </c>
      <c r="BJ61" s="59">
        <f t="shared" si="38"/>
        <v>222.32879462265032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0.73579974282222649</v>
      </c>
      <c r="BQ61" s="21">
        <f>EXP(-LN(2)/25)*BQ60+(1-EXP(-LN(2)/25))/(LN(2)/25)*Calculateur!BL61*Calculateur!BN61*VLOOKUP('Données projet'!$B$11,Paramètres!$A$1:$I$89,3,0)*0.475*44/12</f>
        <v>5.3254471059477453</v>
      </c>
      <c r="BR61" s="21">
        <f>EXP(-LN(2)/2)*BR60+(1-EXP(-LN(2)/2))/(LN(2)/2)*BL61*BO61*VLOOKUP('Données projet'!$B$11,Paramètres!$A$1:$I$89,3,0)*0.475*44/12</f>
        <v>1.1519644475381301E-4</v>
      </c>
      <c r="BS61" s="22">
        <f t="shared" si="9"/>
        <v>6.0613620452147261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10.66307692307692</v>
      </c>
      <c r="BY61" s="12">
        <f>IF('Données projet'!$A$114&gt;35,BY60+BX61-CG60,IF(A61&lt;'Données projet'!$A$114,$BV$205^A61,IF(A61='Données projet'!$A$114,'Données projet'!$B$114,BY60+BX61-CG60)))</f>
        <v>321.09692307692308</v>
      </c>
      <c r="BZ61" s="13">
        <f>BY61*VLOOKUP('Données projet'!$B$12,Paramètres!$A$1:$I$89,3,0)*VLOOKUP('Données projet'!$B$12,Paramètres!$A$1:$I$89,5,0)</f>
        <v>192.01596000000001</v>
      </c>
      <c r="CA61" s="13">
        <f t="shared" si="39"/>
        <v>47.985378835949042</v>
      </c>
      <c r="CB61" s="20">
        <f t="shared" si="10"/>
        <v>418.00233180594455</v>
      </c>
      <c r="CC61" s="59">
        <f t="shared" si="11"/>
        <v>711.33566513927781</v>
      </c>
      <c r="CD61" s="59">
        <f ca="1">AVERAGE(OFFSET($CC$3,0,0,'Données projet'!$E$12+1,1))-AVERAGE(OFFSET($H$3,0,0,'Données projet'!$E$12+1,1))</f>
        <v>179.32848817523677</v>
      </c>
      <c r="CE61" s="59">
        <f t="shared" si="40"/>
        <v>131.3292389103035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6.06407272951156</v>
      </c>
      <c r="CM61" s="21">
        <f>EXP(-LN(2)/2)*CM60+(1-EXP(-LN(2)/2))/(LN(2)/2)*CG61*CJ61*VLOOKUP('Données projet'!$B$12,Paramètres!$A$1:$I$89,3,0)*0.475*44/12</f>
        <v>3.2122005476351565E-4</v>
      </c>
      <c r="CN61" s="22">
        <f t="shared" si="12"/>
        <v>6.0643939495663233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247.98717948717947</v>
      </c>
      <c r="CR61" s="12">
        <f>VLOOKUP(A61,'Données projet'!$A$139:$I$159,9,0)</f>
        <v>9.6586538461538431</v>
      </c>
      <c r="CS61" s="12">
        <f t="array" ref="CS61">INDEX(CR:CR,MIN(IF(ISNUMBER(CR61:CR257),ROW(CR61:CR257),"")))</f>
        <v>9.6586538461538431</v>
      </c>
      <c r="CT61" s="12">
        <f>IF('Données projet'!$A$140&gt;35,CT60+CS61-DB60,IF(A61&lt;'Données projet'!$A$140,$CQ$205^A61,IF(A61='Données projet'!$A$140,'Données projet'!$B$140,CT60+CS61-DB60)))</f>
        <v>247.9871794871793</v>
      </c>
      <c r="CU61" s="17">
        <f>CT61*VLOOKUP('Données projet'!$B$13,Paramètres!$A$1:$I$89,3,0)*VLOOKUP('Données projet'!$B$13,Paramètres!$A$1:$I$89,5,0)</f>
        <v>224.37879999999984</v>
      </c>
      <c r="CV61" s="13">
        <f t="shared" si="41"/>
        <v>55.065501892979434</v>
      </c>
      <c r="CW61" s="20">
        <f t="shared" si="13"/>
        <v>486.69882579693893</v>
      </c>
      <c r="CX61" s="59">
        <f t="shared" si="14"/>
        <v>780.03215913027225</v>
      </c>
      <c r="CY61" s="59">
        <f ca="1">AVERAGE(OFFSET($CX$3,0,0,'Données projet'!$E$13+1,1))-AVERAGE(OFFSET($H$3,0,0,'Données projet'!$E$13+1,1))</f>
        <v>309.07357540707869</v>
      </c>
      <c r="CZ61" s="59">
        <f t="shared" si="42"/>
        <v>155.9593924683299</v>
      </c>
      <c r="DA61" s="15">
        <f>IF(ISNA(VLOOKUP(A61,'Données projet'!$A$139:$I$159,3,0)),0,VLOOKUP(A61,'Données projet'!$A$139:$I$159,3,0))</f>
        <v>4</v>
      </c>
      <c r="DB61" s="15">
        <f>IF(ISNA(VLOOKUP(A61,'Données projet'!$A$139:$I$159,4,0)),0,VLOOKUP(A61,'Données projet'!$A$139:$I$159,4,0))</f>
        <v>47.467948717948715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5.7</v>
      </c>
      <c r="DO61" s="12">
        <f>IF('Données projet'!$A$166&gt;35,DO60+DN61-DW60,IF(A61&lt;'Données projet'!$A$166,$DL$205^A61,IF(A61='Données projet'!$A$166,'Données projet'!$B$166,DO60+DN61-DW60)))</f>
        <v>215.59999999999988</v>
      </c>
      <c r="DP61" s="17">
        <f>DO61*VLOOKUP('Données projet'!$B$14,Paramètres!$A$1:$I$89,3,0)*VLOOKUP('Données projet'!$B$14,Paramètres!$A$1:$I$89,5,0)</f>
        <v>188.34815999999992</v>
      </c>
      <c r="DQ61" s="13">
        <f t="shared" si="43"/>
        <v>47.174569095030364</v>
      </c>
      <c r="DR61" s="20">
        <f t="shared" si="16"/>
        <v>410.20208650717768</v>
      </c>
      <c r="DS61" s="59">
        <f t="shared" si="17"/>
        <v>703.53541984051094</v>
      </c>
      <c r="DT61" s="59">
        <f ca="1">AVERAGE(OFFSET($DS$3,0,0,'Données projet'!$E$14+1,1))-AVERAGE(OFFSET($H$3,0,0,'Données projet'!$E$14+1,1))</f>
        <v>210.07838338464626</v>
      </c>
      <c r="DU61" s="59">
        <f t="shared" si="44"/>
        <v>241.76003724236273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3.0441757556103135</v>
      </c>
      <c r="EB61" s="21">
        <f>EXP(-LN(2)/25)*EB60+(1-EXP(-LN(2)/25))/(LN(2)/25)*Calculateur!DW61*Calculateur!DY61*VLOOKUP('Données projet'!$B$14,Paramètres!$A$1:$I$89,3,0)*0.475*44/12</f>
        <v>6.238829449734852</v>
      </c>
      <c r="EC61" s="21">
        <f>EXP(-LN(2)/2)*EC60+(1-EXP(-LN(2)/2))/(LN(2)/2)*DW61*DZ61*VLOOKUP('Données projet'!$B$14,Paramètres!$A$1:$I$89,3,0)*0.475*44/12</f>
        <v>9.7481838811335885E-4</v>
      </c>
      <c r="ED61" s="22">
        <f t="shared" si="18"/>
        <v>9.2839800237332799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8.8000000000000007</v>
      </c>
      <c r="EJ61" s="12">
        <f>IF('Données projet'!$A$192&gt;35,EJ60+EI61-ER60,IF(A61&lt;'Données projet'!$A$192,$EG$205^A61,IF(A61='Données projet'!$A$192,'Données projet'!$B$192,EJ60+EI61-ER60)))</f>
        <v>333.40000000000026</v>
      </c>
      <c r="EK61" s="17">
        <f>EJ61*VLOOKUP('Données projet'!$B$15,Paramètres!$A$1:$I$89,3,0)*VLOOKUP('Données projet'!$B$15,Paramètres!$A$1:$I$89,5,0)</f>
        <v>208.04160000000016</v>
      </c>
      <c r="EL61" s="13">
        <f t="shared" si="45"/>
        <v>51.507392937650074</v>
      </c>
      <c r="EM61" s="20">
        <f t="shared" si="19"/>
        <v>452.04782936640748</v>
      </c>
      <c r="EN61" s="59">
        <f t="shared" si="20"/>
        <v>745.3811626997408</v>
      </c>
      <c r="EO61" s="59">
        <f ca="1">AVERAGE(OFFSET($EN$3,0,0,'Données projet'!$E$15+1,1))-AVERAGE(OFFSET($H$3,0,0,'Données projet'!$E$15+1,1))</f>
        <v>209.93608079129638</v>
      </c>
      <c r="EP61" s="59">
        <f t="shared" si="46"/>
        <v>240.15652428700969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3.9936337662598587</v>
      </c>
      <c r="EW61" s="21">
        <f>EXP(-LN(2)/25)*EW60+(1-EXP(-LN(2)/25))/(LN(2)/25)*Calculateur!ER61*Calculateur!ET61*VLOOKUP('Données projet'!$B$15,Paramètres!$A$1:$I$89,3,0)*0.475*44/12</f>
        <v>9.5643883226127855</v>
      </c>
      <c r="EX61" s="21">
        <f>EXP(-LN(2)/2)*EX60+(1-EXP(-LN(2)/2))/(LN(2)/2)*ER61*EU61*VLOOKUP('Données projet'!$B$15,Paramètres!$A$1:$I$89,3,0)*0.475*44/12</f>
        <v>1.2323495790841738E-3</v>
      </c>
      <c r="EY61" s="22">
        <f t="shared" si="21"/>
        <v>13.559254438451728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5.6</v>
      </c>
      <c r="N62" s="13">
        <f>IF('Données projet'!$A$36&gt;35,N61+M62-V61,IF(A62&lt;'Données projet'!$A$36,$K$205^A62,IF(A62='Données projet'!$A$36,'Données projet'!$B$36,N61+M62-V61)))</f>
        <v>252.39999999999969</v>
      </c>
      <c r="O62" s="13">
        <f>N62*VLOOKUP('Données projet'!$B$9,Paramètres!$A$1:$I$89,3,0)*VLOOKUP('Données projet'!$B$9,Paramètres!$A$1:$I$89,5,0)</f>
        <v>200.80943999999977</v>
      </c>
      <c r="P62" s="13">
        <f t="shared" si="33"/>
        <v>49.922016299484262</v>
      </c>
      <c r="Q62" s="20">
        <f t="shared" si="53"/>
        <v>436.69061972160131</v>
      </c>
      <c r="R62" s="59">
        <f t="shared" si="0"/>
        <v>730.02395305493462</v>
      </c>
      <c r="S62" s="59">
        <f ca="1">AVERAGE(OFFSET($R$3,0,0,'Données projet'!$E$9+1,1))-AVERAGE(OFFSET($H$3,0,0,'Données projet'!$E$9+1,1))</f>
        <v>199.58763537752952</v>
      </c>
      <c r="T62" s="59">
        <f t="shared" si="34"/>
        <v>242.62852778451929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4.601760871942993</v>
      </c>
      <c r="AB62" s="21">
        <f>EXP(-LN(2)/2)*AB61+(1-EXP(-LN(2)/2))/(LN(2)/2)*V62*Y62*VLOOKUP('Données projet'!$B$9,Paramètres!$A$1:$I$89,3,0)*0.475*44/12</f>
        <v>4.6445134985235743E-4</v>
      </c>
      <c r="AC62" s="22">
        <f t="shared" si="3"/>
        <v>4.6022253232928456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15.6</v>
      </c>
      <c r="AI62" s="13">
        <f>IF('Données projet'!$A$62&gt;35,AI61+AH62-AQ61,IF(A62&lt;'Données projet'!$A$62,$AF$205^A62,IF(A62='Données projet'!$A$62,'Données projet'!$B$62,AI61+AH62-AQ61)))</f>
        <v>407.4000000000002</v>
      </c>
      <c r="AJ62" s="13">
        <f>AI62*VLOOKUP('Données projet'!$B$10,Paramètres!$A$1:$I$89,3,0)*VLOOKUP('Données projet'!$B$10,Paramètres!$A$1:$I$89,5,0)</f>
        <v>243.62520000000015</v>
      </c>
      <c r="AK62" s="13">
        <f t="shared" si="35"/>
        <v>59.218828057268666</v>
      </c>
      <c r="AL62" s="20">
        <f t="shared" si="4"/>
        <v>527.45334886640978</v>
      </c>
      <c r="AM62" s="59">
        <f t="shared" si="5"/>
        <v>820.78668219974315</v>
      </c>
      <c r="AN62" s="59">
        <f ca="1">AVERAGE(OFFSET($AM$3,0,0,'Données projet'!$E$10+1,1))-AVERAGE(OFFSET($H$3,0,0,'Données projet'!$E$10+1,1))</f>
        <v>287.78657453117694</v>
      </c>
      <c r="AO62" s="59">
        <f t="shared" si="36"/>
        <v>153.31562485362252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1.6482802430681895</v>
      </c>
      <c r="AV62" s="21">
        <f>EXP(-LN(2)/25)*AV61+(1-EXP(-LN(2)/25))/(LN(2)/25)*Calculateur!AQ62*Calculateur!AS62*VLOOKUP('Données projet'!$B$10,Paramètres!$A$1:$I$89,3,0)*0.475*44/12</f>
        <v>2.6096228663197256</v>
      </c>
      <c r="AW62" s="21">
        <f>EXP(-LN(2)/2)*AW61+(1-EXP(-LN(2)/2))/(LN(2)/2)*AQ62*AT62*VLOOKUP('Données projet'!$B$10,Paramètres!$A$1:$I$89,3,0)*0.475*44/12</f>
        <v>4.7923180623030614E-4</v>
      </c>
      <c r="AX62" s="21">
        <f t="shared" si="6"/>
        <v>4.2583823411941459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12.054615384615385</v>
      </c>
      <c r="BD62" s="12">
        <f>IF('Données projet'!$A$88&gt;35,BD61+BC62-BL61,IF(A62&lt;'Données projet'!$A$88,$BA$205^A62,IF(A62='Données projet'!$A$88,'Données projet'!$B$88,BD61+BC62-BL61)))</f>
        <v>404.27153846153851</v>
      </c>
      <c r="BE62" s="13">
        <f>BD62*VLOOKUP('Données projet'!$B$11,Paramètres!$A$1:$I$89,3,0)*VLOOKUP('Données projet'!$B$11,Paramètres!$A$1:$I$89,5,0)</f>
        <v>241.75438000000005</v>
      </c>
      <c r="BF62" s="13">
        <f t="shared" si="37"/>
        <v>58.816833733689712</v>
      </c>
      <c r="BG62" s="20">
        <f t="shared" si="7"/>
        <v>523.49486391950961</v>
      </c>
      <c r="BH62" s="59">
        <f t="shared" si="8"/>
        <v>816.82819725284298</v>
      </c>
      <c r="BI62" s="59">
        <f ca="1">AVERAGE(OFFSET($BH$3,0,0,'Données projet'!$E$11+1,1))-AVERAGE(OFFSET($H$3,0,0,'Données projet'!$E$11+1,1))</f>
        <v>250.93905519128998</v>
      </c>
      <c r="BJ62" s="59">
        <f t="shared" si="38"/>
        <v>222.32879462265032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0.72137115865901102</v>
      </c>
      <c r="BQ62" s="21">
        <f>EXP(-LN(2)/25)*BQ61+(1-EXP(-LN(2)/25))/(LN(2)/25)*Calculateur!BL62*Calculateur!BN62*VLOOKUP('Données projet'!$B$11,Paramètres!$A$1:$I$89,3,0)*0.475*44/12</f>
        <v>5.1798224747825126</v>
      </c>
      <c r="BR62" s="21">
        <f>EXP(-LN(2)/2)*BR61+(1-EXP(-LN(2)/2))/(LN(2)/2)*BL62*BO62*VLOOKUP('Données projet'!$B$11,Paramètres!$A$1:$I$89,3,0)*0.475*44/12</f>
        <v>8.1456187254002669E-5</v>
      </c>
      <c r="BS62" s="22">
        <f t="shared" si="9"/>
        <v>5.9012750896287773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10.66307692307692</v>
      </c>
      <c r="BY62" s="12">
        <f>IF('Données projet'!$A$114&gt;35,BY61+BX62-CG61,IF(A62&lt;'Données projet'!$A$114,$BV$205^A62,IF(A62='Données projet'!$A$114,'Données projet'!$B$114,BY61+BX62-CG61)))</f>
        <v>331.76</v>
      </c>
      <c r="BZ62" s="13">
        <f>BY62*VLOOKUP('Données projet'!$B$12,Paramètres!$A$1:$I$89,3,0)*VLOOKUP('Données projet'!$B$12,Paramètres!$A$1:$I$89,5,0)</f>
        <v>198.39248000000001</v>
      </c>
      <c r="CA62" s="13">
        <f t="shared" si="39"/>
        <v>49.39071772551025</v>
      </c>
      <c r="CB62" s="20">
        <f t="shared" si="10"/>
        <v>431.55573603859699</v>
      </c>
      <c r="CC62" s="59">
        <f t="shared" si="11"/>
        <v>724.8890693719303</v>
      </c>
      <c r="CD62" s="59">
        <f ca="1">AVERAGE(OFFSET($CC$3,0,0,'Données projet'!$E$12+1,1))-AVERAGE(OFFSET($H$3,0,0,'Données projet'!$E$12+1,1))</f>
        <v>179.32848817523677</v>
      </c>
      <c r="CE62" s="59">
        <f t="shared" si="40"/>
        <v>131.3292389103035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5.8982503418273415</v>
      </c>
      <c r="CM62" s="21">
        <f>EXP(-LN(2)/2)*CM61+(1-EXP(-LN(2)/2))/(LN(2)/2)*CG62*CJ62*VLOOKUP('Données projet'!$B$12,Paramètres!$A$1:$I$89,3,0)*0.475*44/12</f>
        <v>2.2713687897639608E-4</v>
      </c>
      <c r="CN62" s="22">
        <f t="shared" si="12"/>
        <v>5.8984774787063179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9.2219551282051242</v>
      </c>
      <c r="CT62" s="12">
        <f>IF('Données projet'!$A$140&gt;35,CT61+CS62-DB61,IF(A62&lt;'Données projet'!$A$140,$CQ$205^A62,IF(A62='Données projet'!$A$140,'Données projet'!$B$140,CT61+CS62-DB61)))</f>
        <v>209.74118589743568</v>
      </c>
      <c r="CU62" s="17">
        <f>CT62*VLOOKUP('Données projet'!$B$13,Paramètres!$A$1:$I$89,3,0)*VLOOKUP('Données projet'!$B$13,Paramètres!$A$1:$I$89,5,0)</f>
        <v>189.77382499999979</v>
      </c>
      <c r="CV62" s="13">
        <f t="shared" si="41"/>
        <v>47.489945304141962</v>
      </c>
      <c r="CW62" s="20">
        <f t="shared" si="13"/>
        <v>413.23439994638017</v>
      </c>
      <c r="CX62" s="59">
        <f t="shared" si="14"/>
        <v>706.56773327971348</v>
      </c>
      <c r="CY62" s="59">
        <f ca="1">AVERAGE(OFFSET($CX$3,0,0,'Données projet'!$E$13+1,1))-AVERAGE(OFFSET($H$3,0,0,'Données projet'!$E$13+1,1))</f>
        <v>309.07357540707869</v>
      </c>
      <c r="CZ62" s="59">
        <f t="shared" si="42"/>
        <v>155.9593924683299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5.7</v>
      </c>
      <c r="DO62" s="12">
        <f>IF('Données projet'!$A$166&gt;35,DO61+DN62-DW61,IF(A62&lt;'Données projet'!$A$166,$DL$205^A62,IF(A62='Données projet'!$A$166,'Données projet'!$B$166,DO61+DN62-DW61)))</f>
        <v>221.29999999999987</v>
      </c>
      <c r="DP62" s="17">
        <f>DO62*VLOOKUP('Données projet'!$B$14,Paramètres!$A$1:$I$89,3,0)*VLOOKUP('Données projet'!$B$14,Paramètres!$A$1:$I$89,5,0)</f>
        <v>193.3276799999999</v>
      </c>
      <c r="DQ62" s="13">
        <f t="shared" si="43"/>
        <v>48.274910577698478</v>
      </c>
      <c r="DR62" s="20">
        <f t="shared" si="16"/>
        <v>420.79117858949138</v>
      </c>
      <c r="DS62" s="59">
        <f t="shared" si="17"/>
        <v>714.12451192282469</v>
      </c>
      <c r="DT62" s="59">
        <f ca="1">AVERAGE(OFFSET($DS$3,0,0,'Données projet'!$E$14+1,1))-AVERAGE(OFFSET($H$3,0,0,'Données projet'!$E$14+1,1))</f>
        <v>210.07838338464626</v>
      </c>
      <c r="DU62" s="59">
        <f t="shared" si="44"/>
        <v>241.76003724236273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2.9844813258066658</v>
      </c>
      <c r="EB62" s="21">
        <f>EXP(-LN(2)/25)*EB61+(1-EXP(-LN(2)/25))/(LN(2)/25)*Calculateur!DW62*Calculateur!DY62*VLOOKUP('Données projet'!$B$14,Paramètres!$A$1:$I$89,3,0)*0.475*44/12</f>
        <v>6.0682283303460709</v>
      </c>
      <c r="EC62" s="21">
        <f>EXP(-LN(2)/2)*EC61+(1-EXP(-LN(2)/2))/(LN(2)/2)*DW62*DZ62*VLOOKUP('Données projet'!$B$14,Paramètres!$A$1:$I$89,3,0)*0.475*44/12</f>
        <v>6.8930069266029588E-4</v>
      </c>
      <c r="ED62" s="22">
        <f t="shared" si="18"/>
        <v>9.0533989568453954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8.8000000000000007</v>
      </c>
      <c r="EJ62" s="12">
        <f>IF('Données projet'!$A$192&gt;35,EJ61+EI62-ER61,IF(A62&lt;'Données projet'!$A$192,$EG$205^A62,IF(A62='Données projet'!$A$192,'Données projet'!$B$192,EJ61+EI62-ER61)))</f>
        <v>342.20000000000027</v>
      </c>
      <c r="EK62" s="17">
        <f>EJ62*VLOOKUP('Données projet'!$B$15,Paramètres!$A$1:$I$89,3,0)*VLOOKUP('Données projet'!$B$15,Paramètres!$A$1:$I$89,5,0)</f>
        <v>213.53280000000015</v>
      </c>
      <c r="EL62" s="13">
        <f t="shared" si="45"/>
        <v>52.706840209271277</v>
      </c>
      <c r="EM62" s="20">
        <f t="shared" si="19"/>
        <v>463.70070669781438</v>
      </c>
      <c r="EN62" s="59">
        <f t="shared" si="20"/>
        <v>757.0340400311477</v>
      </c>
      <c r="EO62" s="59">
        <f ca="1">AVERAGE(OFFSET($EN$3,0,0,'Données projet'!$E$15+1,1))-AVERAGE(OFFSET($H$3,0,0,'Données projet'!$E$15+1,1))</f>
        <v>209.93608079129638</v>
      </c>
      <c r="EP62" s="59">
        <f t="shared" si="46"/>
        <v>240.15652428700969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3.9153210439795774</v>
      </c>
      <c r="EW62" s="21">
        <f>EXP(-LN(2)/25)*EW61+(1-EXP(-LN(2)/25))/(LN(2)/25)*Calculateur!ER62*Calculateur!ET62*VLOOKUP('Données projet'!$B$15,Paramètres!$A$1:$I$89,3,0)*0.475*44/12</f>
        <v>9.3028496209616165</v>
      </c>
      <c r="EX62" s="21">
        <f>EXP(-LN(2)/2)*EX61+(1-EXP(-LN(2)/2))/(LN(2)/2)*ER62*EU62*VLOOKUP('Données projet'!$B$15,Paramètres!$A$1:$I$89,3,0)*0.475*44/12</f>
        <v>8.7140274416280686E-4</v>
      </c>
      <c r="EY62" s="22">
        <f t="shared" si="21"/>
        <v>13.219042067685358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258</v>
      </c>
      <c r="L63" s="12">
        <f>VLOOKUP(A63,'Données projet'!$A$35:$I$55,9,0)</f>
        <v>5.6</v>
      </c>
      <c r="M63" s="12">
        <f t="array" ref="M63">INDEX(L:L,MIN(IF(ISNUMBER(L63:L259),ROW(L63:L259),"")))</f>
        <v>5.6</v>
      </c>
      <c r="N63" s="13">
        <f>IF('Données projet'!$A$36&gt;35,N62+M63-V62,IF(A63&lt;'Données projet'!$A$36,$K$205^A63,IF(A63='Données projet'!$A$36,'Données projet'!$B$36,N62+M63-V62)))</f>
        <v>257.99999999999972</v>
      </c>
      <c r="O63" s="13">
        <f>N63*VLOOKUP('Données projet'!$B$9,Paramètres!$A$1:$I$89,3,0)*VLOOKUP('Données projet'!$B$9,Paramètres!$A$1:$I$89,5,0)</f>
        <v>205.26479999999981</v>
      </c>
      <c r="P63" s="13">
        <f t="shared" si="33"/>
        <v>50.899455886133694</v>
      </c>
      <c r="Q63" s="20">
        <f t="shared" si="53"/>
        <v>446.15274566834916</v>
      </c>
      <c r="R63" s="59">
        <f t="shared" si="0"/>
        <v>739.48607900168247</v>
      </c>
      <c r="S63" s="59">
        <f ca="1">AVERAGE(OFFSET($R$3,0,0,'Données projet'!$E$9+1,1))-AVERAGE(OFFSET($H$3,0,0,'Données projet'!$E$9+1,1))</f>
        <v>199.58763537752952</v>
      </c>
      <c r="T63" s="59">
        <f t="shared" si="34"/>
        <v>242.62852778451929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25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4.4759254789036254</v>
      </c>
      <c r="AB63" s="21">
        <f>EXP(-LN(2)/2)*AB62+(1-EXP(-LN(2)/2))/(LN(2)/2)*V63*Y63*VLOOKUP('Données projet'!$B$9,Paramètres!$A$1:$I$89,3,0)*0.475*44/12</f>
        <v>3.2841669901184753E-4</v>
      </c>
      <c r="AC63" s="22">
        <f t="shared" si="3"/>
        <v>4.4762538956026372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423</v>
      </c>
      <c r="AG63" s="12">
        <f>VLOOKUP(A63,'Données projet'!$A$61:$I$81,9,0)</f>
        <v>15.6</v>
      </c>
      <c r="AH63" s="12">
        <f t="array" ref="AH63">INDEX(AG:AG,MIN(IF(ISNUMBER(AG63:AG259),ROW(AG63:AG259),"")))</f>
        <v>15.6</v>
      </c>
      <c r="AI63" s="13">
        <f>IF('Données projet'!$A$62&gt;35,AI62+AH63-AQ62,IF(A63&lt;'Données projet'!$A$62,$AF$205^A63,IF(A63='Données projet'!$A$62,'Données projet'!$B$62,AI62+AH63-AQ62)))</f>
        <v>423.00000000000023</v>
      </c>
      <c r="AJ63" s="13">
        <f>AI63*VLOOKUP('Données projet'!$B$10,Paramètres!$A$1:$I$89,3,0)*VLOOKUP('Données projet'!$B$10,Paramètres!$A$1:$I$89,5,0)</f>
        <v>252.95400000000018</v>
      </c>
      <c r="AK63" s="13">
        <f t="shared" si="35"/>
        <v>61.218062391350081</v>
      </c>
      <c r="AL63" s="20">
        <f t="shared" si="4"/>
        <v>547.18300866493507</v>
      </c>
      <c r="AM63" s="59">
        <f t="shared" si="5"/>
        <v>840.51634199826844</v>
      </c>
      <c r="AN63" s="59">
        <f ca="1">AVERAGE(OFFSET($AM$3,0,0,'Données projet'!$E$10+1,1))-AVERAGE(OFFSET($H$3,0,0,'Données projet'!$E$10+1,1))</f>
        <v>287.78657453117694</v>
      </c>
      <c r="AO63" s="59">
        <f t="shared" si="36"/>
        <v>153.31562485362252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84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1.6159584728533003</v>
      </c>
      <c r="AV63" s="21">
        <f>EXP(-LN(2)/25)*AV62+(1-EXP(-LN(2)/25))/(LN(2)/25)*Calculateur!AQ63*Calculateur!AS63*VLOOKUP('Données projet'!$B$10,Paramètres!$A$1:$I$89,3,0)*0.475*44/12</f>
        <v>2.5382625918061104</v>
      </c>
      <c r="AW63" s="21">
        <f>EXP(-LN(2)/2)*AW62+(1-EXP(-LN(2)/2))/(LN(2)/2)*AQ63*AT63*VLOOKUP('Données projet'!$B$10,Paramètres!$A$1:$I$89,3,0)*0.475*44/12</f>
        <v>3.3886805994572707E-4</v>
      </c>
      <c r="AX63" s="21">
        <f t="shared" si="6"/>
        <v>4.1545599327193568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12.054615384615385</v>
      </c>
      <c r="BD63" s="12">
        <f>IF('Données projet'!$A$88&gt;35,BD62+BC63-BL62,IF(A63&lt;'Données projet'!$A$88,$BA$205^A63,IF(A63='Données projet'!$A$88,'Données projet'!$B$88,BD62+BC63-BL62)))</f>
        <v>416.32615384615389</v>
      </c>
      <c r="BE63" s="13">
        <f>BD63*VLOOKUP('Données projet'!$B$11,Paramètres!$A$1:$I$89,3,0)*VLOOKUP('Données projet'!$B$11,Paramètres!$A$1:$I$89,5,0)</f>
        <v>248.96304000000006</v>
      </c>
      <c r="BF63" s="13">
        <f t="shared" si="37"/>
        <v>60.363837788674616</v>
      </c>
      <c r="BG63" s="20">
        <f t="shared" si="7"/>
        <v>538.7443121486084</v>
      </c>
      <c r="BH63" s="59">
        <f t="shared" si="8"/>
        <v>832.07764548194177</v>
      </c>
      <c r="BI63" s="59">
        <f ca="1">AVERAGE(OFFSET($BH$3,0,0,'Données projet'!$E$11+1,1))-AVERAGE(OFFSET($H$3,0,0,'Données projet'!$E$11+1,1))</f>
        <v>250.93905519128998</v>
      </c>
      <c r="BJ63" s="59">
        <f t="shared" si="38"/>
        <v>222.32879462265032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0.70722551023066893</v>
      </c>
      <c r="BQ63" s="21">
        <f>EXP(-LN(2)/25)*BQ62+(1-EXP(-LN(2)/25))/(LN(2)/25)*Calculateur!BL63*Calculateur!BN63*VLOOKUP('Données projet'!$B$11,Paramètres!$A$1:$I$89,3,0)*0.475*44/12</f>
        <v>5.0381799568145595</v>
      </c>
      <c r="BR63" s="21">
        <f>EXP(-LN(2)/2)*BR62+(1-EXP(-LN(2)/2))/(LN(2)/2)*BL63*BO63*VLOOKUP('Données projet'!$B$11,Paramètres!$A$1:$I$89,3,0)*0.475*44/12</f>
        <v>5.7598222376906507E-5</v>
      </c>
      <c r="BS63" s="22">
        <f t="shared" si="9"/>
        <v>5.7454630652676046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342.42307692307691</v>
      </c>
      <c r="BW63" s="12">
        <f>VLOOKUP(A63,'Données projet'!$A$113:$I$133,9,0)</f>
        <v>10.66307692307692</v>
      </c>
      <c r="BX63" s="12">
        <f t="array" ref="BX63">INDEX(BW:BW,MIN(IF(ISNUMBER(BW63:BW259),ROW(BW63:BW259),"")))</f>
        <v>10.66307692307692</v>
      </c>
      <c r="BY63" s="12">
        <f>IF('Données projet'!$A$114&gt;35,BY62+BX63-CG62,IF(A63&lt;'Données projet'!$A$114,$BV$205^A63,IF(A63='Données projet'!$A$114,'Données projet'!$B$114,BY62+BX63-CG62)))</f>
        <v>342.42307692307691</v>
      </c>
      <c r="BZ63" s="13">
        <f>BY63*VLOOKUP('Données projet'!$B$12,Paramètres!$A$1:$I$89,3,0)*VLOOKUP('Données projet'!$B$12,Paramètres!$A$1:$I$89,5,0)</f>
        <v>204.76900000000001</v>
      </c>
      <c r="CA63" s="13">
        <f t="shared" si="39"/>
        <v>50.790807822254017</v>
      </c>
      <c r="CB63" s="20">
        <f t="shared" si="10"/>
        <v>445.09999862375906</v>
      </c>
      <c r="CC63" s="59">
        <f t="shared" si="11"/>
        <v>738.43333195709238</v>
      </c>
      <c r="CD63" s="59">
        <f ca="1">AVERAGE(OFFSET($CC$3,0,0,'Données projet'!$E$12+1,1))-AVERAGE(OFFSET($H$3,0,0,'Données projet'!$E$12+1,1))</f>
        <v>179.32848817523677</v>
      </c>
      <c r="CE63" s="59">
        <f t="shared" si="40"/>
        <v>131.3292389103035</v>
      </c>
      <c r="CF63" s="15">
        <f>IF(ISNA(VLOOKUP(A63,'Données projet'!$A$113:$I$133,3,0)),0,VLOOKUP(A63,'Données projet'!$A$113:$I$133,3,0))</f>
        <v>6</v>
      </c>
      <c r="CG63" s="15">
        <f>IF(ISNA(VLOOKUP(A63,'Données projet'!$A$113:$I$133,4,0)),0,VLOOKUP(A63,'Données projet'!$A$113:$I$133,4,0))</f>
        <v>54.261538461538464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5.736962376054568</v>
      </c>
      <c r="CM63" s="21">
        <f>EXP(-LN(2)/2)*CM62+(1-EXP(-LN(2)/2))/(LN(2)/2)*CG63*CJ63*VLOOKUP('Données projet'!$B$12,Paramètres!$A$1:$I$89,3,0)*0.475*44/12</f>
        <v>1.6061002738175783E-4</v>
      </c>
      <c r="CN63" s="22">
        <f t="shared" si="12"/>
        <v>5.7371229860819497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9.2219551282051242</v>
      </c>
      <c r="CT63" s="12">
        <f>IF('Données projet'!$A$140&gt;35,CT62+CS63-DB62,IF(A63&lt;'Données projet'!$A$140,$CQ$205^A63,IF(A63='Données projet'!$A$140,'Données projet'!$B$140,CT62+CS63-DB62)))</f>
        <v>218.96314102564082</v>
      </c>
      <c r="CU63" s="17">
        <f>CT63*VLOOKUP('Données projet'!$B$13,Paramètres!$A$1:$I$89,3,0)*VLOOKUP('Données projet'!$B$13,Paramètres!$A$1:$I$89,5,0)</f>
        <v>198.11784999999981</v>
      </c>
      <c r="CV63" s="13">
        <f t="shared" si="41"/>
        <v>49.330300772275599</v>
      </c>
      <c r="CW63" s="20">
        <f t="shared" si="13"/>
        <v>430.97219592837968</v>
      </c>
      <c r="CX63" s="59">
        <f t="shared" si="14"/>
        <v>724.30552926171299</v>
      </c>
      <c r="CY63" s="59">
        <f ca="1">AVERAGE(OFFSET($CX$3,0,0,'Données projet'!$E$13+1,1))-AVERAGE(OFFSET($H$3,0,0,'Données projet'!$E$13+1,1))</f>
        <v>309.07357540707869</v>
      </c>
      <c r="CZ63" s="59">
        <f t="shared" si="42"/>
        <v>155.9593924683299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227</v>
      </c>
      <c r="DM63" s="12">
        <f>VLOOKUP(A63,'Données projet'!$A$165:$I$185,9,0)</f>
        <v>5.7</v>
      </c>
      <c r="DN63" s="12">
        <f t="array" ref="DN63">INDEX(DM:DM,MIN(IF(ISNUMBER(DM63:DM259),ROW(DM63:DM259),"")))</f>
        <v>5.7</v>
      </c>
      <c r="DO63" s="12">
        <f>IF('Données projet'!$A$166&gt;35,DO62+DN63-DW62,IF(A63&lt;'Données projet'!$A$166,$DL$205^A63,IF(A63='Données projet'!$A$166,'Données projet'!$B$166,DO62+DN63-DW62)))</f>
        <v>226.99999999999986</v>
      </c>
      <c r="DP63" s="17">
        <f>DO63*VLOOKUP('Données projet'!$B$14,Paramètres!$A$1:$I$89,3,0)*VLOOKUP('Données projet'!$B$14,Paramètres!$A$1:$I$89,5,0)</f>
        <v>198.30719999999991</v>
      </c>
      <c r="DQ63" s="13">
        <f t="shared" si="43"/>
        <v>49.371957679623371</v>
      </c>
      <c r="DR63" s="20">
        <f t="shared" si="16"/>
        <v>431.37453295867721</v>
      </c>
      <c r="DS63" s="59">
        <f t="shared" si="17"/>
        <v>724.70786629201052</v>
      </c>
      <c r="DT63" s="59">
        <f ca="1">AVERAGE(OFFSET($DS$3,0,0,'Données projet'!$E$14+1,1))-AVERAGE(OFFSET($H$3,0,0,'Données projet'!$E$14+1,1))</f>
        <v>210.07838338464626</v>
      </c>
      <c r="DU63" s="59">
        <f t="shared" si="44"/>
        <v>241.76003724236273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38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2.925957467361461</v>
      </c>
      <c r="EB63" s="21">
        <f>EXP(-LN(2)/25)*EB62+(1-EXP(-LN(2)/25))/(LN(2)/25)*Calculateur!DW63*Calculateur!DY63*VLOOKUP('Données projet'!$B$14,Paramètres!$A$1:$I$89,3,0)*0.475*44/12</f>
        <v>5.9022923075384988</v>
      </c>
      <c r="EC63" s="21">
        <f>EXP(-LN(2)/2)*EC62+(1-EXP(-LN(2)/2))/(LN(2)/2)*DW63*DZ63*VLOOKUP('Données projet'!$B$14,Paramètres!$A$1:$I$89,3,0)*0.475*44/12</f>
        <v>4.8740919405667953E-4</v>
      </c>
      <c r="ED63" s="22">
        <f t="shared" si="18"/>
        <v>8.828737184094015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351</v>
      </c>
      <c r="EH63" s="12">
        <f>VLOOKUP(A63,'Données projet'!$A$191:$I$211,9,0)</f>
        <v>8.8000000000000007</v>
      </c>
      <c r="EI63" s="12">
        <f t="array" ref="EI63">INDEX(EH:EH,MIN(IF(ISNUMBER(EH63:EH259),ROW(EH63:EH259),"")))</f>
        <v>8.8000000000000007</v>
      </c>
      <c r="EJ63" s="12">
        <f>IF('Données projet'!$A$192&gt;35,EJ62+EI63-ER62,IF(A63&lt;'Données projet'!$A$192,$EG$205^A63,IF(A63='Données projet'!$A$192,'Données projet'!$B$192,EJ62+EI63-ER62)))</f>
        <v>351.00000000000028</v>
      </c>
      <c r="EK63" s="17">
        <f>EJ63*VLOOKUP('Données projet'!$B$15,Paramètres!$A$1:$I$89,3,0)*VLOOKUP('Données projet'!$B$15,Paramètres!$A$1:$I$89,5,0)</f>
        <v>219.02400000000017</v>
      </c>
      <c r="EL63" s="13">
        <f t="shared" si="45"/>
        <v>53.902702081308355</v>
      </c>
      <c r="EM63" s="20">
        <f t="shared" si="19"/>
        <v>475.34733945827901</v>
      </c>
      <c r="EN63" s="59">
        <f t="shared" si="20"/>
        <v>768.68067279161232</v>
      </c>
      <c r="EO63" s="59">
        <f ca="1">AVERAGE(OFFSET($EN$3,0,0,'Données projet'!$E$15+1,1))-AVERAGE(OFFSET($H$3,0,0,'Données projet'!$E$15+1,1))</f>
        <v>209.93608079129638</v>
      </c>
      <c r="EP63" s="59">
        <f t="shared" si="46"/>
        <v>240.15652428700969</v>
      </c>
      <c r="EQ63" s="15">
        <f>IF(ISNA(VLOOKUP(A63,'Données projet'!$A$191:$I$211,3,0)),0,VLOOKUP(A63,'Données projet'!$A$191:$I$211,3,0))</f>
        <v>5</v>
      </c>
      <c r="ER63" s="15">
        <f>IF(ISNA(VLOOKUP(A63,'Données projet'!$A$191:$I$211,4,0)),0,VLOOKUP(A63,'Données projet'!$A$191:$I$211,4,0))</f>
        <v>47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3.8385439864171684</v>
      </c>
      <c r="EW63" s="21">
        <f>EXP(-LN(2)/25)*EW62+(1-EXP(-LN(2)/25))/(LN(2)/25)*Calculateur!ER63*Calculateur!ET63*VLOOKUP('Données projet'!$B$15,Paramètres!$A$1:$I$89,3,0)*0.475*44/12</f>
        <v>9.0484627088608214</v>
      </c>
      <c r="EX63" s="21">
        <f>EXP(-LN(2)/2)*EX62+(1-EXP(-LN(2)/2))/(LN(2)/2)*ER63*EU63*VLOOKUP('Données projet'!$B$15,Paramètres!$A$1:$I$89,3,0)*0.475*44/12</f>
        <v>6.1617478954208691E-4</v>
      </c>
      <c r="EY63" s="22">
        <f t="shared" si="21"/>
        <v>12.887622870067531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4.0999999999999996</v>
      </c>
      <c r="N64" s="13">
        <f>IF('Données projet'!$A$36&gt;35,N63+M64-V63,IF(A64&lt;'Données projet'!$A$36,$K$205^A64,IF(A64='Données projet'!$A$36,'Données projet'!$B$36,N63+M64-V63)))</f>
        <v>237.09999999999974</v>
      </c>
      <c r="O64" s="13">
        <f>N64*VLOOKUP('Données projet'!$B$9,Paramètres!$A$1:$I$89,3,0)*VLOOKUP('Données projet'!$B$9,Paramètres!$A$1:$I$89,5,0)</f>
        <v>188.63675999999978</v>
      </c>
      <c r="P64" s="13">
        <f t="shared" si="33"/>
        <v>47.238433649202641</v>
      </c>
      <c r="Q64" s="20">
        <f t="shared" si="53"/>
        <v>410.81596227236088</v>
      </c>
      <c r="R64" s="59">
        <f t="shared" si="0"/>
        <v>704.14929560569419</v>
      </c>
      <c r="S64" s="59">
        <f ca="1">AVERAGE(OFFSET($R$3,0,0,'Données projet'!$E$9+1,1))-AVERAGE(OFFSET($H$3,0,0,'Données projet'!$E$9+1,1))</f>
        <v>199.58763537752952</v>
      </c>
      <c r="T64" s="59">
        <f t="shared" si="34"/>
        <v>242.62852778451929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4.3535310613043148</v>
      </c>
      <c r="AB64" s="21">
        <f>EXP(-LN(2)/2)*AB63+(1-EXP(-LN(2)/2))/(LN(2)/2)*V64*Y64*VLOOKUP('Données projet'!$B$9,Paramètres!$A$1:$I$89,3,0)*0.475*44/12</f>
        <v>2.3222567492617871E-4</v>
      </c>
      <c r="AC64" s="22">
        <f t="shared" si="3"/>
        <v>4.3537632869792411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15.7</v>
      </c>
      <c r="AI64" s="13">
        <f>IF('Données projet'!$A$62&gt;35,AI63+AH64-AQ63,IF(A64&lt;'Données projet'!$A$62,$AF$205^A64,IF(A64='Données projet'!$A$62,'Données projet'!$B$62,AI63+AH64-AQ63)))</f>
        <v>354.70000000000022</v>
      </c>
      <c r="AJ64" s="13">
        <f>AI64*VLOOKUP('Données projet'!$B$10,Paramètres!$A$1:$I$89,3,0)*VLOOKUP('Données projet'!$B$10,Paramètres!$A$1:$I$89,5,0)</f>
        <v>212.11060000000018</v>
      </c>
      <c r="AK64" s="13">
        <f t="shared" si="35"/>
        <v>52.396536119410889</v>
      </c>
      <c r="AL64" s="20">
        <f t="shared" si="4"/>
        <v>460.68326207464094</v>
      </c>
      <c r="AM64" s="59">
        <f t="shared" si="5"/>
        <v>754.01659540797425</v>
      </c>
      <c r="AN64" s="59">
        <f ca="1">AVERAGE(OFFSET($AM$3,0,0,'Données projet'!$E$10+1,1))-AVERAGE(OFFSET($H$3,0,0,'Données projet'!$E$10+1,1))</f>
        <v>287.78657453117694</v>
      </c>
      <c r="AO64" s="59">
        <f t="shared" si="36"/>
        <v>153.31562485362252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1.5842705128379919</v>
      </c>
      <c r="AV64" s="21">
        <f>EXP(-LN(2)/25)*AV63+(1-EXP(-LN(2)/25))/(LN(2)/25)*Calculateur!AQ64*Calculateur!AS64*VLOOKUP('Données projet'!$B$10,Paramètres!$A$1:$I$89,3,0)*0.475*44/12</f>
        <v>2.4688536677517439</v>
      </c>
      <c r="AW64" s="21">
        <f>EXP(-LN(2)/2)*AW63+(1-EXP(-LN(2)/2))/(LN(2)/2)*AQ64*AT64*VLOOKUP('Données projet'!$B$10,Paramètres!$A$1:$I$89,3,0)*0.475*44/12</f>
        <v>2.3961590311515313E-4</v>
      </c>
      <c r="AX64" s="21">
        <f t="shared" si="6"/>
        <v>4.0533637964928504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12.054615384615385</v>
      </c>
      <c r="BD64" s="12">
        <f>IF('Données projet'!$A$88&gt;35,BD63+BC64-BL63,IF(A64&lt;'Données projet'!$A$88,$BA$205^A64,IF(A64='Données projet'!$A$88,'Données projet'!$B$88,BD63+BC64-BL63)))</f>
        <v>428.38076923076926</v>
      </c>
      <c r="BE64" s="13">
        <f>BD64*VLOOKUP('Données projet'!$B$11,Paramètres!$A$1:$I$89,3,0)*VLOOKUP('Données projet'!$B$11,Paramètres!$A$1:$I$89,5,0)</f>
        <v>256.17170000000004</v>
      </c>
      <c r="BF64" s="13">
        <f t="shared" si="37"/>
        <v>61.90563593470165</v>
      </c>
      <c r="BG64" s="20">
        <f t="shared" si="7"/>
        <v>553.98469341960538</v>
      </c>
      <c r="BH64" s="59">
        <f t="shared" si="8"/>
        <v>847.31802675293875</v>
      </c>
      <c r="BI64" s="59">
        <f ca="1">AVERAGE(OFFSET($BH$3,0,0,'Données projet'!$E$11+1,1))-AVERAGE(OFFSET($H$3,0,0,'Données projet'!$E$11+1,1))</f>
        <v>250.93905519128998</v>
      </c>
      <c r="BJ64" s="59">
        <f t="shared" si="38"/>
        <v>222.32879462265032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0.69335724934001297</v>
      </c>
      <c r="BQ64" s="21">
        <f>EXP(-LN(2)/25)*BQ63+(1-EXP(-LN(2)/25))/(LN(2)/25)*Calculateur!BL64*Calculateur!BN64*VLOOKUP('Données projet'!$B$11,Paramètres!$A$1:$I$89,3,0)*0.475*44/12</f>
        <v>4.9004106609490963</v>
      </c>
      <c r="BR64" s="21">
        <f>EXP(-LN(2)/2)*BR63+(1-EXP(-LN(2)/2))/(LN(2)/2)*BL64*BO64*VLOOKUP('Données projet'!$B$11,Paramètres!$A$1:$I$89,3,0)*0.475*44/12</f>
        <v>4.0728093627001335E-5</v>
      </c>
      <c r="BS64" s="22">
        <f t="shared" si="9"/>
        <v>5.593808638382737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9.1830769230769249</v>
      </c>
      <c r="BY64" s="12">
        <f>IF('Données projet'!$A$114&gt;35,BY63+BX64-CG63,IF(A64&lt;'Données projet'!$A$114,$BV$205^A64,IF(A64='Données projet'!$A$114,'Données projet'!$B$114,BY63+BX64-CG63)))</f>
        <v>297.34461538461534</v>
      </c>
      <c r="BZ64" s="13">
        <f>BY64*VLOOKUP('Données projet'!$B$12,Paramètres!$A$1:$I$89,3,0)*VLOOKUP('Données projet'!$B$12,Paramètres!$A$1:$I$89,5,0)</f>
        <v>177.81207999999998</v>
      </c>
      <c r="CA64" s="13">
        <f t="shared" si="39"/>
        <v>44.835068353066951</v>
      </c>
      <c r="CB64" s="20">
        <f t="shared" si="10"/>
        <v>387.77711671492489</v>
      </c>
      <c r="CC64" s="59">
        <f t="shared" si="11"/>
        <v>681.11045004825814</v>
      </c>
      <c r="CD64" s="59">
        <f ca="1">AVERAGE(OFFSET($CC$3,0,0,'Données projet'!$E$12+1,1))-AVERAGE(OFFSET($H$3,0,0,'Données projet'!$E$12+1,1))</f>
        <v>179.32848817523677</v>
      </c>
      <c r="CE64" s="59">
        <f t="shared" si="40"/>
        <v>131.3292389103035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5.5800848381876165</v>
      </c>
      <c r="CM64" s="21">
        <f>EXP(-LN(2)/2)*CM63+(1-EXP(-LN(2)/2))/(LN(2)/2)*CG64*CJ64*VLOOKUP('Données projet'!$B$12,Paramètres!$A$1:$I$89,3,0)*0.475*44/12</f>
        <v>1.1356843948819804E-4</v>
      </c>
      <c r="CN64" s="22">
        <f t="shared" si="12"/>
        <v>5.5801984066271046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9.2219551282051242</v>
      </c>
      <c r="CT64" s="12">
        <f>IF('Données projet'!$A$140&gt;35,CT63+CS64-DB63,IF(A64&lt;'Données projet'!$A$140,$CQ$205^A64,IF(A64='Données projet'!$A$140,'Données projet'!$B$140,CT63+CS64-DB63)))</f>
        <v>228.18509615384596</v>
      </c>
      <c r="CU64" s="17">
        <f>CT64*VLOOKUP('Données projet'!$B$13,Paramètres!$A$1:$I$89,3,0)*VLOOKUP('Données projet'!$B$13,Paramètres!$A$1:$I$89,5,0)</f>
        <v>206.46187499999985</v>
      </c>
      <c r="CV64" s="13">
        <f t="shared" si="41"/>
        <v>51.161653428040907</v>
      </c>
      <c r="CW64" s="20">
        <f t="shared" si="13"/>
        <v>448.69431201217094</v>
      </c>
      <c r="CX64" s="59">
        <f t="shared" si="14"/>
        <v>742.0276453455042</v>
      </c>
      <c r="CY64" s="59">
        <f ca="1">AVERAGE(OFFSET($CX$3,0,0,'Données projet'!$E$13+1,1))-AVERAGE(OFFSET($H$3,0,0,'Données projet'!$E$13+1,1))</f>
        <v>309.07357540707869</v>
      </c>
      <c r="CZ64" s="59">
        <f t="shared" si="42"/>
        <v>155.9593924683299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4.8</v>
      </c>
      <c r="DO64" s="12">
        <f>IF('Données projet'!$A$166&gt;35,DO63+DN64-DW63,IF(A64&lt;'Données projet'!$A$166,$DL$205^A64,IF(A64='Données projet'!$A$166,'Données projet'!$B$166,DO63+DN64-DW63)))</f>
        <v>193.79999999999987</v>
      </c>
      <c r="DP64" s="17">
        <f>DO64*VLOOKUP('Données projet'!$B$14,Paramètres!$A$1:$I$89,3,0)*VLOOKUP('Données projet'!$B$14,Paramètres!$A$1:$I$89,5,0)</f>
        <v>169.3036799999999</v>
      </c>
      <c r="DQ64" s="13">
        <f t="shared" si="43"/>
        <v>42.934033834973214</v>
      </c>
      <c r="DR64" s="20">
        <f t="shared" si="16"/>
        <v>369.64735159591146</v>
      </c>
      <c r="DS64" s="59">
        <f t="shared" si="17"/>
        <v>662.98068492924472</v>
      </c>
      <c r="DT64" s="59">
        <f ca="1">AVERAGE(OFFSET($DS$3,0,0,'Données projet'!$E$14+1,1))-AVERAGE(OFFSET($H$3,0,0,'Données projet'!$E$14+1,1))</f>
        <v>210.07838338464626</v>
      </c>
      <c r="DU64" s="59">
        <f t="shared" si="44"/>
        <v>241.76003724236273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2.8685812260843377</v>
      </c>
      <c r="EB64" s="21">
        <f>EXP(-LN(2)/25)*EB63+(1-EXP(-LN(2)/25))/(LN(2)/25)*Calculateur!DW64*Calculateur!DY64*VLOOKUP('Données projet'!$B$14,Paramètres!$A$1:$I$89,3,0)*0.475*44/12</f>
        <v>5.7408938140007963</v>
      </c>
      <c r="EC64" s="21">
        <f>EXP(-LN(2)/2)*EC63+(1-EXP(-LN(2)/2))/(LN(2)/2)*DW64*DZ64*VLOOKUP('Données projet'!$B$14,Paramètres!$A$1:$I$89,3,0)*0.475*44/12</f>
        <v>3.4465034633014799E-4</v>
      </c>
      <c r="ED64" s="22">
        <f t="shared" si="18"/>
        <v>8.609819690431463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6.8</v>
      </c>
      <c r="EJ64" s="12">
        <f>IF('Données projet'!$A$192&gt;35,EJ63+EI64-ER63,IF(A64&lt;'Données projet'!$A$192,$EG$205^A64,IF(A64='Données projet'!$A$192,'Données projet'!$B$192,EJ63+EI64-ER63)))</f>
        <v>310.8000000000003</v>
      </c>
      <c r="EK64" s="17">
        <f>EJ64*VLOOKUP('Données projet'!$B$15,Paramètres!$A$1:$I$89,3,0)*VLOOKUP('Données projet'!$B$15,Paramètres!$A$1:$I$89,5,0)</f>
        <v>193.9392000000002</v>
      </c>
      <c r="EL64" s="13">
        <f t="shared" si="45"/>
        <v>48.409811198069427</v>
      </c>
      <c r="EM64" s="20">
        <f t="shared" si="19"/>
        <v>422.09119450330462</v>
      </c>
      <c r="EN64" s="59">
        <f t="shared" si="20"/>
        <v>715.42452783663794</v>
      </c>
      <c r="EO64" s="59">
        <f ca="1">AVERAGE(OFFSET($EN$3,0,0,'Données projet'!$E$15+1,1))-AVERAGE(OFFSET($H$3,0,0,'Données projet'!$E$15+1,1))</f>
        <v>209.93608079129638</v>
      </c>
      <c r="EP64" s="59">
        <f t="shared" si="46"/>
        <v>240.15652428700969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3.763272480124177</v>
      </c>
      <c r="EW64" s="21">
        <f>EXP(-LN(2)/25)*EW63+(1-EXP(-LN(2)/25))/(LN(2)/25)*Calculateur!ER64*Calculateur!ET64*VLOOKUP('Données projet'!$B$15,Paramètres!$A$1:$I$89,3,0)*0.475*44/12</f>
        <v>8.8010320202490497</v>
      </c>
      <c r="EX64" s="21">
        <f>EXP(-LN(2)/2)*EX63+(1-EXP(-LN(2)/2))/(LN(2)/2)*ER64*EU64*VLOOKUP('Données projet'!$B$15,Paramètres!$A$1:$I$89,3,0)*0.475*44/12</f>
        <v>4.3570137208140343E-4</v>
      </c>
      <c r="EY64" s="22">
        <f t="shared" si="21"/>
        <v>12.564740201745309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4.0999999999999996</v>
      </c>
      <c r="N65" s="13">
        <f>IF('Données projet'!$A$36&gt;35,N64+M65-V64,IF(A65&lt;'Données projet'!$A$36,$K$205^A65,IF(A65='Données projet'!$A$36,'Données projet'!$B$36,N64+M65-V64)))</f>
        <v>241.19999999999973</v>
      </c>
      <c r="O65" s="13">
        <f>N65*VLOOKUP('Données projet'!$B$9,Paramètres!$A$1:$I$89,3,0)*VLOOKUP('Données projet'!$B$9,Paramètres!$A$1:$I$89,5,0)</f>
        <v>191.8987199999998</v>
      </c>
      <c r="P65" s="13">
        <f t="shared" si="33"/>
        <v>47.959489640575512</v>
      </c>
      <c r="Q65" s="20">
        <f t="shared" si="53"/>
        <v>417.7530484573353</v>
      </c>
      <c r="R65" s="59">
        <f t="shared" si="0"/>
        <v>711.08638179066861</v>
      </c>
      <c r="S65" s="59">
        <f ca="1">AVERAGE(OFFSET($R$3,0,0,'Données projet'!$E$9+1,1))-AVERAGE(OFFSET($H$3,0,0,'Données projet'!$E$9+1,1))</f>
        <v>199.58763537752952</v>
      </c>
      <c r="T65" s="59">
        <f t="shared" si="34"/>
        <v>242.62852778451929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4.2344835254906998</v>
      </c>
      <c r="AB65" s="21">
        <f>EXP(-LN(2)/2)*AB64+(1-EXP(-LN(2)/2))/(LN(2)/2)*V65*Y65*VLOOKUP('Données projet'!$B$9,Paramètres!$A$1:$I$89,3,0)*0.475*44/12</f>
        <v>1.6420834950592377E-4</v>
      </c>
      <c r="AC65" s="22">
        <f t="shared" si="3"/>
        <v>4.2346477338402062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15.7</v>
      </c>
      <c r="AI65" s="13">
        <f>IF('Données projet'!$A$62&gt;35,AI64+AH65-AQ64,IF(A65&lt;'Données projet'!$A$62,$AF$205^A65,IF(A65='Données projet'!$A$62,'Données projet'!$B$62,AI64+AH65-AQ64)))</f>
        <v>370.4000000000002</v>
      </c>
      <c r="AJ65" s="13">
        <f>AI65*VLOOKUP('Données projet'!$B$10,Paramètres!$A$1:$I$89,3,0)*VLOOKUP('Données projet'!$B$10,Paramètres!$A$1:$I$89,5,0)</f>
        <v>221.49920000000014</v>
      </c>
      <c r="AK65" s="13">
        <f t="shared" si="35"/>
        <v>54.440600528135384</v>
      </c>
      <c r="AL65" s="20">
        <f t="shared" si="4"/>
        <v>480.59515258650276</v>
      </c>
      <c r="AM65" s="59">
        <f t="shared" si="5"/>
        <v>773.92848591983602</v>
      </c>
      <c r="AN65" s="59">
        <f ca="1">AVERAGE(OFFSET($AM$3,0,0,'Données projet'!$E$10+1,1))-AVERAGE(OFFSET($H$3,0,0,'Données projet'!$E$10+1,1))</f>
        <v>287.78657453117694</v>
      </c>
      <c r="AO65" s="59">
        <f t="shared" si="36"/>
        <v>153.31562485362252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1.5532039343908366</v>
      </c>
      <c r="AV65" s="21">
        <f>EXP(-LN(2)/25)*AV64+(1-EXP(-LN(2)/25))/(LN(2)/25)*Calculateur!AQ65*Calculateur!AS65*VLOOKUP('Données projet'!$B$10,Paramètres!$A$1:$I$89,3,0)*0.475*44/12</f>
        <v>2.4013427343757008</v>
      </c>
      <c r="AW65" s="21">
        <f>EXP(-LN(2)/2)*AW64+(1-EXP(-LN(2)/2))/(LN(2)/2)*AQ65*AT65*VLOOKUP('Données projet'!$B$10,Paramètres!$A$1:$I$89,3,0)*0.475*44/12</f>
        <v>1.6943402997286356E-4</v>
      </c>
      <c r="AX65" s="21">
        <f t="shared" si="6"/>
        <v>3.9547161027965103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12.054615384615385</v>
      </c>
      <c r="BD65" s="12">
        <f>IF('Données projet'!$A$88&gt;35,BD64+BC65-BL64,IF(A65&lt;'Données projet'!$A$88,$BA$205^A65,IF(A65='Données projet'!$A$88,'Données projet'!$B$88,BD64+BC65-BL64)))</f>
        <v>440.43538461538463</v>
      </c>
      <c r="BE65" s="13">
        <f>BD65*VLOOKUP('Données projet'!$B$11,Paramètres!$A$1:$I$89,3,0)*VLOOKUP('Données projet'!$B$11,Paramètres!$A$1:$I$89,5,0)</f>
        <v>263.38036</v>
      </c>
      <c r="BF65" s="13">
        <f t="shared" si="37"/>
        <v>63.442391493835359</v>
      </c>
      <c r="BG65" s="20">
        <f t="shared" si="7"/>
        <v>569.21629218509656</v>
      </c>
      <c r="BH65" s="59">
        <f t="shared" si="8"/>
        <v>862.54962551842982</v>
      </c>
      <c r="BI65" s="59">
        <f ca="1">AVERAGE(OFFSET($BH$3,0,0,'Données projet'!$E$11+1,1))-AVERAGE(OFFSET($H$3,0,0,'Données projet'!$E$11+1,1))</f>
        <v>250.93905519128998</v>
      </c>
      <c r="BJ65" s="59">
        <f t="shared" si="38"/>
        <v>222.32879462265032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0.67976093658661885</v>
      </c>
      <c r="BQ65" s="21">
        <f>EXP(-LN(2)/25)*BQ64+(1-EXP(-LN(2)/25))/(LN(2)/25)*Calculateur!BL65*Calculateur!BN65*VLOOKUP('Données projet'!$B$11,Paramètres!$A$1:$I$89,3,0)*0.475*44/12</f>
        <v>4.7664086737240465</v>
      </c>
      <c r="BR65" s="21">
        <f>EXP(-LN(2)/2)*BR64+(1-EXP(-LN(2)/2))/(LN(2)/2)*BL65*BO65*VLOOKUP('Données projet'!$B$11,Paramètres!$A$1:$I$89,3,0)*0.475*44/12</f>
        <v>2.8799111188453254E-5</v>
      </c>
      <c r="BS65" s="22">
        <f t="shared" si="9"/>
        <v>5.4461984094218536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9.1830769230769249</v>
      </c>
      <c r="BY65" s="12">
        <f>IF('Données projet'!$A$114&gt;35,BY64+BX65-CG64,IF(A65&lt;'Données projet'!$A$114,$BV$205^A65,IF(A65='Données projet'!$A$114,'Données projet'!$B$114,BY64+BX65-CG64)))</f>
        <v>306.52769230769229</v>
      </c>
      <c r="BZ65" s="13">
        <f>BY65*VLOOKUP('Données projet'!$B$12,Paramètres!$A$1:$I$89,3,0)*VLOOKUP('Données projet'!$B$12,Paramètres!$A$1:$I$89,5,0)</f>
        <v>183.30356</v>
      </c>
      <c r="CA65" s="13">
        <f t="shared" si="39"/>
        <v>46.056387641494027</v>
      </c>
      <c r="CB65" s="20">
        <f t="shared" si="10"/>
        <v>399.46857547560211</v>
      </c>
      <c r="CC65" s="59">
        <f t="shared" si="11"/>
        <v>692.80190880893542</v>
      </c>
      <c r="CD65" s="59">
        <f ca="1">AVERAGE(OFFSET($CC$3,0,0,'Données projet'!$E$12+1,1))-AVERAGE(OFFSET($H$3,0,0,'Données projet'!$E$12+1,1))</f>
        <v>179.32848817523677</v>
      </c>
      <c r="CE65" s="59">
        <f t="shared" si="40"/>
        <v>131.3292389103035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5.4274971248434678</v>
      </c>
      <c r="CM65" s="21">
        <f>EXP(-LN(2)/2)*CM64+(1-EXP(-LN(2)/2))/(LN(2)/2)*CG65*CJ65*VLOOKUP('Données projet'!$B$12,Paramètres!$A$1:$I$89,3,0)*0.475*44/12</f>
        <v>8.0305013690878913E-5</v>
      </c>
      <c r="CN65" s="22">
        <f t="shared" si="12"/>
        <v>5.4275774298571591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9.2219551282051242</v>
      </c>
      <c r="CT65" s="12">
        <f>IF('Données projet'!$A$140&gt;35,CT64+CS65-DB64,IF(A65&lt;'Données projet'!$A$140,$CQ$205^A65,IF(A65='Données projet'!$A$140,'Données projet'!$B$140,CT64+CS65-DB64)))</f>
        <v>237.4070512820511</v>
      </c>
      <c r="CU65" s="17">
        <f>CT65*VLOOKUP('Données projet'!$B$13,Paramètres!$A$1:$I$89,3,0)*VLOOKUP('Données projet'!$B$13,Paramètres!$A$1:$I$89,5,0)</f>
        <v>214.80589999999981</v>
      </c>
      <c r="CV65" s="13">
        <f t="shared" si="41"/>
        <v>52.984408736730096</v>
      </c>
      <c r="CW65" s="20">
        <f t="shared" si="13"/>
        <v>466.40145438313789</v>
      </c>
      <c r="CX65" s="59">
        <f t="shared" si="14"/>
        <v>759.73478771647115</v>
      </c>
      <c r="CY65" s="59">
        <f ca="1">AVERAGE(OFFSET($CX$3,0,0,'Données projet'!$E$13+1,1))-AVERAGE(OFFSET($H$3,0,0,'Données projet'!$E$13+1,1))</f>
        <v>309.07357540707869</v>
      </c>
      <c r="CZ65" s="59">
        <f t="shared" si="42"/>
        <v>155.9593924683299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4.8</v>
      </c>
      <c r="DO65" s="12">
        <f>IF('Données projet'!$A$166&gt;35,DO64+DN65-DW64,IF(A65&lt;'Données projet'!$A$166,$DL$205^A65,IF(A65='Données projet'!$A$166,'Données projet'!$B$166,DO64+DN65-DW64)))</f>
        <v>198.59999999999988</v>
      </c>
      <c r="DP65" s="17">
        <f>DO65*VLOOKUP('Données projet'!$B$14,Paramètres!$A$1:$I$89,3,0)*VLOOKUP('Données projet'!$B$14,Paramètres!$A$1:$I$89,5,0)</f>
        <v>173.49695999999992</v>
      </c>
      <c r="DQ65" s="13">
        <f t="shared" si="43"/>
        <v>43.872295751131787</v>
      </c>
      <c r="DR65" s="20">
        <f t="shared" si="16"/>
        <v>378.58478709988776</v>
      </c>
      <c r="DS65" s="59">
        <f t="shared" si="17"/>
        <v>671.91812043322102</v>
      </c>
      <c r="DT65" s="59">
        <f ca="1">AVERAGE(OFFSET($DS$3,0,0,'Données projet'!$E$14+1,1))-AVERAGE(OFFSET($H$3,0,0,'Données projet'!$E$14+1,1))</f>
        <v>210.07838338464626</v>
      </c>
      <c r="DU65" s="59">
        <f t="shared" si="44"/>
        <v>241.76003724236273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2.8123300979026071</v>
      </c>
      <c r="EB65" s="21">
        <f>EXP(-LN(2)/25)*EB64+(1-EXP(-LN(2)/25))/(LN(2)/25)*Calculateur!DW65*Calculateur!DY65*VLOOKUP('Données projet'!$B$14,Paramètres!$A$1:$I$89,3,0)*0.475*44/12</f>
        <v>5.5839087707564596</v>
      </c>
      <c r="EC65" s="21">
        <f>EXP(-LN(2)/2)*EC64+(1-EXP(-LN(2)/2))/(LN(2)/2)*DW65*DZ65*VLOOKUP('Données projet'!$B$14,Paramètres!$A$1:$I$89,3,0)*0.475*44/12</f>
        <v>2.4370459702833979E-4</v>
      </c>
      <c r="ED65" s="22">
        <f t="shared" si="18"/>
        <v>8.3964825732560957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6.8</v>
      </c>
      <c r="EJ65" s="12">
        <f>IF('Données projet'!$A$192&gt;35,EJ64+EI65-ER64,IF(A65&lt;'Données projet'!$A$192,$EG$205^A65,IF(A65='Données projet'!$A$192,'Données projet'!$B$192,EJ64+EI65-ER64)))</f>
        <v>317.60000000000031</v>
      </c>
      <c r="EK65" s="17">
        <f>EJ65*VLOOKUP('Données projet'!$B$15,Paramètres!$A$1:$I$89,3,0)*VLOOKUP('Données projet'!$B$15,Paramètres!$A$1:$I$89,5,0)</f>
        <v>198.1824000000002</v>
      </c>
      <c r="EL65" s="13">
        <f t="shared" si="45"/>
        <v>49.344502261104303</v>
      </c>
      <c r="EM65" s="20">
        <f t="shared" si="19"/>
        <v>431.10935477142363</v>
      </c>
      <c r="EN65" s="59">
        <f t="shared" si="20"/>
        <v>724.44268810475694</v>
      </c>
      <c r="EO65" s="59">
        <f ca="1">AVERAGE(OFFSET($EN$3,0,0,'Données projet'!$E$15+1,1))-AVERAGE(OFFSET($H$3,0,0,'Données projet'!$E$15+1,1))</f>
        <v>209.93608079129638</v>
      </c>
      <c r="EP65" s="59">
        <f t="shared" si="46"/>
        <v>240.15652428700969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3.6894770021585059</v>
      </c>
      <c r="EW65" s="21">
        <f>EXP(-LN(2)/25)*EW64+(1-EXP(-LN(2)/25))/(LN(2)/25)*Calculateur!ER65*Calculateur!ET65*VLOOKUP('Données projet'!$B$15,Paramètres!$A$1:$I$89,3,0)*0.475*44/12</f>
        <v>8.5603673368291808</v>
      </c>
      <c r="EX65" s="21">
        <f>EXP(-LN(2)/2)*EX64+(1-EXP(-LN(2)/2))/(LN(2)/2)*ER65*EU65*VLOOKUP('Données projet'!$B$15,Paramètres!$A$1:$I$89,3,0)*0.475*44/12</f>
        <v>3.0808739477104346E-4</v>
      </c>
      <c r="EY65" s="22">
        <f t="shared" si="21"/>
        <v>12.250152426382458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4.0999999999999996</v>
      </c>
      <c r="N66" s="13">
        <f>IF('Données projet'!$A$36&gt;35,N65+M66-V65,IF(A66&lt;'Données projet'!$A$36,$K$205^A66,IF(A66='Données projet'!$A$36,'Données projet'!$B$36,N65+M66-V65)))</f>
        <v>245.29999999999973</v>
      </c>
      <c r="O66" s="13">
        <f>N66*VLOOKUP('Données projet'!$B$9,Paramètres!$A$1:$I$89,3,0)*VLOOKUP('Données projet'!$B$9,Paramètres!$A$1:$I$89,5,0)</f>
        <v>195.16067999999979</v>
      </c>
      <c r="P66" s="13">
        <f t="shared" si="33"/>
        <v>48.679120283467881</v>
      </c>
      <c r="Q66" s="20">
        <f t="shared" si="53"/>
        <v>424.68765216037281</v>
      </c>
      <c r="R66" s="59">
        <f t="shared" si="0"/>
        <v>718.02098549370612</v>
      </c>
      <c r="S66" s="59">
        <f ca="1">AVERAGE(OFFSET($R$3,0,0,'Données projet'!$E$9+1,1))-AVERAGE(OFFSET($H$3,0,0,'Données projet'!$E$9+1,1))</f>
        <v>199.58763537752952</v>
      </c>
      <c r="T66" s="59">
        <f t="shared" si="34"/>
        <v>242.62852778451929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4.1186913508043457</v>
      </c>
      <c r="AB66" s="21">
        <f>EXP(-LN(2)/2)*AB65+(1-EXP(-LN(2)/2))/(LN(2)/2)*V66*Y66*VLOOKUP('Données projet'!$B$9,Paramètres!$A$1:$I$89,3,0)*0.475*44/12</f>
        <v>1.1611283746308936E-4</v>
      </c>
      <c r="AC66" s="22">
        <f t="shared" si="3"/>
        <v>4.1188074636418088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15.7</v>
      </c>
      <c r="AI66" s="13">
        <f>IF('Données projet'!$A$62&gt;35,AI65+AH66-AQ65,IF(A66&lt;'Données projet'!$A$62,$AF$205^A66,IF(A66='Données projet'!$A$62,'Données projet'!$B$62,AI65+AH66-AQ65)))</f>
        <v>386.10000000000019</v>
      </c>
      <c r="AJ66" s="13">
        <f>AI66*VLOOKUP('Données projet'!$B$10,Paramètres!$A$1:$I$89,3,0)*VLOOKUP('Données projet'!$B$10,Paramètres!$A$1:$I$89,5,0)</f>
        <v>230.88780000000014</v>
      </c>
      <c r="AK66" s="13">
        <f t="shared" si="35"/>
        <v>56.474601584830367</v>
      </c>
      <c r="AL66" s="20">
        <f t="shared" si="4"/>
        <v>500.48951609357982</v>
      </c>
      <c r="AM66" s="59">
        <f t="shared" si="5"/>
        <v>793.82284942691308</v>
      </c>
      <c r="AN66" s="59">
        <f ca="1">AVERAGE(OFFSET($AM$3,0,0,'Données projet'!$E$10+1,1))-AVERAGE(OFFSET($H$3,0,0,'Données projet'!$E$10+1,1))</f>
        <v>287.78657453117694</v>
      </c>
      <c r="AO66" s="59">
        <f t="shared" si="36"/>
        <v>153.31562485362252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1.5227465525982882</v>
      </c>
      <c r="AV66" s="21">
        <f>EXP(-LN(2)/25)*AV65+(1-EXP(-LN(2)/25))/(LN(2)/25)*Calculateur!AQ66*Calculateur!AS66*VLOOKUP('Données projet'!$B$10,Paramètres!$A$1:$I$89,3,0)*0.475*44/12</f>
        <v>2.3356778910230713</v>
      </c>
      <c r="AW66" s="21">
        <f>EXP(-LN(2)/2)*AW65+(1-EXP(-LN(2)/2))/(LN(2)/2)*AQ66*AT66*VLOOKUP('Données projet'!$B$10,Paramètres!$A$1:$I$89,3,0)*0.475*44/12</f>
        <v>1.1980795155757658E-4</v>
      </c>
      <c r="AX66" s="21">
        <f t="shared" si="6"/>
        <v>3.8585442515729169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12.054615384615385</v>
      </c>
      <c r="BD66" s="12">
        <f>IF('Données projet'!$A$88&gt;35,BD65+BC66-BL65,IF(A66&lt;'Données projet'!$A$88,$BA$205^A66,IF(A66='Données projet'!$A$88,'Données projet'!$B$88,BD65+BC66-BL65)))</f>
        <v>452.49</v>
      </c>
      <c r="BE66" s="13">
        <f>BD66*VLOOKUP('Données projet'!$B$11,Paramètres!$A$1:$I$89,3,0)*VLOOKUP('Données projet'!$B$11,Paramètres!$A$1:$I$89,5,0)</f>
        <v>270.58902000000006</v>
      </c>
      <c r="BF66" s="13">
        <f t="shared" si="37"/>
        <v>64.974258339135972</v>
      </c>
      <c r="BG66" s="20">
        <f t="shared" si="7"/>
        <v>584.43937644066193</v>
      </c>
      <c r="BH66" s="59">
        <f t="shared" si="8"/>
        <v>877.7727097739953</v>
      </c>
      <c r="BI66" s="59">
        <f ca="1">AVERAGE(OFFSET($BH$3,0,0,'Données projet'!$E$11+1,1))-AVERAGE(OFFSET($H$3,0,0,'Données projet'!$E$11+1,1))</f>
        <v>250.93905519128998</v>
      </c>
      <c r="BJ66" s="59">
        <f t="shared" si="38"/>
        <v>222.32879462265032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0.66643123923338687</v>
      </c>
      <c r="BQ66" s="21">
        <f>EXP(-LN(2)/25)*BQ65+(1-EXP(-LN(2)/25))/(LN(2)/25)*Calculateur!BL66*Calculateur!BN66*VLOOKUP('Données projet'!$B$11,Paramètres!$A$1:$I$89,3,0)*0.475*44/12</f>
        <v>4.6360709778865239</v>
      </c>
      <c r="BR66" s="21">
        <f>EXP(-LN(2)/2)*BR65+(1-EXP(-LN(2)/2))/(LN(2)/2)*BL66*BO66*VLOOKUP('Données projet'!$B$11,Paramètres!$A$1:$I$89,3,0)*0.475*44/12</f>
        <v>2.0364046813500667E-5</v>
      </c>
      <c r="BS66" s="22">
        <f t="shared" si="9"/>
        <v>5.3025225811667243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9.1830769230769249</v>
      </c>
      <c r="BY66" s="12">
        <f>IF('Données projet'!$A$114&gt;35,BY65+BX66-CG65,IF(A66&lt;'Données projet'!$A$114,$BV$205^A66,IF(A66='Données projet'!$A$114,'Données projet'!$B$114,BY65+BX66-CG65)))</f>
        <v>315.71076923076919</v>
      </c>
      <c r="BZ66" s="13">
        <f>BY66*VLOOKUP('Données projet'!$B$12,Paramètres!$A$1:$I$89,3,0)*VLOOKUP('Données projet'!$B$12,Paramètres!$A$1:$I$89,5,0)</f>
        <v>188.79504</v>
      </c>
      <c r="CA66" s="13">
        <f t="shared" si="39"/>
        <v>47.273454743056831</v>
      </c>
      <c r="CB66" s="20">
        <f t="shared" si="10"/>
        <v>411.15262834415722</v>
      </c>
      <c r="CC66" s="59">
        <f t="shared" si="11"/>
        <v>704.48596167749054</v>
      </c>
      <c r="CD66" s="59">
        <f ca="1">AVERAGE(OFFSET($CC$3,0,0,'Données projet'!$E$12+1,1))-AVERAGE(OFFSET($H$3,0,0,'Données projet'!$E$12+1,1))</f>
        <v>179.32848817523677</v>
      </c>
      <c r="CE66" s="59">
        <f t="shared" si="40"/>
        <v>131.3292389103035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5.2790819305449537</v>
      </c>
      <c r="CM66" s="21">
        <f>EXP(-LN(2)/2)*CM65+(1-EXP(-LN(2)/2))/(LN(2)/2)*CG66*CJ66*VLOOKUP('Données projet'!$B$12,Paramètres!$A$1:$I$89,3,0)*0.475*44/12</f>
        <v>5.678421974409902E-5</v>
      </c>
      <c r="CN66" s="22">
        <f t="shared" si="12"/>
        <v>5.2791387147646978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9.2219551282051242</v>
      </c>
      <c r="CT66" s="12">
        <f>IF('Données projet'!$A$140&gt;35,CT65+CS66-DB65,IF(A66&lt;'Données projet'!$A$140,$CQ$205^A66,IF(A66='Données projet'!$A$140,'Données projet'!$B$140,CT65+CS66-DB65)))</f>
        <v>246.62900641025624</v>
      </c>
      <c r="CU66" s="17">
        <f>CT66*VLOOKUP('Données projet'!$B$13,Paramètres!$A$1:$I$89,3,0)*VLOOKUP('Données projet'!$B$13,Paramètres!$A$1:$I$89,5,0)</f>
        <v>223.14992499999985</v>
      </c>
      <c r="CV66" s="13">
        <f t="shared" si="41"/>
        <v>54.798938879785823</v>
      </c>
      <c r="CW66" s="20">
        <f t="shared" si="13"/>
        <v>484.09427125729331</v>
      </c>
      <c r="CX66" s="59">
        <f t="shared" si="14"/>
        <v>777.42760459062663</v>
      </c>
      <c r="CY66" s="59">
        <f ca="1">AVERAGE(OFFSET($CX$3,0,0,'Données projet'!$E$13+1,1))-AVERAGE(OFFSET($H$3,0,0,'Données projet'!$E$13+1,1))</f>
        <v>309.07357540707869</v>
      </c>
      <c r="CZ66" s="59">
        <f t="shared" si="42"/>
        <v>155.9593924683299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4.8</v>
      </c>
      <c r="DO66" s="12">
        <f>IF('Données projet'!$A$166&gt;35,DO65+DN66-DW65,IF(A66&lt;'Données projet'!$A$166,$DL$205^A66,IF(A66='Données projet'!$A$166,'Données projet'!$B$166,DO65+DN66-DW65)))</f>
        <v>203.39999999999989</v>
      </c>
      <c r="DP66" s="17">
        <f>DO66*VLOOKUP('Données projet'!$B$14,Paramètres!$A$1:$I$89,3,0)*VLOOKUP('Données projet'!$B$14,Paramètres!$A$1:$I$89,5,0)</f>
        <v>177.69023999999993</v>
      </c>
      <c r="DQ66" s="13">
        <f t="shared" si="43"/>
        <v>44.80792149982765</v>
      </c>
      <c r="DR66" s="20">
        <f t="shared" si="16"/>
        <v>387.5176312788663</v>
      </c>
      <c r="DS66" s="59">
        <f t="shared" si="17"/>
        <v>680.85096461219962</v>
      </c>
      <c r="DT66" s="59">
        <f ca="1">AVERAGE(OFFSET($DS$3,0,0,'Données projet'!$E$14+1,1))-AVERAGE(OFFSET($H$3,0,0,'Données projet'!$E$14+1,1))</f>
        <v>210.07838338464626</v>
      </c>
      <c r="DU66" s="59">
        <f t="shared" si="44"/>
        <v>241.76003724236273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2.7571820200347199</v>
      </c>
      <c r="EB66" s="21">
        <f>EXP(-LN(2)/25)*EB65+(1-EXP(-LN(2)/25))/(LN(2)/25)*Calculateur!DW66*Calculateur!DY66*VLOOKUP('Données projet'!$B$14,Paramètres!$A$1:$I$89,3,0)*0.475*44/12</f>
        <v>5.4312164917751238</v>
      </c>
      <c r="EC66" s="21">
        <f>EXP(-LN(2)/2)*EC65+(1-EXP(-LN(2)/2))/(LN(2)/2)*DW66*DZ66*VLOOKUP('Données projet'!$B$14,Paramètres!$A$1:$I$89,3,0)*0.475*44/12</f>
        <v>1.7232517316507402E-4</v>
      </c>
      <c r="ED66" s="22">
        <f t="shared" si="18"/>
        <v>8.1885708369830095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6.8</v>
      </c>
      <c r="EJ66" s="12">
        <f>IF('Données projet'!$A$192&gt;35,EJ65+EI66-ER65,IF(A66&lt;'Données projet'!$A$192,$EG$205^A66,IF(A66='Données projet'!$A$192,'Données projet'!$B$192,EJ65+EI66-ER65)))</f>
        <v>324.40000000000032</v>
      </c>
      <c r="EK66" s="17">
        <f>EJ66*VLOOKUP('Données projet'!$B$15,Paramètres!$A$1:$I$89,3,0)*VLOOKUP('Données projet'!$B$15,Paramètres!$A$1:$I$89,5,0)</f>
        <v>202.4256000000002</v>
      </c>
      <c r="EL66" s="13">
        <f t="shared" si="45"/>
        <v>50.276866607459766</v>
      </c>
      <c r="EM66" s="20">
        <f t="shared" si="19"/>
        <v>440.12346267465938</v>
      </c>
      <c r="EN66" s="59">
        <f t="shared" si="20"/>
        <v>733.45679600799269</v>
      </c>
      <c r="EO66" s="59">
        <f ca="1">AVERAGE(OFFSET($EN$3,0,0,'Données projet'!$E$15+1,1))-AVERAGE(OFFSET($H$3,0,0,'Données projet'!$E$15+1,1))</f>
        <v>209.93608079129638</v>
      </c>
      <c r="EP66" s="59">
        <f t="shared" si="46"/>
        <v>240.15652428700969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3.6171286085049443</v>
      </c>
      <c r="EW66" s="21">
        <f>EXP(-LN(2)/25)*EW65+(1-EXP(-LN(2)/25))/(LN(2)/25)*Calculateur!ER66*Calculateur!ET66*VLOOKUP('Données projet'!$B$15,Paramètres!$A$1:$I$89,3,0)*0.475*44/12</f>
        <v>8.3262836418334345</v>
      </c>
      <c r="EX66" s="21">
        <f>EXP(-LN(2)/2)*EX65+(1-EXP(-LN(2)/2))/(LN(2)/2)*ER66*EU66*VLOOKUP('Données projet'!$B$15,Paramètres!$A$1:$I$89,3,0)*0.475*44/12</f>
        <v>2.1785068604070171E-4</v>
      </c>
      <c r="EY66" s="22">
        <f t="shared" si="21"/>
        <v>11.94363010102442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4.0999999999999996</v>
      </c>
      <c r="N67" s="13">
        <f>IF('Données projet'!$A$36&gt;35,N66+M67-V66,IF(A67&lt;'Données projet'!$A$36,$K$205^A67,IF(A67='Données projet'!$A$36,'Données projet'!$B$36,N66+M67-V66)))</f>
        <v>249.39999999999972</v>
      </c>
      <c r="O67" s="13">
        <f>N67*VLOOKUP('Données projet'!$B$9,Paramètres!$A$1:$I$89,3,0)*VLOOKUP('Données projet'!$B$9,Paramètres!$A$1:$I$89,5,0)</f>
        <v>198.4226399999998</v>
      </c>
      <c r="P67" s="13">
        <f t="shared" si="33"/>
        <v>49.397352151183213</v>
      </c>
      <c r="Q67" s="20">
        <f t="shared" ref="Q67:Q98" si="54">(O67+P67)*0.475*44/12</f>
        <v>431.61981966331041</v>
      </c>
      <c r="R67" s="59">
        <f t="shared" ref="R67:R130" si="55">Q67+(I67+J67)*44/12</f>
        <v>724.95315299664367</v>
      </c>
      <c r="S67" s="59">
        <f ca="1">AVERAGE(OFFSET($R$3,0,0,'Données projet'!$E$9+1,1))-AVERAGE(OFFSET($H$3,0,0,'Données projet'!$E$9+1,1))</f>
        <v>199.58763537752952</v>
      </c>
      <c r="T67" s="59">
        <f t="shared" si="34"/>
        <v>242.62852778451929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4.0060655192240358</v>
      </c>
      <c r="AB67" s="21">
        <f>EXP(-LN(2)/2)*AB66+(1-EXP(-LN(2)/2))/(LN(2)/2)*V67*Y67*VLOOKUP('Données projet'!$B$9,Paramètres!$A$1:$I$89,3,0)*0.475*44/12</f>
        <v>8.2104174752961883E-5</v>
      </c>
      <c r="AC67" s="22">
        <f t="shared" si="3"/>
        <v>4.0061476233987889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15.7</v>
      </c>
      <c r="AI67" s="13">
        <f>IF('Données projet'!$A$62&gt;35,AI66+AH67-AQ66,IF(A67&lt;'Données projet'!$A$62,$AF$205^A67,IF(A67='Données projet'!$A$62,'Données projet'!$B$62,AI66+AH67-AQ66)))</f>
        <v>401.80000000000018</v>
      </c>
      <c r="AJ67" s="13">
        <f>AI67*VLOOKUP('Données projet'!$B$10,Paramètres!$A$1:$I$89,3,0)*VLOOKUP('Données projet'!$B$10,Paramètres!$A$1:$I$89,5,0)</f>
        <v>240.27640000000011</v>
      </c>
      <c r="AK67" s="13">
        <f t="shared" si="35"/>
        <v>58.498995304358836</v>
      </c>
      <c r="AL67" s="20">
        <f t="shared" si="4"/>
        <v>520.36714682175841</v>
      </c>
      <c r="AM67" s="59">
        <f t="shared" si="5"/>
        <v>813.70048015509178</v>
      </c>
      <c r="AN67" s="59">
        <f ca="1">AVERAGE(OFFSET($AM$3,0,0,'Données projet'!$E$10+1,1))-AVERAGE(OFFSET($H$3,0,0,'Données projet'!$E$10+1,1))</f>
        <v>287.78657453117694</v>
      </c>
      <c r="AO67" s="59">
        <f t="shared" si="36"/>
        <v>153.31562485362252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1.4928864214855231</v>
      </c>
      <c r="AV67" s="21">
        <f>EXP(-LN(2)/25)*AV66+(1-EXP(-LN(2)/25))/(LN(2)/25)*Calculateur!AQ67*Calculateur!AS67*VLOOKUP('Données projet'!$B$10,Paramètres!$A$1:$I$89,3,0)*0.475*44/12</f>
        <v>2.2718086562650832</v>
      </c>
      <c r="AW67" s="21">
        <f>EXP(-LN(2)/2)*AW66+(1-EXP(-LN(2)/2))/(LN(2)/2)*AQ67*AT67*VLOOKUP('Données projet'!$B$10,Paramètres!$A$1:$I$89,3,0)*0.475*44/12</f>
        <v>8.4717014986431796E-5</v>
      </c>
      <c r="AX67" s="21">
        <f t="shared" si="6"/>
        <v>3.7647797947655928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12.054615384615385</v>
      </c>
      <c r="BD67" s="12">
        <f>IF('Données projet'!$A$88&gt;35,BD66+BC67-BL66,IF(A67&lt;'Données projet'!$A$88,$BA$205^A67,IF(A67='Données projet'!$A$88,'Données projet'!$B$88,BD66+BC67-BL66)))</f>
        <v>464.54461538461538</v>
      </c>
      <c r="BE67" s="13">
        <f>BD67*VLOOKUP('Données projet'!$B$11,Paramètres!$A$1:$I$89,3,0)*VLOOKUP('Données projet'!$B$11,Paramètres!$A$1:$I$89,5,0)</f>
        <v>277.79768000000001</v>
      </c>
      <c r="BF67" s="13">
        <f t="shared" si="37"/>
        <v>66.501381678302167</v>
      </c>
      <c r="BG67" s="20">
        <f t="shared" si="7"/>
        <v>599.65419908970955</v>
      </c>
      <c r="BH67" s="59">
        <f t="shared" si="8"/>
        <v>892.98753242304292</v>
      </c>
      <c r="BI67" s="59">
        <f ca="1">AVERAGE(OFFSET($BH$3,0,0,'Données projet'!$E$11+1,1))-AVERAGE(OFFSET($H$3,0,0,'Données projet'!$E$11+1,1))</f>
        <v>250.93905519128998</v>
      </c>
      <c r="BJ67" s="59">
        <f t="shared" si="38"/>
        <v>222.32879462265032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0.65336292911493921</v>
      </c>
      <c r="BQ67" s="21">
        <f>EXP(-LN(2)/25)*BQ66+(1-EXP(-LN(2)/25))/(LN(2)/25)*Calculateur!BL67*Calculateur!BN67*VLOOKUP('Données projet'!$B$11,Paramètres!$A$1:$I$89,3,0)*0.475*44/12</f>
        <v>4.5092973731958397</v>
      </c>
      <c r="BR67" s="21">
        <f>EXP(-LN(2)/2)*BR66+(1-EXP(-LN(2)/2))/(LN(2)/2)*BL67*BO67*VLOOKUP('Données projet'!$B$11,Paramètres!$A$1:$I$89,3,0)*0.475*44/12</f>
        <v>1.4399555594226627E-5</v>
      </c>
      <c r="BS67" s="22">
        <f t="shared" si="9"/>
        <v>5.162674701866373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9.1830769230769249</v>
      </c>
      <c r="BY67" s="12">
        <f>IF('Données projet'!$A$114&gt;35,BY66+BX67-CG66,IF(A67&lt;'Données projet'!$A$114,$BV$205^A67,IF(A67='Données projet'!$A$114,'Données projet'!$B$114,BY66+BX67-CG66)))</f>
        <v>324.89384615384608</v>
      </c>
      <c r="BZ67" s="13">
        <f>BY67*VLOOKUP('Données projet'!$B$12,Paramètres!$A$1:$I$89,3,0)*VLOOKUP('Données projet'!$B$12,Paramètres!$A$1:$I$89,5,0)</f>
        <v>194.28651999999997</v>
      </c>
      <c r="CA67" s="13">
        <f t="shared" si="39"/>
        <v>48.486407543748122</v>
      </c>
      <c r="CB67" s="20">
        <f t="shared" si="10"/>
        <v>422.82951547202788</v>
      </c>
      <c r="CC67" s="59">
        <f t="shared" si="11"/>
        <v>716.16284880536114</v>
      </c>
      <c r="CD67" s="59">
        <f ca="1">AVERAGE(OFFSET($CC$3,0,0,'Données projet'!$E$12+1,1))-AVERAGE(OFFSET($H$3,0,0,'Données projet'!$E$12+1,1))</f>
        <v>179.32848817523677</v>
      </c>
      <c r="CE67" s="59">
        <f t="shared" si="40"/>
        <v>131.3292389103035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5.1347251575393491</v>
      </c>
      <c r="CM67" s="21">
        <f>EXP(-LN(2)/2)*CM66+(1-EXP(-LN(2)/2))/(LN(2)/2)*CG67*CJ67*VLOOKUP('Données projet'!$B$12,Paramètres!$A$1:$I$89,3,0)*0.475*44/12</f>
        <v>4.0152506845439457E-5</v>
      </c>
      <c r="CN67" s="22">
        <f t="shared" si="12"/>
        <v>5.1347653100461947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9.2219551282051242</v>
      </c>
      <c r="CT67" s="12">
        <f>IF('Données projet'!$A$140&gt;35,CT66+CS67-DB66,IF(A67&lt;'Données projet'!$A$140,$CQ$205^A67,IF(A67='Données projet'!$A$140,'Données projet'!$B$140,CT66+CS67-DB66)))</f>
        <v>255.85096153846138</v>
      </c>
      <c r="CU67" s="17">
        <f>CT67*VLOOKUP('Données projet'!$B$13,Paramètres!$A$1:$I$89,3,0)*VLOOKUP('Données projet'!$B$13,Paramètres!$A$1:$I$89,5,0)</f>
        <v>231.49394999999984</v>
      </c>
      <c r="CV67" s="13">
        <f t="shared" si="41"/>
        <v>56.605586628604179</v>
      </c>
      <c r="CW67" s="20">
        <f t="shared" si="13"/>
        <v>501.77335962815204</v>
      </c>
      <c r="CX67" s="59">
        <f t="shared" si="14"/>
        <v>795.10669296148535</v>
      </c>
      <c r="CY67" s="59">
        <f ca="1">AVERAGE(OFFSET($CX$3,0,0,'Données projet'!$E$13+1,1))-AVERAGE(OFFSET($H$3,0,0,'Données projet'!$E$13+1,1))</f>
        <v>309.07357540707869</v>
      </c>
      <c r="CZ67" s="59">
        <f t="shared" si="42"/>
        <v>155.9593924683299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4.8</v>
      </c>
      <c r="DO67" s="12">
        <f>IF('Données projet'!$A$166&gt;35,DO66+DN67-DW66,IF(A67&lt;'Données projet'!$A$166,$DL$205^A67,IF(A67='Données projet'!$A$166,'Données projet'!$B$166,DO66+DN67-DW66)))</f>
        <v>208.1999999999999</v>
      </c>
      <c r="DP67" s="17">
        <f>DO67*VLOOKUP('Données projet'!$B$14,Paramètres!$A$1:$I$89,3,0)*VLOOKUP('Données projet'!$B$14,Paramètres!$A$1:$I$89,5,0)</f>
        <v>181.88351999999995</v>
      </c>
      <c r="DQ67" s="13">
        <f t="shared" si="43"/>
        <v>45.740980450513447</v>
      </c>
      <c r="DR67" s="20">
        <f t="shared" si="16"/>
        <v>396.44600495131073</v>
      </c>
      <c r="DS67" s="59">
        <f t="shared" si="17"/>
        <v>689.77933828464404</v>
      </c>
      <c r="DT67" s="59">
        <f ca="1">AVERAGE(OFFSET($DS$3,0,0,'Données projet'!$E$14+1,1))-AVERAGE(OFFSET($H$3,0,0,'Données projet'!$E$14+1,1))</f>
        <v>210.07838338464626</v>
      </c>
      <c r="DU67" s="59">
        <f t="shared" si="44"/>
        <v>241.76003724236273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2.7031153623368156</v>
      </c>
      <c r="EB67" s="21">
        <f>EXP(-LN(2)/25)*EB66+(1-EXP(-LN(2)/25))/(LN(2)/25)*Calculateur!DW67*Calculateur!DY67*VLOOKUP('Données projet'!$B$14,Paramètres!$A$1:$I$89,3,0)*0.475*44/12</f>
        <v>5.2826995911922712</v>
      </c>
      <c r="EC67" s="21">
        <f>EXP(-LN(2)/2)*EC66+(1-EXP(-LN(2)/2))/(LN(2)/2)*DW67*DZ67*VLOOKUP('Données projet'!$B$14,Paramètres!$A$1:$I$89,3,0)*0.475*44/12</f>
        <v>1.2185229851416991E-4</v>
      </c>
      <c r="ED67" s="22">
        <f t="shared" si="18"/>
        <v>7.9859368058276008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6.8</v>
      </c>
      <c r="EJ67" s="12">
        <f>IF('Données projet'!$A$192&gt;35,EJ66+EI67-ER66,IF(A67&lt;'Données projet'!$A$192,$EG$205^A67,IF(A67='Données projet'!$A$192,'Données projet'!$B$192,EJ66+EI67-ER66)))</f>
        <v>331.20000000000033</v>
      </c>
      <c r="EK67" s="17">
        <f>EJ67*VLOOKUP('Données projet'!$B$15,Paramètres!$A$1:$I$89,3,0)*VLOOKUP('Données projet'!$B$15,Paramètres!$A$1:$I$89,5,0)</f>
        <v>206.6688000000002</v>
      </c>
      <c r="EL67" s="13">
        <f t="shared" si="45"/>
        <v>51.206958627992798</v>
      </c>
      <c r="EM67" s="20">
        <f t="shared" si="19"/>
        <v>449.13361294375437</v>
      </c>
      <c r="EN67" s="59">
        <f t="shared" si="20"/>
        <v>742.46694627708769</v>
      </c>
      <c r="EO67" s="59">
        <f ca="1">AVERAGE(OFFSET($EN$3,0,0,'Données projet'!$E$15+1,1))-AVERAGE(OFFSET($H$3,0,0,'Données projet'!$E$15+1,1))</f>
        <v>209.93608079129638</v>
      </c>
      <c r="EP67" s="59">
        <f t="shared" si="46"/>
        <v>240.15652428700969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3.5461989227227666</v>
      </c>
      <c r="EW67" s="21">
        <f>EXP(-LN(2)/25)*EW66+(1-EXP(-LN(2)/25))/(LN(2)/25)*Calculateur!ER67*Calculateur!ET67*VLOOKUP('Données projet'!$B$15,Paramètres!$A$1:$I$89,3,0)*0.475*44/12</f>
        <v>8.0986009777872727</v>
      </c>
      <c r="EX67" s="21">
        <f>EXP(-LN(2)/2)*EX66+(1-EXP(-LN(2)/2))/(LN(2)/2)*ER67*EU67*VLOOKUP('Données projet'!$B$15,Paramètres!$A$1:$I$89,3,0)*0.475*44/12</f>
        <v>1.5404369738552173E-4</v>
      </c>
      <c r="EY67" s="22">
        <f t="shared" si="21"/>
        <v>11.644953944207424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4.0999999999999996</v>
      </c>
      <c r="N68" s="13">
        <f>IF('Données projet'!$A$36&gt;35,N67+M68-V67,IF(A68&lt;'Données projet'!$A$36,$K$205^A68,IF(A68='Données projet'!$A$36,'Données projet'!$B$36,N67+M68-V67)))</f>
        <v>253.49999999999972</v>
      </c>
      <c r="O68" s="13">
        <f>N68*VLOOKUP('Données projet'!$B$9,Paramètres!$A$1:$I$89,3,0)*VLOOKUP('Données projet'!$B$9,Paramètres!$A$1:$I$89,5,0)</f>
        <v>201.68459999999979</v>
      </c>
      <c r="P68" s="13">
        <f t="shared" si="33"/>
        <v>50.114210893233739</v>
      </c>
      <c r="Q68" s="20">
        <f t="shared" si="54"/>
        <v>438.54959563904839</v>
      </c>
      <c r="R68" s="59">
        <f t="shared" si="55"/>
        <v>731.88292897238171</v>
      </c>
      <c r="S68" s="59">
        <f ca="1">AVERAGE(OFFSET($R$3,0,0,'Données projet'!$E$9+1,1))-AVERAGE(OFFSET($H$3,0,0,'Données projet'!$E$9+1,1))</f>
        <v>199.58763537752952</v>
      </c>
      <c r="T68" s="59">
        <f t="shared" si="34"/>
        <v>242.62852778451929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3.8965194469310247</v>
      </c>
      <c r="AB68" s="21">
        <f>EXP(-LN(2)/2)*AB67+(1-EXP(-LN(2)/2))/(LN(2)/2)*V68*Y68*VLOOKUP('Données projet'!$B$9,Paramètres!$A$1:$I$89,3,0)*0.475*44/12</f>
        <v>5.8056418731544678E-5</v>
      </c>
      <c r="AC68" s="22">
        <f t="shared" ref="AC68:AC131" si="57">SUM(Z68:AB68)</f>
        <v>3.8965775033497563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15.7</v>
      </c>
      <c r="AI68" s="13">
        <f>IF('Données projet'!$A$62&gt;35,AI67+AH68-AQ67,IF(A68&lt;'Données projet'!$A$62,$AF$205^A68,IF(A68='Données projet'!$A$62,'Données projet'!$B$62,AI67+AH68-AQ67)))</f>
        <v>417.50000000000017</v>
      </c>
      <c r="AJ68" s="13">
        <f>AI68*VLOOKUP('Données projet'!$B$10,Paramètres!$A$1:$I$89,3,0)*VLOOKUP('Données projet'!$B$10,Paramètres!$A$1:$I$89,5,0)</f>
        <v>249.66500000000013</v>
      </c>
      <c r="AK68" s="13">
        <f t="shared" si="35"/>
        <v>60.514200047035921</v>
      </c>
      <c r="AL68" s="20">
        <f t="shared" ref="AL68:AL131" si="58">(AJ68+AK68)*0.475*44/12</f>
        <v>540.2287734152543</v>
      </c>
      <c r="AM68" s="59">
        <f t="shared" ref="AM68:AM131" si="59">AL68+(AD68+AE68)*44/12</f>
        <v>833.56210674858767</v>
      </c>
      <c r="AN68" s="59">
        <f ca="1">AVERAGE(OFFSET($AM$3,0,0,'Données projet'!$E$10+1,1))-AVERAGE(OFFSET($H$3,0,0,'Données projet'!$E$10+1,1))</f>
        <v>287.78657453117694</v>
      </c>
      <c r="AO68" s="59">
        <f t="shared" si="36"/>
        <v>153.31562485362252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1.4636118293309976</v>
      </c>
      <c r="AV68" s="21">
        <f>EXP(-LN(2)/25)*AV67+(1-EXP(-LN(2)/25))/(LN(2)/25)*Calculateur!AQ68*Calculateur!AS68*VLOOKUP('Données projet'!$B$10,Paramètres!$A$1:$I$89,3,0)*0.475*44/12</f>
        <v>2.2096859290902895</v>
      </c>
      <c r="AW68" s="21">
        <f>EXP(-LN(2)/2)*AW67+(1-EXP(-LN(2)/2))/(LN(2)/2)*AQ68*AT68*VLOOKUP('Données projet'!$B$10,Paramètres!$A$1:$I$89,3,0)*0.475*44/12</f>
        <v>5.9903975778788302E-5</v>
      </c>
      <c r="AX68" s="21">
        <f t="shared" ref="AX68:AX131" si="60">SUM(AU68:AW68)</f>
        <v>3.6733576623970663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12.054615384615385</v>
      </c>
      <c r="BD68" s="12">
        <f>IF('Données projet'!$A$88&gt;35,BD67+BC68-BL67,IF(A68&lt;'Données projet'!$A$88,$BA$205^A68,IF(A68='Données projet'!$A$88,'Données projet'!$B$88,BD67+BC68-BL67)))</f>
        <v>476.59923076923076</v>
      </c>
      <c r="BE68" s="13">
        <f>BD68*VLOOKUP('Données projet'!$B$11,Paramètres!$A$1:$I$89,3,0)*VLOOKUP('Données projet'!$B$11,Paramètres!$A$1:$I$89,5,0)</f>
        <v>285.00634000000002</v>
      </c>
      <c r="BF68" s="13">
        <f t="shared" si="37"/>
        <v>68.023898753685756</v>
      </c>
      <c r="BG68" s="20">
        <f t="shared" ref="BG68:BG131" si="61">(BE68+BF68)*0.475*44/12</f>
        <v>614.86099916266949</v>
      </c>
      <c r="BH68" s="59">
        <f t="shared" ref="BH68:BH131" si="62">BG68+(AY68+AZ68)*44/12</f>
        <v>908.19433249600274</v>
      </c>
      <c r="BI68" s="59">
        <f ca="1">AVERAGE(OFFSET($BH$3,0,0,'Données projet'!$E$11+1,1))-AVERAGE(OFFSET($H$3,0,0,'Données projet'!$E$11+1,1))</f>
        <v>250.93905519128998</v>
      </c>
      <c r="BJ68" s="59">
        <f t="shared" si="38"/>
        <v>222.32879462265032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0.64055088058703225</v>
      </c>
      <c r="BQ68" s="21">
        <f>EXP(-LN(2)/25)*BQ67+(1-EXP(-LN(2)/25))/(LN(2)/25)*Calculateur!BL68*Calculateur!BN68*VLOOKUP('Données projet'!$B$11,Paramètres!$A$1:$I$89,3,0)*0.475*44/12</f>
        <v>4.3859903993921563</v>
      </c>
      <c r="BR68" s="21">
        <f>EXP(-LN(2)/2)*BR67+(1-EXP(-LN(2)/2))/(LN(2)/2)*BL68*BO68*VLOOKUP('Données projet'!$B$11,Paramètres!$A$1:$I$89,3,0)*0.475*44/12</f>
        <v>1.0182023406750334E-5</v>
      </c>
      <c r="BS68" s="22">
        <f t="shared" ref="BS68:BS131" si="63">SUM(BP68:BR68)</f>
        <v>5.0265514620025948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9.1830769230769249</v>
      </c>
      <c r="BY68" s="12">
        <f>IF('Données projet'!$A$114&gt;35,BY67+BX68-CG67,IF(A68&lt;'Données projet'!$A$114,$BV$205^A68,IF(A68='Données projet'!$A$114,'Données projet'!$B$114,BY67+BX68-CG67)))</f>
        <v>334.07692307692298</v>
      </c>
      <c r="BZ68" s="13">
        <f>BY68*VLOOKUP('Données projet'!$B$12,Paramètres!$A$1:$I$89,3,0)*VLOOKUP('Données projet'!$B$12,Paramètres!$A$1:$I$89,5,0)</f>
        <v>199.77799999999996</v>
      </c>
      <c r="CA68" s="13">
        <f t="shared" si="39"/>
        <v>49.695375691492842</v>
      </c>
      <c r="CB68" s="20">
        <f t="shared" ref="CB68:CB131" si="64">(BZ68+CA68)*0.475*44/12</f>
        <v>434.4994626626833</v>
      </c>
      <c r="CC68" s="59">
        <f t="shared" ref="CC68:CC131" si="65">CB68+(BT68+BU68)*44/12</f>
        <v>727.83279599601656</v>
      </c>
      <c r="CD68" s="59">
        <f ca="1">AVERAGE(OFFSET($CC$3,0,0,'Données projet'!$E$12+1,1))-AVERAGE(OFFSET($H$3,0,0,'Données projet'!$E$12+1,1))</f>
        <v>179.32848817523677</v>
      </c>
      <c r="CE68" s="59">
        <f t="shared" si="40"/>
        <v>131.3292389103035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4.9943158280829749</v>
      </c>
      <c r="CM68" s="21">
        <f>EXP(-LN(2)/2)*CM67+(1-EXP(-LN(2)/2))/(LN(2)/2)*CG68*CJ68*VLOOKUP('Données projet'!$B$12,Paramètres!$A$1:$I$89,3,0)*0.475*44/12</f>
        <v>2.839210987204951E-5</v>
      </c>
      <c r="CN68" s="22">
        <f t="shared" ref="CN68:CN131" si="66">SUM(CK68:CM68)</f>
        <v>4.994344220192847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9.2219551282051242</v>
      </c>
      <c r="CT68" s="12">
        <f>IF('Données projet'!$A$140&gt;35,CT67+CS68-DB67,IF(A68&lt;'Données projet'!$A$140,$CQ$205^A68,IF(A68='Données projet'!$A$140,'Données projet'!$B$140,CT67+CS68-DB67)))</f>
        <v>265.07291666666652</v>
      </c>
      <c r="CU68" s="17">
        <f>CT68*VLOOKUP('Données projet'!$B$13,Paramètres!$A$1:$I$89,3,0)*VLOOKUP('Données projet'!$B$13,Paramètres!$A$1:$I$89,5,0)</f>
        <v>239.83797499999986</v>
      </c>
      <c r="CV68" s="13">
        <f t="shared" si="41"/>
        <v>58.404668644128165</v>
      </c>
      <c r="CW68" s="20">
        <f t="shared" ref="CW68:CW131" si="67">(CU68+CV68)*0.475*44/12</f>
        <v>519.4392710135229</v>
      </c>
      <c r="CX68" s="59">
        <f t="shared" ref="CX68:CX131" si="68">CW68+(CO68+CP68)*44/12</f>
        <v>812.77260434685627</v>
      </c>
      <c r="CY68" s="59">
        <f ca="1">AVERAGE(OFFSET($CX$3,0,0,'Données projet'!$E$13+1,1))-AVERAGE(OFFSET($H$3,0,0,'Données projet'!$E$13+1,1))</f>
        <v>309.07357540707869</v>
      </c>
      <c r="CZ68" s="59">
        <f t="shared" si="42"/>
        <v>155.9593924683299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4.8</v>
      </c>
      <c r="DO68" s="12">
        <f>IF('Données projet'!$A$166&gt;35,DO67+DN68-DW67,IF(A68&lt;'Données projet'!$A$166,$DL$205^A68,IF(A68='Données projet'!$A$166,'Données projet'!$B$166,DO67+DN68-DW67)))</f>
        <v>212.99999999999991</v>
      </c>
      <c r="DP68" s="17">
        <f>DO68*VLOOKUP('Données projet'!$B$14,Paramètres!$A$1:$I$89,3,0)*VLOOKUP('Données projet'!$B$14,Paramètres!$A$1:$I$89,5,0)</f>
        <v>186.07679999999993</v>
      </c>
      <c r="DQ68" s="13">
        <f t="shared" si="43"/>
        <v>46.671538591528673</v>
      </c>
      <c r="DR68" s="20">
        <f t="shared" ref="DR68:DR131" si="70">(DP68+DQ68)*0.475*44/12</f>
        <v>405.37002304691231</v>
      </c>
      <c r="DS68" s="59">
        <f t="shared" ref="DS68:DS131" si="71">DR68+(DJ68+DK68)*44/12</f>
        <v>698.70335638024562</v>
      </c>
      <c r="DT68" s="59">
        <f ca="1">AVERAGE(OFFSET($DS$3,0,0,'Données projet'!$E$14+1,1))-AVERAGE(OFFSET($H$3,0,0,'Données projet'!$E$14+1,1))</f>
        <v>210.07838338464626</v>
      </c>
      <c r="DU68" s="59">
        <f t="shared" si="44"/>
        <v>241.76003724236273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2.6501089188189622</v>
      </c>
      <c r="EB68" s="21">
        <f>EXP(-LN(2)/25)*EB67+(1-EXP(-LN(2)/25))/(LN(2)/25)*Calculateur!DW68*Calculateur!DY68*VLOOKUP('Données projet'!$B$14,Paramètres!$A$1:$I$89,3,0)*0.475*44/12</f>
        <v>5.1382438930660204</v>
      </c>
      <c r="EC68" s="21">
        <f>EXP(-LN(2)/2)*EC67+(1-EXP(-LN(2)/2))/(LN(2)/2)*DW68*DZ68*VLOOKUP('Données projet'!$B$14,Paramètres!$A$1:$I$89,3,0)*0.475*44/12</f>
        <v>8.6162586582537025E-5</v>
      </c>
      <c r="ED68" s="22">
        <f t="shared" ref="ED68:ED131" si="72">SUM(EA68:EC68)</f>
        <v>7.788438974471565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6.8</v>
      </c>
      <c r="EJ68" s="12">
        <f>IF('Données projet'!$A$192&gt;35,EJ67+EI68-ER67,IF(A68&lt;'Données projet'!$A$192,$EG$205^A68,IF(A68='Données projet'!$A$192,'Données projet'!$B$192,EJ67+EI68-ER67)))</f>
        <v>338.00000000000034</v>
      </c>
      <c r="EK68" s="17">
        <f>EJ68*VLOOKUP('Données projet'!$B$15,Paramètres!$A$1:$I$89,3,0)*VLOOKUP('Données projet'!$B$15,Paramètres!$A$1:$I$89,5,0)</f>
        <v>210.91200000000021</v>
      </c>
      <c r="EL68" s="13">
        <f t="shared" si="45"/>
        <v>52.134830352456831</v>
      </c>
      <c r="EM68" s="20">
        <f t="shared" ref="EM68:EM131" si="73">(EK68+EL68)*0.475*44/12</f>
        <v>458.13989619719604</v>
      </c>
      <c r="EN68" s="59">
        <f t="shared" ref="EN68:EN131" si="74">EM68+(EE68+EF68)*44/12</f>
        <v>751.47322953052935</v>
      </c>
      <c r="EO68" s="59">
        <f ca="1">AVERAGE(OFFSET($EN$3,0,0,'Données projet'!$E$15+1,1))-AVERAGE(OFFSET($H$3,0,0,'Données projet'!$E$15+1,1))</f>
        <v>209.93608079129638</v>
      </c>
      <c r="EP68" s="59">
        <f t="shared" si="46"/>
        <v>240.15652428700969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3.4766601248159406</v>
      </c>
      <c r="EW68" s="21">
        <f>EXP(-LN(2)/25)*EW67+(1-EXP(-LN(2)/25))/(LN(2)/25)*Calculateur!ER68*Calculateur!ET68*VLOOKUP('Données projet'!$B$15,Paramètres!$A$1:$I$89,3,0)*0.475*44/12</f>
        <v>7.8771443081627641</v>
      </c>
      <c r="EX68" s="21">
        <f>EXP(-LN(2)/2)*EX67+(1-EXP(-LN(2)/2))/(LN(2)/2)*ER68*EU68*VLOOKUP('Données projet'!$B$15,Paramètres!$A$1:$I$89,3,0)*0.475*44/12</f>
        <v>1.0892534302035086E-4</v>
      </c>
      <c r="EY68" s="22">
        <f t="shared" ref="EY68:EY131" si="75">SUM(EV68:EX68)</f>
        <v>11.353913358321726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4.0999999999999996</v>
      </c>
      <c r="N69" s="13">
        <f>IF('Données projet'!$A$36&gt;35,N68+M69-V68,IF(A69&lt;'Données projet'!$A$36,$K$205^A69,IF(A69='Données projet'!$A$36,'Données projet'!$B$36,N68+M69-V68)))</f>
        <v>257.59999999999974</v>
      </c>
      <c r="O69" s="13">
        <f>N69*VLOOKUP('Données projet'!$B$9,Paramètres!$A$1:$I$89,3,0)*VLOOKUP('Données projet'!$B$9,Paramètres!$A$1:$I$89,5,0)</f>
        <v>204.94655999999981</v>
      </c>
      <c r="P69" s="13">
        <f t="shared" ref="P69:P132" si="87">EXP(-1.0587+0.8836*LN(O69)+0.284)</f>
        <v>50.829721281867194</v>
      </c>
      <c r="Q69" s="20">
        <f t="shared" si="54"/>
        <v>445.477023232585</v>
      </c>
      <c r="R69" s="59">
        <f t="shared" si="55"/>
        <v>738.81035656591826</v>
      </c>
      <c r="S69" s="59">
        <f ca="1">AVERAGE(OFFSET($R$3,0,0,'Données projet'!$E$9+1,1))-AVERAGE(OFFSET($H$3,0,0,'Données projet'!$E$9+1,1))</f>
        <v>199.58763537752952</v>
      </c>
      <c r="T69" s="59">
        <f t="shared" ref="T69:T132" si="88">$T$3</f>
        <v>242.62852778451929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3.7899689177456439</v>
      </c>
      <c r="AB69" s="21">
        <f>EXP(-LN(2)/2)*AB68+(1-EXP(-LN(2)/2))/(LN(2)/2)*V69*Y69*VLOOKUP('Données projet'!$B$9,Paramètres!$A$1:$I$89,3,0)*0.475*44/12</f>
        <v>4.1052087376480941E-5</v>
      </c>
      <c r="AC69" s="22">
        <f t="shared" si="57"/>
        <v>3.7900099698330205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15.7</v>
      </c>
      <c r="AI69" s="13">
        <f>IF('Données projet'!$A$62&gt;35,AI68+AH69-AQ68,IF(A69&lt;'Données projet'!$A$62,$AF$205^A69,IF(A69='Données projet'!$A$62,'Données projet'!$B$62,AI68+AH69-AQ68)))</f>
        <v>433.20000000000016</v>
      </c>
      <c r="AJ69" s="13">
        <f>AI69*VLOOKUP('Données projet'!$B$10,Paramètres!$A$1:$I$89,3,0)*VLOOKUP('Données projet'!$B$10,Paramètres!$A$1:$I$89,5,0)</f>
        <v>259.05360000000013</v>
      </c>
      <c r="AK69" s="13">
        <f t="shared" ref="AK69:AK132" si="89">EXP(-1.0587+0.8836*LN(AJ69)+0.284)</f>
        <v>62.520600926056744</v>
      </c>
      <c r="AL69" s="20">
        <f t="shared" si="58"/>
        <v>560.07506661288232</v>
      </c>
      <c r="AM69" s="59">
        <f t="shared" si="59"/>
        <v>853.4083999462157</v>
      </c>
      <c r="AN69" s="59">
        <f ca="1">AVERAGE(OFFSET($AM$3,0,0,'Données projet'!$E$10+1,1))-AVERAGE(OFFSET($H$3,0,0,'Données projet'!$E$10+1,1))</f>
        <v>287.78657453117694</v>
      </c>
      <c r="AO69" s="59">
        <f t="shared" ref="AO69:AO132" si="90">$AO$3</f>
        <v>153.31562485362252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1.4349112940728843</v>
      </c>
      <c r="AV69" s="21">
        <f>EXP(-LN(2)/25)*AV68+(1-EXP(-LN(2)/25))/(LN(2)/25)*Calculateur!AQ69*Calculateur!AS69*VLOOKUP('Données projet'!$B$10,Paramètres!$A$1:$I$89,3,0)*0.475*44/12</f>
        <v>2.149261951156983</v>
      </c>
      <c r="AW69" s="21">
        <f>EXP(-LN(2)/2)*AW68+(1-EXP(-LN(2)/2))/(LN(2)/2)*AQ69*AT69*VLOOKUP('Données projet'!$B$10,Paramètres!$A$1:$I$89,3,0)*0.475*44/12</f>
        <v>4.2358507493215905E-5</v>
      </c>
      <c r="AX69" s="21">
        <f t="shared" si="60"/>
        <v>3.5842156037373605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488.65384615384613</v>
      </c>
      <c r="BB69" s="12">
        <f>VLOOKUP(A69,'Données projet'!$A$87:$I$107,9,0)</f>
        <v>12.054615384615385</v>
      </c>
      <c r="BC69" s="12">
        <f t="array" ref="BC69">INDEX(BB:BB,MIN(IF(ISNUMBER(BB69:BB265),ROW(BB69:BB265),"")))</f>
        <v>12.054615384615385</v>
      </c>
      <c r="BD69" s="12">
        <f>IF('Données projet'!$A$88&gt;35,BD68+BC69-BL68,IF(A69&lt;'Données projet'!$A$88,$BA$205^A69,IF(A69='Données projet'!$A$88,'Données projet'!$B$88,BD68+BC69-BL68)))</f>
        <v>488.65384615384613</v>
      </c>
      <c r="BE69" s="13">
        <f>BD69*VLOOKUP('Données projet'!$B$11,Paramètres!$A$1:$I$89,3,0)*VLOOKUP('Données projet'!$B$11,Paramètres!$A$1:$I$89,5,0)</f>
        <v>292.21500000000003</v>
      </c>
      <c r="BF69" s="13">
        <f t="shared" ref="BF69:BF132" si="91">EXP(-1.0587+0.8836*LN(BE69)+0.284)</f>
        <v>69.541939469490984</v>
      </c>
      <c r="BG69" s="20">
        <f t="shared" si="61"/>
        <v>630.06000290936356</v>
      </c>
      <c r="BH69" s="59">
        <f t="shared" si="62"/>
        <v>923.39333624269693</v>
      </c>
      <c r="BI69" s="59">
        <f ca="1">AVERAGE(OFFSET($BH$3,0,0,'Données projet'!$E$11+1,1))-AVERAGE(OFFSET($H$3,0,0,'Données projet'!$E$11+1,1))</f>
        <v>250.93905519128998</v>
      </c>
      <c r="BJ69" s="59">
        <f t="shared" ref="BJ69:BJ132" si="92">$BJ$3</f>
        <v>222.32879462265032</v>
      </c>
      <c r="BK69" s="15">
        <f>IF(ISNA(VLOOKUP(A69,'Données projet'!$A$87:$I$107,3,0)),0,VLOOKUP(A69,'Données projet'!$A$87:$I$107,3,0))</f>
        <v>7</v>
      </c>
      <c r="BL69" s="15">
        <f>IF(ISNA(VLOOKUP(A69,'Données projet'!$A$87:$I$107,4,0)),0,VLOOKUP(A69,'Données projet'!$A$87:$I$107,4,0))</f>
        <v>68.146153846153851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0.62799006851617956</v>
      </c>
      <c r="BQ69" s="21">
        <f>EXP(-LN(2)/25)*BQ68+(1-EXP(-LN(2)/25))/(LN(2)/25)*Calculateur!BL69*Calculateur!BN69*VLOOKUP('Données projet'!$B$11,Paramètres!$A$1:$I$89,3,0)*0.475*44/12</f>
        <v>4.2660552612715668</v>
      </c>
      <c r="BR69" s="21">
        <f>EXP(-LN(2)/2)*BR68+(1-EXP(-LN(2)/2))/(LN(2)/2)*BL69*BO69*VLOOKUP('Données projet'!$B$11,Paramètres!$A$1:$I$89,3,0)*0.475*44/12</f>
        <v>7.1997777971133134E-6</v>
      </c>
      <c r="BS69" s="22">
        <f t="shared" si="63"/>
        <v>4.8940525295655437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9.1830769230769249</v>
      </c>
      <c r="BY69" s="12">
        <f>IF('Données projet'!$A$114&gt;35,BY68+BX69-CG68,IF(A69&lt;'Données projet'!$A$114,$BV$205^A69,IF(A69='Données projet'!$A$114,'Données projet'!$B$114,BY68+BX69-CG68)))</f>
        <v>343.25999999999988</v>
      </c>
      <c r="BZ69" s="13">
        <f>BY69*VLOOKUP('Données projet'!$B$12,Paramètres!$A$1:$I$89,3,0)*VLOOKUP('Données projet'!$B$12,Paramètres!$A$1:$I$89,5,0)</f>
        <v>205.26947999999996</v>
      </c>
      <c r="CA69" s="13">
        <f t="shared" ref="CA69:CA132" si="93">EXP(-1.0587+0.8836*LN(BZ69)+0.284)</f>
        <v>50.900481301079942</v>
      </c>
      <c r="CB69" s="20">
        <f t="shared" si="64"/>
        <v>446.16268259938084</v>
      </c>
      <c r="CC69" s="59">
        <f t="shared" si="65"/>
        <v>739.49601593271416</v>
      </c>
      <c r="CD69" s="59">
        <f ca="1">AVERAGE(OFFSET($CC$3,0,0,'Données projet'!$E$12+1,1))-AVERAGE(OFFSET($H$3,0,0,'Données projet'!$E$12+1,1))</f>
        <v>179.32848817523677</v>
      </c>
      <c r="CE69" s="59">
        <f t="shared" ref="CE69:CE132" si="94">$CE$3</f>
        <v>131.3292389103035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4.8577459991243916</v>
      </c>
      <c r="CM69" s="21">
        <f>EXP(-LN(2)/2)*CM68+(1-EXP(-LN(2)/2))/(LN(2)/2)*CG69*CJ69*VLOOKUP('Données projet'!$B$12,Paramètres!$A$1:$I$89,3,0)*0.475*44/12</f>
        <v>2.0076253422719728E-5</v>
      </c>
      <c r="CN69" s="22">
        <f t="shared" si="66"/>
        <v>4.857766075377814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274.29487179487177</v>
      </c>
      <c r="CR69" s="12">
        <f>VLOOKUP(A69,'Données projet'!$A$139:$I$159,9,0)</f>
        <v>9.2219551282051242</v>
      </c>
      <c r="CS69" s="12">
        <f t="array" ref="CS69">INDEX(CR:CR,MIN(IF(ISNUMBER(CR69:CR265),ROW(CR69:CR265),"")))</f>
        <v>9.2219551282051242</v>
      </c>
      <c r="CT69" s="12">
        <f>IF('Données projet'!$A$140&gt;35,CT68+CS69-DB68,IF(A69&lt;'Données projet'!$A$140,$CQ$205^A69,IF(A69='Données projet'!$A$140,'Données projet'!$B$140,CT68+CS69-DB68)))</f>
        <v>274.29487179487165</v>
      </c>
      <c r="CU69" s="17">
        <f>CT69*VLOOKUP('Données projet'!$B$13,Paramètres!$A$1:$I$89,3,0)*VLOOKUP('Données projet'!$B$13,Paramètres!$A$1:$I$89,5,0)</f>
        <v>248.18199999999985</v>
      </c>
      <c r="CV69" s="13">
        <f t="shared" ref="CV69:CV132" si="95">EXP(-1.0587+0.8836*LN(CU69)+0.284)</f>
        <v>60.196478304365186</v>
      </c>
      <c r="CW69" s="20">
        <f t="shared" si="67"/>
        <v>537.09251638010244</v>
      </c>
      <c r="CX69" s="59">
        <f t="shared" si="68"/>
        <v>830.42584971343581</v>
      </c>
      <c r="CY69" s="59">
        <f ca="1">AVERAGE(OFFSET($CX$3,0,0,'Données projet'!$E$13+1,1))-AVERAGE(OFFSET($H$3,0,0,'Données projet'!$E$13+1,1))</f>
        <v>309.07357540707869</v>
      </c>
      <c r="CZ69" s="59">
        <f t="shared" ref="CZ69:CZ132" si="96">$CZ$3</f>
        <v>155.9593924683299</v>
      </c>
      <c r="DA69" s="15">
        <f>IF(ISNA(VLOOKUP(A69,'Données projet'!$A$139:$I$159,3,0)),0,VLOOKUP(A69,'Données projet'!$A$139:$I$159,3,0))</f>
        <v>5</v>
      </c>
      <c r="DB69" s="15">
        <f>IF(ISNA(VLOOKUP(A69,'Données projet'!$A$139:$I$159,4,0)),0,VLOOKUP(A69,'Données projet'!$A$139:$I$159,4,0))</f>
        <v>54.141025641025635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4.8</v>
      </c>
      <c r="DO69" s="12">
        <f>IF('Données projet'!$A$166&gt;35,DO68+DN69-DW68,IF(A69&lt;'Données projet'!$A$166,$DL$205^A69,IF(A69='Données projet'!$A$166,'Données projet'!$B$166,DO68+DN69-DW68)))</f>
        <v>217.79999999999993</v>
      </c>
      <c r="DP69" s="17">
        <f>DO69*VLOOKUP('Données projet'!$B$14,Paramètres!$A$1:$I$89,3,0)*VLOOKUP('Données projet'!$B$14,Paramètres!$A$1:$I$89,5,0)</f>
        <v>190.27007999999998</v>
      </c>
      <c r="DQ69" s="13">
        <f t="shared" ref="DQ69:DQ132" si="97">EXP(-1.0587+0.8836*LN(DP69)+0.284)</f>
        <v>47.599658767320413</v>
      </c>
      <c r="DR69" s="20">
        <f t="shared" si="70"/>
        <v>414.28979501974965</v>
      </c>
      <c r="DS69" s="59">
        <f t="shared" si="71"/>
        <v>707.62312835308296</v>
      </c>
      <c r="DT69" s="59">
        <f ca="1">AVERAGE(OFFSET($DS$3,0,0,'Données projet'!$E$14+1,1))-AVERAGE(OFFSET($H$3,0,0,'Données projet'!$E$14+1,1))</f>
        <v>210.07838338464626</v>
      </c>
      <c r="DU69" s="59">
        <f t="shared" ref="DU69:DU132" si="98">$DU$3</f>
        <v>241.76003724236273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2.5981418993277559</v>
      </c>
      <c r="EB69" s="21">
        <f>EXP(-LN(2)/25)*EB68+(1-EXP(-LN(2)/25))/(LN(2)/25)*Calculateur!DW69*Calculateur!DY69*VLOOKUP('Données projet'!$B$14,Paramètres!$A$1:$I$89,3,0)*0.475*44/12</f>
        <v>4.9977383436016272</v>
      </c>
      <c r="EC69" s="21">
        <f>EXP(-LN(2)/2)*EC68+(1-EXP(-LN(2)/2))/(LN(2)/2)*DW69*DZ69*VLOOKUP('Données projet'!$B$14,Paramètres!$A$1:$I$89,3,0)*0.475*44/12</f>
        <v>6.0926149257084969E-5</v>
      </c>
      <c r="ED69" s="22">
        <f t="shared" si="72"/>
        <v>7.5959411690786398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6.8</v>
      </c>
      <c r="EJ69" s="12">
        <f>IF('Données projet'!$A$192&gt;35,EJ68+EI69-ER68,IF(A69&lt;'Données projet'!$A$192,$EG$205^A69,IF(A69='Données projet'!$A$192,'Données projet'!$B$192,EJ68+EI69-ER68)))</f>
        <v>344.80000000000035</v>
      </c>
      <c r="EK69" s="17">
        <f>EJ69*VLOOKUP('Données projet'!$B$15,Paramètres!$A$1:$I$89,3,0)*VLOOKUP('Données projet'!$B$15,Paramètres!$A$1:$I$89,5,0)</f>
        <v>215.15520000000021</v>
      </c>
      <c r="EL69" s="13">
        <f t="shared" ref="EL69:EL132" si="99">EXP(-1.0587+0.8836*LN(EK69)+0.284)</f>
        <v>53.060531597402857</v>
      </c>
      <c r="EM69" s="20">
        <f t="shared" si="73"/>
        <v>467.14239919881032</v>
      </c>
      <c r="EN69" s="59">
        <f t="shared" si="74"/>
        <v>760.47573253214364</v>
      </c>
      <c r="EO69" s="59">
        <f ca="1">AVERAGE(OFFSET($EN$3,0,0,'Données projet'!$E$15+1,1))-AVERAGE(OFFSET($H$3,0,0,'Données projet'!$E$15+1,1))</f>
        <v>209.93608079129638</v>
      </c>
      <c r="EP69" s="59">
        <f t="shared" ref="EP69:EP132" si="100">$EP$3</f>
        <v>240.15652428700969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3.4084849403215887</v>
      </c>
      <c r="EW69" s="21">
        <f>EXP(-LN(2)/25)*EW68+(1-EXP(-LN(2)/25))/(LN(2)/25)*Calculateur!ER69*Calculateur!ET69*VLOOKUP('Données projet'!$B$15,Paramètres!$A$1:$I$89,3,0)*0.475*44/12</f>
        <v>7.6617433828150379</v>
      </c>
      <c r="EX69" s="21">
        <f>EXP(-LN(2)/2)*EX68+(1-EXP(-LN(2)/2))/(LN(2)/2)*ER69*EU69*VLOOKUP('Données projet'!$B$15,Paramètres!$A$1:$I$89,3,0)*0.475*44/12</f>
        <v>7.7021848692760864E-5</v>
      </c>
      <c r="EY69" s="22">
        <f t="shared" si="75"/>
        <v>11.07030534498532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4.0999999999999996</v>
      </c>
      <c r="N70" s="13">
        <f>IF('Données projet'!$A$36&gt;35,N69+M70-V69,IF(A70&lt;'Données projet'!$A$36,$K$205^A70,IF(A70='Données projet'!$A$36,'Données projet'!$B$36,N69+M70-V69)))</f>
        <v>261.69999999999976</v>
      </c>
      <c r="O70" s="13">
        <f>N70*VLOOKUP('Données projet'!$B$9,Paramètres!$A$1:$I$89,3,0)*VLOOKUP('Données projet'!$B$9,Paramètres!$A$1:$I$89,5,0)</f>
        <v>208.20851999999979</v>
      </c>
      <c r="P70" s="13">
        <f t="shared" si="87"/>
        <v>51.543907255547111</v>
      </c>
      <c r="Q70" s="20">
        <f t="shared" si="54"/>
        <v>452.40214413674408</v>
      </c>
      <c r="R70" s="59">
        <f t="shared" si="55"/>
        <v>745.7354774700774</v>
      </c>
      <c r="S70" s="59">
        <f ca="1">AVERAGE(OFFSET($R$3,0,0,'Données projet'!$E$9+1,1))-AVERAGE(OFFSET($H$3,0,0,'Données projet'!$E$9+1,1))</f>
        <v>199.58763537752952</v>
      </c>
      <c r="T70" s="59">
        <f t="shared" si="88"/>
        <v>242.62852778451929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3.686332018384086</v>
      </c>
      <c r="AB70" s="21">
        <f>EXP(-LN(2)/2)*AB69+(1-EXP(-LN(2)/2))/(LN(2)/2)*V70*Y70*VLOOKUP('Données projet'!$B$9,Paramètres!$A$1:$I$89,3,0)*0.475*44/12</f>
        <v>2.9028209365772339E-5</v>
      </c>
      <c r="AC70" s="22">
        <f t="shared" si="57"/>
        <v>3.6863610465934515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15.7</v>
      </c>
      <c r="AI70" s="13">
        <f>IF('Données projet'!$A$62&gt;35,AI69+AH70-AQ69,IF(A70&lt;'Données projet'!$A$62,$AF$205^A70,IF(A70='Données projet'!$A$62,'Données projet'!$B$62,AI69+AH70-AQ69)))</f>
        <v>448.90000000000015</v>
      </c>
      <c r="AJ70" s="13">
        <f>AI70*VLOOKUP('Données projet'!$B$10,Paramètres!$A$1:$I$89,3,0)*VLOOKUP('Données projet'!$B$10,Paramètres!$A$1:$I$89,5,0)</f>
        <v>268.44220000000013</v>
      </c>
      <c r="AK70" s="13">
        <f t="shared" si="89"/>
        <v>64.518553558033503</v>
      </c>
      <c r="AL70" s="20">
        <f t="shared" si="58"/>
        <v>579.90664578024189</v>
      </c>
      <c r="AM70" s="59">
        <f t="shared" si="59"/>
        <v>873.23997911357515</v>
      </c>
      <c r="AN70" s="59">
        <f ca="1">AVERAGE(OFFSET($AM$3,0,0,'Données projet'!$E$10+1,1))-AVERAGE(OFFSET($H$3,0,0,'Données projet'!$E$10+1,1))</f>
        <v>287.78657453117694</v>
      </c>
      <c r="AO70" s="59">
        <f t="shared" si="90"/>
        <v>153.31562485362252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1.4067735588055847</v>
      </c>
      <c r="AV70" s="21">
        <f>EXP(-LN(2)/25)*AV69+(1-EXP(-LN(2)/25))/(LN(2)/25)*Calculateur!AQ70*Calculateur!AS70*VLOOKUP('Données projet'!$B$10,Paramètres!$A$1:$I$89,3,0)*0.475*44/12</f>
        <v>2.0904902700778214</v>
      </c>
      <c r="AW70" s="21">
        <f>EXP(-LN(2)/2)*AW69+(1-EXP(-LN(2)/2))/(LN(2)/2)*AQ70*AT70*VLOOKUP('Données projet'!$B$10,Paramètres!$A$1:$I$89,3,0)*0.475*44/12</f>
        <v>2.9951987889394154E-5</v>
      </c>
      <c r="AX70" s="21">
        <f t="shared" si="60"/>
        <v>3.4972937808712956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9.9715384615384544</v>
      </c>
      <c r="BD70" s="12">
        <f>IF('Données projet'!$A$88&gt;35,BD69+BC70-BL69,IF(A70&lt;'Données projet'!$A$88,$BA$205^A70,IF(A70='Données projet'!$A$88,'Données projet'!$B$88,BD69+BC70-BL69)))</f>
        <v>430.47923076923075</v>
      </c>
      <c r="BE70" s="13">
        <f>BD70*VLOOKUP('Données projet'!$B$11,Paramètres!$A$1:$I$89,3,0)*VLOOKUP('Données projet'!$B$11,Paramètres!$A$1:$I$89,5,0)</f>
        <v>257.42658</v>
      </c>
      <c r="BF70" s="13">
        <f t="shared" si="91"/>
        <v>62.173511644566837</v>
      </c>
      <c r="BG70" s="20">
        <f t="shared" si="61"/>
        <v>556.63682628095387</v>
      </c>
      <c r="BH70" s="59">
        <f t="shared" si="62"/>
        <v>849.97015961428724</v>
      </c>
      <c r="BI70" s="59">
        <f ca="1">AVERAGE(OFFSET($BH$3,0,0,'Données projet'!$E$11+1,1))-AVERAGE(OFFSET($H$3,0,0,'Données projet'!$E$11+1,1))</f>
        <v>250.93905519128998</v>
      </c>
      <c r="BJ70" s="59">
        <f t="shared" si="92"/>
        <v>222.32879462265032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0.61567556630869735</v>
      </c>
      <c r="BQ70" s="21">
        <f>EXP(-LN(2)/25)*BQ69+(1-EXP(-LN(2)/25))/(LN(2)/25)*Calculateur!BL70*Calculateur!BN70*VLOOKUP('Données projet'!$B$11,Paramètres!$A$1:$I$89,3,0)*0.475*44/12</f>
        <v>4.1493997558100002</v>
      </c>
      <c r="BR70" s="21">
        <f>EXP(-LN(2)/2)*BR69+(1-EXP(-LN(2)/2))/(LN(2)/2)*BL70*BO70*VLOOKUP('Données projet'!$B$11,Paramètres!$A$1:$I$89,3,0)*0.475*44/12</f>
        <v>5.0910117033751668E-6</v>
      </c>
      <c r="BS70" s="22">
        <f t="shared" si="63"/>
        <v>4.7650804131304012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9.1830769230769249</v>
      </c>
      <c r="BY70" s="12">
        <f>IF('Données projet'!$A$114&gt;35,BY69+BX70-CG69,IF(A70&lt;'Données projet'!$A$114,$BV$205^A70,IF(A70='Données projet'!$A$114,'Données projet'!$B$114,BY69+BX70-CG69)))</f>
        <v>352.44307692307677</v>
      </c>
      <c r="BZ70" s="13">
        <f>BY70*VLOOKUP('Données projet'!$B$12,Paramètres!$A$1:$I$89,3,0)*VLOOKUP('Données projet'!$B$12,Paramètres!$A$1:$I$89,5,0)</f>
        <v>210.76095999999993</v>
      </c>
      <c r="CA70" s="13">
        <f t="shared" si="93"/>
        <v>52.101839581538208</v>
      </c>
      <c r="CB70" s="20">
        <f t="shared" si="64"/>
        <v>457.81937593784551</v>
      </c>
      <c r="CC70" s="59">
        <f t="shared" si="65"/>
        <v>751.15270927117876</v>
      </c>
      <c r="CD70" s="59">
        <f ca="1">AVERAGE(OFFSET($CC$3,0,0,'Données projet'!$E$12+1,1))-AVERAGE(OFFSET($H$3,0,0,'Données projet'!$E$12+1,1))</f>
        <v>179.32848817523677</v>
      </c>
      <c r="CE70" s="59">
        <f t="shared" si="94"/>
        <v>131.3292389103035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4.7249106793205753</v>
      </c>
      <c r="CM70" s="21">
        <f>EXP(-LN(2)/2)*CM69+(1-EXP(-LN(2)/2))/(LN(2)/2)*CG70*CJ70*VLOOKUP('Données projet'!$B$12,Paramètres!$A$1:$I$89,3,0)*0.475*44/12</f>
        <v>1.4196054936024755E-5</v>
      </c>
      <c r="CN70" s="22">
        <f t="shared" si="66"/>
        <v>4.7249248753755113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8.6875</v>
      </c>
      <c r="CT70" s="12">
        <f>IF('Données projet'!$A$140&gt;35,CT69+CS70-DB69,IF(A70&lt;'Données projet'!$A$140,$CQ$205^A70,IF(A70='Données projet'!$A$140,'Données projet'!$B$140,CT69+CS70-DB69)))</f>
        <v>228.84134615384602</v>
      </c>
      <c r="CU70" s="17">
        <f>CT70*VLOOKUP('Données projet'!$B$13,Paramètres!$A$1:$I$89,3,0)*VLOOKUP('Données projet'!$B$13,Paramètres!$A$1:$I$89,5,0)</f>
        <v>207.05564999999984</v>
      </c>
      <c r="CV70" s="13">
        <f t="shared" si="95"/>
        <v>51.291643354789841</v>
      </c>
      <c r="CW70" s="20">
        <f t="shared" si="67"/>
        <v>449.95486925959204</v>
      </c>
      <c r="CX70" s="59">
        <f t="shared" si="68"/>
        <v>743.28820259292536</v>
      </c>
      <c r="CY70" s="59">
        <f ca="1">AVERAGE(OFFSET($CX$3,0,0,'Données projet'!$E$13+1,1))-AVERAGE(OFFSET($H$3,0,0,'Données projet'!$E$13+1,1))</f>
        <v>309.07357540707869</v>
      </c>
      <c r="CZ70" s="59">
        <f t="shared" si="96"/>
        <v>155.9593924683299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4.8</v>
      </c>
      <c r="DO70" s="12">
        <f>IF('Données projet'!$A$166&gt;35,DO69+DN70-DW69,IF(A70&lt;'Données projet'!$A$166,$DL$205^A70,IF(A70='Données projet'!$A$166,'Données projet'!$B$166,DO69+DN70-DW69)))</f>
        <v>222.59999999999994</v>
      </c>
      <c r="DP70" s="17">
        <f>DO70*VLOOKUP('Données projet'!$B$14,Paramètres!$A$1:$I$89,3,0)*VLOOKUP('Données projet'!$B$14,Paramètres!$A$1:$I$89,5,0)</f>
        <v>194.46335999999997</v>
      </c>
      <c r="DQ70" s="13">
        <f t="shared" si="97"/>
        <v>48.525400894162644</v>
      </c>
      <c r="DR70" s="20">
        <f t="shared" si="70"/>
        <v>423.20542522399984</v>
      </c>
      <c r="DS70" s="59">
        <f t="shared" si="71"/>
        <v>716.53875855733315</v>
      </c>
      <c r="DT70" s="59">
        <f ca="1">AVERAGE(OFFSET($DS$3,0,0,'Données projet'!$E$14+1,1))-AVERAGE(OFFSET($H$3,0,0,'Données projet'!$E$14+1,1))</f>
        <v>210.07838338464626</v>
      </c>
      <c r="DU70" s="59">
        <f t="shared" si="98"/>
        <v>241.76003724236273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2.5471939213920201</v>
      </c>
      <c r="EB70" s="21">
        <f>EXP(-LN(2)/25)*EB69+(1-EXP(-LN(2)/25))/(LN(2)/25)*Calculateur!DW70*Calculateur!DY70*VLOOKUP('Données projet'!$B$14,Paramètres!$A$1:$I$89,3,0)*0.475*44/12</f>
        <v>4.8610749257762036</v>
      </c>
      <c r="EC70" s="21">
        <f>EXP(-LN(2)/2)*EC69+(1-EXP(-LN(2)/2))/(LN(2)/2)*DW70*DZ70*VLOOKUP('Données projet'!$B$14,Paramètres!$A$1:$I$89,3,0)*0.475*44/12</f>
        <v>4.3081293291268519E-5</v>
      </c>
      <c r="ED70" s="22">
        <f t="shared" si="72"/>
        <v>7.4083119284615142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6.8</v>
      </c>
      <c r="EJ70" s="12">
        <f>IF('Données projet'!$A$192&gt;35,EJ69+EI70-ER69,IF(A70&lt;'Données projet'!$A$192,$EG$205^A70,IF(A70='Données projet'!$A$192,'Données projet'!$B$192,EJ69+EI70-ER69)))</f>
        <v>351.60000000000036</v>
      </c>
      <c r="EK70" s="17">
        <f>EJ70*VLOOKUP('Données projet'!$B$15,Paramètres!$A$1:$I$89,3,0)*VLOOKUP('Données projet'!$B$15,Paramètres!$A$1:$I$89,5,0)</f>
        <v>219.39840000000024</v>
      </c>
      <c r="EL70" s="13">
        <f t="shared" si="99"/>
        <v>53.984110102082091</v>
      </c>
      <c r="EM70" s="20">
        <f t="shared" si="73"/>
        <v>476.14120509446002</v>
      </c>
      <c r="EN70" s="59">
        <f t="shared" si="74"/>
        <v>769.47453842779328</v>
      </c>
      <c r="EO70" s="59">
        <f ca="1">AVERAGE(OFFSET($EN$3,0,0,'Données projet'!$E$15+1,1))-AVERAGE(OFFSET($H$3,0,0,'Données projet'!$E$15+1,1))</f>
        <v>209.93608079129638</v>
      </c>
      <c r="EP70" s="59">
        <f t="shared" si="100"/>
        <v>240.15652428700969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3.3416466296124145</v>
      </c>
      <c r="EW70" s="21">
        <f>EXP(-LN(2)/25)*EW69+(1-EXP(-LN(2)/25))/(LN(2)/25)*Calculateur!ER70*Calculateur!ET70*VLOOKUP('Données projet'!$B$15,Paramètres!$A$1:$I$89,3,0)*0.475*44/12</f>
        <v>7.4522326070983871</v>
      </c>
      <c r="EX70" s="21">
        <f>EXP(-LN(2)/2)*EX69+(1-EXP(-LN(2)/2))/(LN(2)/2)*ER70*EU70*VLOOKUP('Données projet'!$B$15,Paramètres!$A$1:$I$89,3,0)*0.475*44/12</f>
        <v>5.4462671510175429E-5</v>
      </c>
      <c r="EY70" s="22">
        <f t="shared" si="75"/>
        <v>10.793933699382311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4.0999999999999996</v>
      </c>
      <c r="N71" s="13">
        <f>IF('Données projet'!$A$36&gt;35,N70+M71-V70,IF(A71&lt;'Données projet'!$A$36,$K$205^A71,IF(A71='Données projet'!$A$36,'Données projet'!$B$36,N70+M71-V70)))</f>
        <v>265.79999999999978</v>
      </c>
      <c r="O71" s="13">
        <f>N71*VLOOKUP('Données projet'!$B$9,Paramètres!$A$1:$I$89,3,0)*VLOOKUP('Données projet'!$B$9,Paramètres!$A$1:$I$89,5,0)</f>
        <v>211.47047999999981</v>
      </c>
      <c r="P71" s="13">
        <f t="shared" si="87"/>
        <v>52.256791959630746</v>
      </c>
      <c r="Q71" s="20">
        <f t="shared" si="54"/>
        <v>459.32499866302322</v>
      </c>
      <c r="R71" s="59">
        <f t="shared" si="55"/>
        <v>752.65833199635654</v>
      </c>
      <c r="S71" s="59">
        <f ca="1">AVERAGE(OFFSET($R$3,0,0,'Données projet'!$E$9+1,1))-AVERAGE(OFFSET($H$3,0,0,'Données projet'!$E$9+1,1))</f>
        <v>199.58763537752952</v>
      </c>
      <c r="T71" s="59">
        <f t="shared" si="88"/>
        <v>242.62852778451929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3.5855290754855975</v>
      </c>
      <c r="AB71" s="21">
        <f>EXP(-LN(2)/2)*AB70+(1-EXP(-LN(2)/2))/(LN(2)/2)*V71*Y71*VLOOKUP('Données projet'!$B$9,Paramètres!$A$1:$I$89,3,0)*0.475*44/12</f>
        <v>2.0526043688240471E-5</v>
      </c>
      <c r="AC71" s="22">
        <f t="shared" si="57"/>
        <v>3.5855496015292858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15.7</v>
      </c>
      <c r="AI71" s="13">
        <f>IF('Données projet'!$A$62&gt;35,AI70+AH71-AQ70,IF(A71&lt;'Données projet'!$A$62,$AF$205^A71,IF(A71='Données projet'!$A$62,'Données projet'!$B$62,AI70+AH71-AQ70)))</f>
        <v>464.60000000000014</v>
      </c>
      <c r="AJ71" s="13">
        <f>AI71*VLOOKUP('Données projet'!$B$10,Paramètres!$A$1:$I$89,3,0)*VLOOKUP('Données projet'!$B$10,Paramètres!$A$1:$I$89,5,0)</f>
        <v>277.83080000000007</v>
      </c>
      <c r="AK71" s="13">
        <f t="shared" si="89"/>
        <v>66.508387274098368</v>
      </c>
      <c r="AL71" s="20">
        <f t="shared" si="58"/>
        <v>599.72408450238811</v>
      </c>
      <c r="AM71" s="59">
        <f t="shared" si="59"/>
        <v>893.05741783572148</v>
      </c>
      <c r="AN71" s="59">
        <f ca="1">AVERAGE(OFFSET($AM$3,0,0,'Données projet'!$E$10+1,1))-AVERAGE(OFFSET($H$3,0,0,'Données projet'!$E$10+1,1))</f>
        <v>287.78657453117694</v>
      </c>
      <c r="AO71" s="59">
        <f t="shared" si="90"/>
        <v>153.31562485362252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1.3791875873645529</v>
      </c>
      <c r="AV71" s="21">
        <f>EXP(-LN(2)/25)*AV70+(1-EXP(-LN(2)/25))/(LN(2)/25)*Calculateur!AQ71*Calculateur!AS71*VLOOKUP('Données projet'!$B$10,Paramètres!$A$1:$I$89,3,0)*0.475*44/12</f>
        <v>2.0333257037084378</v>
      </c>
      <c r="AW71" s="21">
        <f>EXP(-LN(2)/2)*AW70+(1-EXP(-LN(2)/2))/(LN(2)/2)*AQ71*AT71*VLOOKUP('Données projet'!$B$10,Paramètres!$A$1:$I$89,3,0)*0.475*44/12</f>
        <v>2.1179253746607956E-5</v>
      </c>
      <c r="AX71" s="21">
        <f t="shared" si="60"/>
        <v>3.4125344703267375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9.9715384615384544</v>
      </c>
      <c r="BD71" s="12">
        <f>IF('Données projet'!$A$88&gt;35,BD70+BC71-BL70,IF(A71&lt;'Données projet'!$A$88,$BA$205^A71,IF(A71='Données projet'!$A$88,'Données projet'!$B$88,BD70+BC71-BL70)))</f>
        <v>440.4507692307692</v>
      </c>
      <c r="BE71" s="13">
        <f>BD71*VLOOKUP('Données projet'!$B$11,Paramètres!$A$1:$I$89,3,0)*VLOOKUP('Données projet'!$B$11,Paramètres!$A$1:$I$89,5,0)</f>
        <v>263.38956000000002</v>
      </c>
      <c r="BF71" s="13">
        <f t="shared" si="91"/>
        <v>63.444349611612601</v>
      </c>
      <c r="BG71" s="20">
        <f t="shared" si="61"/>
        <v>569.23572590689196</v>
      </c>
      <c r="BH71" s="59">
        <f t="shared" si="62"/>
        <v>862.56905924022522</v>
      </c>
      <c r="BI71" s="59">
        <f ca="1">AVERAGE(OFFSET($BH$3,0,0,'Données projet'!$E$11+1,1))-AVERAGE(OFFSET($H$3,0,0,'Données projet'!$E$11+1,1))</f>
        <v>250.93905519128998</v>
      </c>
      <c r="BJ71" s="59">
        <f t="shared" si="92"/>
        <v>222.32879462265032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0.60360254397839919</v>
      </c>
      <c r="BQ71" s="21">
        <f>EXP(-LN(2)/25)*BQ70+(1-EXP(-LN(2)/25))/(LN(2)/25)*Calculateur!BL71*Calculateur!BN71*VLOOKUP('Données projet'!$B$11,Paramètres!$A$1:$I$89,3,0)*0.475*44/12</f>
        <v>4.0359342012799262</v>
      </c>
      <c r="BR71" s="21">
        <f>EXP(-LN(2)/2)*BR70+(1-EXP(-LN(2)/2))/(LN(2)/2)*BL71*BO71*VLOOKUP('Données projet'!$B$11,Paramètres!$A$1:$I$89,3,0)*0.475*44/12</f>
        <v>3.5998888985566567E-6</v>
      </c>
      <c r="BS71" s="22">
        <f t="shared" si="63"/>
        <v>4.6395403451472248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9.1830769230769249</v>
      </c>
      <c r="BY71" s="12">
        <f>IF('Données projet'!$A$114&gt;35,BY70+BX71-CG70,IF(A71&lt;'Données projet'!$A$114,$BV$205^A71,IF(A71='Données projet'!$A$114,'Données projet'!$B$114,BY70+BX71-CG70)))</f>
        <v>361.62615384615367</v>
      </c>
      <c r="BZ71" s="13">
        <f>BY71*VLOOKUP('Données projet'!$B$12,Paramètres!$A$1:$I$89,3,0)*VLOOKUP('Données projet'!$B$12,Paramètres!$A$1:$I$89,5,0)</f>
        <v>216.25243999999989</v>
      </c>
      <c r="CA71" s="13">
        <f t="shared" si="93"/>
        <v>53.299559396285737</v>
      </c>
      <c r="CB71" s="20">
        <f t="shared" si="64"/>
        <v>469.46973228186403</v>
      </c>
      <c r="CC71" s="59">
        <f t="shared" si="65"/>
        <v>762.80306561519728</v>
      </c>
      <c r="CD71" s="59">
        <f ca="1">AVERAGE(OFFSET($CC$3,0,0,'Données projet'!$E$12+1,1))-AVERAGE(OFFSET($H$3,0,0,'Données projet'!$E$12+1,1))</f>
        <v>179.32848817523677</v>
      </c>
      <c r="CE71" s="59">
        <f t="shared" si="94"/>
        <v>131.3292389103035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4.5957077483223001</v>
      </c>
      <c r="CM71" s="21">
        <f>EXP(-LN(2)/2)*CM70+(1-EXP(-LN(2)/2))/(LN(2)/2)*CG71*CJ71*VLOOKUP('Données projet'!$B$12,Paramètres!$A$1:$I$89,3,0)*0.475*44/12</f>
        <v>1.0038126711359864E-5</v>
      </c>
      <c r="CN71" s="22">
        <f t="shared" si="66"/>
        <v>4.5957177864490113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8.6875</v>
      </c>
      <c r="CT71" s="12">
        <f>IF('Données projet'!$A$140&gt;35,CT70+CS71-DB70,IF(A71&lt;'Données projet'!$A$140,$CQ$205^A71,IF(A71='Données projet'!$A$140,'Données projet'!$B$140,CT70+CS71-DB70)))</f>
        <v>237.52884615384602</v>
      </c>
      <c r="CU71" s="17">
        <f>CT71*VLOOKUP('Données projet'!$B$13,Paramètres!$A$1:$I$89,3,0)*VLOOKUP('Données projet'!$B$13,Paramètres!$A$1:$I$89,5,0)</f>
        <v>214.91609999999989</v>
      </c>
      <c r="CV71" s="13">
        <f t="shared" si="95"/>
        <v>53.008426149576081</v>
      </c>
      <c r="CW71" s="20">
        <f t="shared" si="67"/>
        <v>466.6352163771781</v>
      </c>
      <c r="CX71" s="59">
        <f t="shared" si="68"/>
        <v>759.96854971051141</v>
      </c>
      <c r="CY71" s="59">
        <f ca="1">AVERAGE(OFFSET($CX$3,0,0,'Données projet'!$E$13+1,1))-AVERAGE(OFFSET($H$3,0,0,'Données projet'!$E$13+1,1))</f>
        <v>309.07357540707869</v>
      </c>
      <c r="CZ71" s="59">
        <f t="shared" si="96"/>
        <v>155.9593924683299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4.8</v>
      </c>
      <c r="DO71" s="12">
        <f>IF('Données projet'!$A$166&gt;35,DO70+DN71-DW70,IF(A71&lt;'Données projet'!$A$166,$DL$205^A71,IF(A71='Données projet'!$A$166,'Données projet'!$B$166,DO70+DN71-DW70)))</f>
        <v>227.39999999999995</v>
      </c>
      <c r="DP71" s="17">
        <f>DO71*VLOOKUP('Données projet'!$B$14,Paramètres!$A$1:$I$89,3,0)*VLOOKUP('Données projet'!$B$14,Paramètres!$A$1:$I$89,5,0)</f>
        <v>198.65663999999998</v>
      </c>
      <c r="DQ71" s="13">
        <f t="shared" si="97"/>
        <v>49.448822156743425</v>
      </c>
      <c r="DR71" s="20">
        <f t="shared" si="70"/>
        <v>432.11701325632811</v>
      </c>
      <c r="DS71" s="59">
        <f t="shared" si="71"/>
        <v>725.45034658966142</v>
      </c>
      <c r="DT71" s="59">
        <f ca="1">AVERAGE(OFFSET($DS$3,0,0,'Données projet'!$E$14+1,1))-AVERAGE(OFFSET($H$3,0,0,'Données projet'!$E$14+1,1))</f>
        <v>210.07838338464626</v>
      </c>
      <c r="DU71" s="59">
        <f t="shared" si="98"/>
        <v>241.76003724236273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2.4972450022284058</v>
      </c>
      <c r="EB71" s="21">
        <f>EXP(-LN(2)/25)*EB70+(1-EXP(-LN(2)/25))/(LN(2)/25)*Calculateur!DW71*Calculateur!DY71*VLOOKUP('Données projet'!$B$14,Paramètres!$A$1:$I$89,3,0)*0.475*44/12</f>
        <v>4.7281485762980333</v>
      </c>
      <c r="EC71" s="21">
        <f>EXP(-LN(2)/2)*EC70+(1-EXP(-LN(2)/2))/(LN(2)/2)*DW71*DZ71*VLOOKUP('Données projet'!$B$14,Paramètres!$A$1:$I$89,3,0)*0.475*44/12</f>
        <v>3.0463074628542488E-5</v>
      </c>
      <c r="ED71" s="22">
        <f t="shared" si="72"/>
        <v>7.2254240416010678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6.8</v>
      </c>
      <c r="EJ71" s="12">
        <f>IF('Données projet'!$A$192&gt;35,EJ70+EI71-ER70,IF(A71&lt;'Données projet'!$A$192,$EG$205^A71,IF(A71='Données projet'!$A$192,'Données projet'!$B$192,EJ70+EI71-ER70)))</f>
        <v>358.40000000000038</v>
      </c>
      <c r="EK71" s="17">
        <f>EJ71*VLOOKUP('Données projet'!$B$15,Paramètres!$A$1:$I$89,3,0)*VLOOKUP('Données projet'!$B$15,Paramètres!$A$1:$I$89,5,0)</f>
        <v>223.64160000000024</v>
      </c>
      <c r="EL71" s="13">
        <f t="shared" si="99"/>
        <v>54.905611653539268</v>
      </c>
      <c r="EM71" s="20">
        <f t="shared" si="73"/>
        <v>485.13639362991461</v>
      </c>
      <c r="EN71" s="59">
        <f t="shared" si="74"/>
        <v>778.46972696324792</v>
      </c>
      <c r="EO71" s="59">
        <f ca="1">AVERAGE(OFFSET($EN$3,0,0,'Données projet'!$E$15+1,1))-AVERAGE(OFFSET($H$3,0,0,'Données projet'!$E$15+1,1))</f>
        <v>209.93608079129638</v>
      </c>
      <c r="EP71" s="59">
        <f t="shared" si="100"/>
        <v>240.15652428700969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3.2761189774089035</v>
      </c>
      <c r="EW71" s="21">
        <f>EXP(-LN(2)/25)*EW70+(1-EXP(-LN(2)/25))/(LN(2)/25)*Calculateur!ER71*Calculateur!ET71*VLOOKUP('Données projet'!$B$15,Paramètres!$A$1:$I$89,3,0)*0.475*44/12</f>
        <v>7.2484509145614009</v>
      </c>
      <c r="EX71" s="21">
        <f>EXP(-LN(2)/2)*EX70+(1-EXP(-LN(2)/2))/(LN(2)/2)*ER71*EU71*VLOOKUP('Données projet'!$B$15,Paramètres!$A$1:$I$89,3,0)*0.475*44/12</f>
        <v>3.8510924346380432E-5</v>
      </c>
      <c r="EY71" s="22">
        <f t="shared" si="75"/>
        <v>10.524608402894652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4.0999999999999996</v>
      </c>
      <c r="N72" s="13">
        <f>IF('Données projet'!$A$36&gt;35,N71+M72-V71,IF(A72&lt;'Données projet'!$A$36,$K$205^A72,IF(A72='Données projet'!$A$36,'Données projet'!$B$36,N71+M72-V71)))</f>
        <v>269.89999999999981</v>
      </c>
      <c r="O72" s="13">
        <f>N72*VLOOKUP('Données projet'!$B$9,Paramètres!$A$1:$I$89,3,0)*VLOOKUP('Données projet'!$B$9,Paramètres!$A$1:$I$89,5,0)</f>
        <v>214.73243999999988</v>
      </c>
      <c r="P72" s="13">
        <f t="shared" si="87"/>
        <v>52.968397784466582</v>
      </c>
      <c r="Q72" s="20">
        <f t="shared" si="54"/>
        <v>466.24562580794571</v>
      </c>
      <c r="R72" s="59">
        <f t="shared" si="55"/>
        <v>759.57895914127903</v>
      </c>
      <c r="S72" s="59">
        <f ca="1">AVERAGE(OFFSET($R$3,0,0,'Données projet'!$E$9+1,1))-AVERAGE(OFFSET($H$3,0,0,'Données projet'!$E$9+1,1))</f>
        <v>199.58763537752952</v>
      </c>
      <c r="T72" s="59">
        <f t="shared" si="88"/>
        <v>242.62852778451929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3.4874825943616647</v>
      </c>
      <c r="AB72" s="21">
        <f>EXP(-LN(2)/2)*AB71+(1-EXP(-LN(2)/2))/(LN(2)/2)*V72*Y72*VLOOKUP('Données projet'!$B$9,Paramètres!$A$1:$I$89,3,0)*0.475*44/12</f>
        <v>1.451410468288617E-5</v>
      </c>
      <c r="AC72" s="22">
        <f t="shared" si="57"/>
        <v>3.4874971084663478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15.7</v>
      </c>
      <c r="AI72" s="13">
        <f>IF('Données projet'!$A$62&gt;35,AI71+AH72-AQ71,IF(A72&lt;'Données projet'!$A$62,$AF$205^A72,IF(A72='Données projet'!$A$62,'Données projet'!$B$62,AI71+AH72-AQ71)))</f>
        <v>480.30000000000013</v>
      </c>
      <c r="AJ72" s="13">
        <f>AI72*VLOOKUP('Données projet'!$B$10,Paramètres!$A$1:$I$89,3,0)*VLOOKUP('Données projet'!$B$10,Paramètres!$A$1:$I$89,5,0)</f>
        <v>287.21940000000012</v>
      </c>
      <c r="AK72" s="13">
        <f t="shared" si="89"/>
        <v>68.490407884769454</v>
      </c>
      <c r="AL72" s="20">
        <f t="shared" si="58"/>
        <v>619.52791539930706</v>
      </c>
      <c r="AM72" s="59">
        <f t="shared" si="59"/>
        <v>912.86124873264043</v>
      </c>
      <c r="AN72" s="59">
        <f ca="1">AVERAGE(OFFSET($AM$3,0,0,'Données projet'!$E$10+1,1))-AVERAGE(OFFSET($H$3,0,0,'Données projet'!$E$10+1,1))</f>
        <v>287.78657453117694</v>
      </c>
      <c r="AO72" s="59">
        <f t="shared" si="90"/>
        <v>153.31562485362252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1.3521425599976986</v>
      </c>
      <c r="AV72" s="21">
        <f>EXP(-LN(2)/25)*AV71+(1-EXP(-LN(2)/25))/(LN(2)/25)*Calculateur!AQ72*Calculateur!AS72*VLOOKUP('Données projet'!$B$10,Paramètres!$A$1:$I$89,3,0)*0.475*44/12</f>
        <v>1.977724305412579</v>
      </c>
      <c r="AW72" s="21">
        <f>EXP(-LN(2)/2)*AW71+(1-EXP(-LN(2)/2))/(LN(2)/2)*AQ72*AT72*VLOOKUP('Données projet'!$B$10,Paramètres!$A$1:$I$89,3,0)*0.475*44/12</f>
        <v>1.4975993944697079E-5</v>
      </c>
      <c r="AX72" s="21">
        <f t="shared" si="60"/>
        <v>3.3298818414042222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9.9715384615384544</v>
      </c>
      <c r="BD72" s="12">
        <f>IF('Données projet'!$A$88&gt;35,BD71+BC72-BL71,IF(A72&lt;'Données projet'!$A$88,$BA$205^A72,IF(A72='Données projet'!$A$88,'Données projet'!$B$88,BD71+BC72-BL71)))</f>
        <v>450.42230769230764</v>
      </c>
      <c r="BE72" s="13">
        <f>BD72*VLOOKUP('Données projet'!$B$11,Paramètres!$A$1:$I$89,3,0)*VLOOKUP('Données projet'!$B$11,Paramètres!$A$1:$I$89,5,0)</f>
        <v>269.35253999999998</v>
      </c>
      <c r="BF72" s="13">
        <f t="shared" si="91"/>
        <v>64.711842740845071</v>
      </c>
      <c r="BG72" s="20">
        <f t="shared" si="61"/>
        <v>581.8287999403052</v>
      </c>
      <c r="BH72" s="59">
        <f t="shared" si="62"/>
        <v>875.16213327363857</v>
      </c>
      <c r="BI72" s="59">
        <f ca="1">AVERAGE(OFFSET($BH$3,0,0,'Données projet'!$E$11+1,1))-AVERAGE(OFFSET($H$3,0,0,'Données projet'!$E$11+1,1))</f>
        <v>250.93905519128998</v>
      </c>
      <c r="BJ72" s="59">
        <f t="shared" si="92"/>
        <v>222.32879462265032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0.59176626625218176</v>
      </c>
      <c r="BQ72" s="21">
        <f>EXP(-LN(2)/25)*BQ71+(1-EXP(-LN(2)/25))/(LN(2)/25)*Calculateur!BL72*Calculateur!BN72*VLOOKUP('Données projet'!$B$11,Paramètres!$A$1:$I$89,3,0)*0.475*44/12</f>
        <v>3.9255713683053712</v>
      </c>
      <c r="BR72" s="21">
        <f>EXP(-LN(2)/2)*BR71+(1-EXP(-LN(2)/2))/(LN(2)/2)*BL72*BO72*VLOOKUP('Données projet'!$B$11,Paramètres!$A$1:$I$89,3,0)*0.475*44/12</f>
        <v>2.5455058516875834E-6</v>
      </c>
      <c r="BS72" s="22">
        <f t="shared" si="63"/>
        <v>4.5173401800634041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9.1830769230769249</v>
      </c>
      <c r="BY72" s="12">
        <f>IF('Données projet'!$A$114&gt;35,BY71+BX72-CG71,IF(A72&lt;'Données projet'!$A$114,$BV$205^A72,IF(A72='Données projet'!$A$114,'Données projet'!$B$114,BY71+BX72-CG71)))</f>
        <v>370.80923076923057</v>
      </c>
      <c r="BZ72" s="13">
        <f>BY72*VLOOKUP('Données projet'!$B$12,Paramètres!$A$1:$I$89,3,0)*VLOOKUP('Données projet'!$B$12,Paramètres!$A$1:$I$89,5,0)</f>
        <v>221.74391999999989</v>
      </c>
      <c r="CA72" s="13">
        <f t="shared" si="93"/>
        <v>54.493743764780973</v>
      </c>
      <c r="CB72" s="20">
        <f t="shared" si="64"/>
        <v>481.11393105699329</v>
      </c>
      <c r="CC72" s="59">
        <f t="shared" si="65"/>
        <v>774.44726439032661</v>
      </c>
      <c r="CD72" s="59">
        <f ca="1">AVERAGE(OFFSET($CC$3,0,0,'Données projet'!$E$12+1,1))-AVERAGE(OFFSET($H$3,0,0,'Données projet'!$E$12+1,1))</f>
        <v>179.32848817523677</v>
      </c>
      <c r="CE72" s="59">
        <f t="shared" si="94"/>
        <v>131.3292389103035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4.4700378782666599</v>
      </c>
      <c r="CM72" s="21">
        <f>EXP(-LN(2)/2)*CM71+(1-EXP(-LN(2)/2))/(LN(2)/2)*CG72*CJ72*VLOOKUP('Données projet'!$B$12,Paramètres!$A$1:$I$89,3,0)*0.475*44/12</f>
        <v>7.0980274680123774E-6</v>
      </c>
      <c r="CN72" s="22">
        <f t="shared" si="66"/>
        <v>4.4700449762941279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8.6875</v>
      </c>
      <c r="CT72" s="12">
        <f>IF('Données projet'!$A$140&gt;35,CT71+CS72-DB71,IF(A72&lt;'Données projet'!$A$140,$CQ$205^A72,IF(A72='Données projet'!$A$140,'Données projet'!$B$140,CT71+CS72-DB71)))</f>
        <v>246.21634615384602</v>
      </c>
      <c r="CU72" s="17">
        <f>CT72*VLOOKUP('Données projet'!$B$13,Paramètres!$A$1:$I$89,3,0)*VLOOKUP('Données projet'!$B$13,Paramètres!$A$1:$I$89,5,0)</f>
        <v>222.77654999999987</v>
      </c>
      <c r="CV72" s="13">
        <f t="shared" si="95"/>
        <v>54.717913950141721</v>
      </c>
      <c r="CW72" s="20">
        <f t="shared" si="67"/>
        <v>483.30285804649662</v>
      </c>
      <c r="CX72" s="59">
        <f t="shared" si="68"/>
        <v>776.63619137982994</v>
      </c>
      <c r="CY72" s="59">
        <f ca="1">AVERAGE(OFFSET($CX$3,0,0,'Données projet'!$E$13+1,1))-AVERAGE(OFFSET($H$3,0,0,'Données projet'!$E$13+1,1))</f>
        <v>309.07357540707869</v>
      </c>
      <c r="CZ72" s="59">
        <f t="shared" si="96"/>
        <v>155.9593924683299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4.8</v>
      </c>
      <c r="DO72" s="12">
        <f>IF('Données projet'!$A$166&gt;35,DO71+DN72-DW71,IF(A72&lt;'Données projet'!$A$166,$DL$205^A72,IF(A72='Données projet'!$A$166,'Données projet'!$B$166,DO71+DN72-DW71)))</f>
        <v>232.19999999999996</v>
      </c>
      <c r="DP72" s="17">
        <f>DO72*VLOOKUP('Données projet'!$B$14,Paramètres!$A$1:$I$89,3,0)*VLOOKUP('Données projet'!$B$14,Paramètres!$A$1:$I$89,5,0)</f>
        <v>202.84991999999997</v>
      </c>
      <c r="DQ72" s="13">
        <f t="shared" si="97"/>
        <v>50.369977187686075</v>
      </c>
      <c r="DR72" s="20">
        <f t="shared" si="70"/>
        <v>441.02465426855321</v>
      </c>
      <c r="DS72" s="59">
        <f t="shared" si="71"/>
        <v>734.35798760188652</v>
      </c>
      <c r="DT72" s="59">
        <f ca="1">AVERAGE(OFFSET($DS$3,0,0,'Données projet'!$E$14+1,1))-AVERAGE(OFFSET($H$3,0,0,'Données projet'!$E$14+1,1))</f>
        <v>210.07838338464626</v>
      </c>
      <c r="DU72" s="59">
        <f t="shared" si="98"/>
        <v>241.76003724236273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2.4482755509037579</v>
      </c>
      <c r="EB72" s="21">
        <f>EXP(-LN(2)/25)*EB71+(1-EXP(-LN(2)/25))/(LN(2)/25)*Calculateur!DW72*Calculateur!DY72*VLOOKUP('Données projet'!$B$14,Paramètres!$A$1:$I$89,3,0)*0.475*44/12</f>
        <v>4.598857104836636</v>
      </c>
      <c r="EC72" s="21">
        <f>EXP(-LN(2)/2)*EC71+(1-EXP(-LN(2)/2))/(LN(2)/2)*DW72*DZ72*VLOOKUP('Données projet'!$B$14,Paramètres!$A$1:$I$89,3,0)*0.475*44/12</f>
        <v>2.1540646645634263E-5</v>
      </c>
      <c r="ED72" s="22">
        <f t="shared" si="72"/>
        <v>7.0471541963870399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6.8</v>
      </c>
      <c r="EJ72" s="12">
        <f>IF('Données projet'!$A$192&gt;35,EJ71+EI72-ER71,IF(A72&lt;'Données projet'!$A$192,$EG$205^A72,IF(A72='Données projet'!$A$192,'Données projet'!$B$192,EJ71+EI72-ER71)))</f>
        <v>365.20000000000039</v>
      </c>
      <c r="EK72" s="17">
        <f>EJ72*VLOOKUP('Données projet'!$B$15,Paramètres!$A$1:$I$89,3,0)*VLOOKUP('Données projet'!$B$15,Paramètres!$A$1:$I$89,5,0)</f>
        <v>227.88480000000027</v>
      </c>
      <c r="EL72" s="13">
        <f t="shared" si="99"/>
        <v>55.825080201942662</v>
      </c>
      <c r="EM72" s="20">
        <f t="shared" si="73"/>
        <v>494.12804135171729</v>
      </c>
      <c r="EN72" s="59">
        <f t="shared" si="74"/>
        <v>787.4613746850506</v>
      </c>
      <c r="EO72" s="59">
        <f ca="1">AVERAGE(OFFSET($EN$3,0,0,'Données projet'!$E$15+1,1))-AVERAGE(OFFSET($H$3,0,0,'Données projet'!$E$15+1,1))</f>
        <v>209.93608079129638</v>
      </c>
      <c r="EP72" s="59">
        <f t="shared" si="100"/>
        <v>240.15652428700969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3.2118762824971818</v>
      </c>
      <c r="EW72" s="21">
        <f>EXP(-LN(2)/25)*EW71+(1-EXP(-LN(2)/25))/(LN(2)/25)*Calculateur!ER72*Calculateur!ET72*VLOOKUP('Données projet'!$B$15,Paramètres!$A$1:$I$89,3,0)*0.475*44/12</f>
        <v>7.0502416431232522</v>
      </c>
      <c r="EX72" s="21">
        <f>EXP(-LN(2)/2)*EX71+(1-EXP(-LN(2)/2))/(LN(2)/2)*ER72*EU72*VLOOKUP('Données projet'!$B$15,Paramètres!$A$1:$I$89,3,0)*0.475*44/12</f>
        <v>2.7231335755087714E-5</v>
      </c>
      <c r="EY72" s="22">
        <f t="shared" si="75"/>
        <v>10.262145156956189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274</v>
      </c>
      <c r="L73" s="12">
        <f>VLOOKUP(A73,'Données projet'!$A$35:$I$55,9,0)</f>
        <v>4.0999999999999996</v>
      </c>
      <c r="M73" s="12">
        <f t="array" ref="M73">INDEX(L:L,MIN(IF(ISNUMBER(L73:L269),ROW(L73:L269),"")))</f>
        <v>4.0999999999999996</v>
      </c>
      <c r="N73" s="13">
        <f>IF('Données projet'!$A$36&gt;35,N72+M73-V72,IF(A73&lt;'Données projet'!$A$36,$K$205^A73,IF(A73='Données projet'!$A$36,'Données projet'!$B$36,N72+M73-V72)))</f>
        <v>273.99999999999983</v>
      </c>
      <c r="O73" s="13">
        <f>N73*VLOOKUP('Données projet'!$B$9,Paramètres!$A$1:$I$89,3,0)*VLOOKUP('Données projet'!$B$9,Paramètres!$A$1:$I$89,5,0)</f>
        <v>217.9943999999999</v>
      </c>
      <c r="P73" s="13">
        <f t="shared" si="87"/>
        <v>53.678746401110374</v>
      </c>
      <c r="Q73" s="20">
        <f t="shared" si="54"/>
        <v>473.16406331526701</v>
      </c>
      <c r="R73" s="59">
        <f t="shared" si="55"/>
        <v>766.49739664860033</v>
      </c>
      <c r="S73" s="59">
        <f ca="1">AVERAGE(OFFSET($R$3,0,0,'Données projet'!$E$9+1,1))-AVERAGE(OFFSET($H$3,0,0,'Données projet'!$E$9+1,1))</f>
        <v>199.58763537752952</v>
      </c>
      <c r="T73" s="59">
        <f t="shared" si="88"/>
        <v>242.62852778451929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21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3.392117199420106</v>
      </c>
      <c r="AB73" s="21">
        <f>EXP(-LN(2)/2)*AB72+(1-EXP(-LN(2)/2))/(LN(2)/2)*V73*Y73*VLOOKUP('Données projet'!$B$9,Paramètres!$A$1:$I$89,3,0)*0.475*44/12</f>
        <v>1.0263021844120235E-5</v>
      </c>
      <c r="AC73" s="22">
        <f t="shared" si="57"/>
        <v>3.39212746244195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496</v>
      </c>
      <c r="AG73" s="12">
        <f>VLOOKUP(A73,'Données projet'!$A$61:$I$81,9,0)</f>
        <v>15.7</v>
      </c>
      <c r="AH73" s="12">
        <f t="array" ref="AH73">INDEX(AG:AG,MIN(IF(ISNUMBER(AG73:AG269),ROW(AG73:AG269),"")))</f>
        <v>15.7</v>
      </c>
      <c r="AI73" s="13">
        <f>IF('Données projet'!$A$62&gt;35,AI72+AH73-AQ72,IF(A73&lt;'Données projet'!$A$62,$AF$205^A73,IF(A73='Données projet'!$A$62,'Données projet'!$B$62,AI72+AH73-AQ72)))</f>
        <v>496.00000000000011</v>
      </c>
      <c r="AJ73" s="13">
        <f>AI73*VLOOKUP('Données projet'!$B$10,Paramètres!$A$1:$I$89,3,0)*VLOOKUP('Données projet'!$B$10,Paramètres!$A$1:$I$89,5,0)</f>
        <v>296.60800000000006</v>
      </c>
      <c r="AK73" s="13">
        <f t="shared" si="89"/>
        <v>70.464900073149394</v>
      </c>
      <c r="AL73" s="20">
        <f t="shared" si="58"/>
        <v>639.3186342940686</v>
      </c>
      <c r="AM73" s="59">
        <f t="shared" si="59"/>
        <v>932.65196762740197</v>
      </c>
      <c r="AN73" s="59">
        <f ca="1">AVERAGE(OFFSET($AM$3,0,0,'Données projet'!$E$10+1,1))-AVERAGE(OFFSET($H$3,0,0,'Données projet'!$E$10+1,1))</f>
        <v>287.78657453117694</v>
      </c>
      <c r="AO73" s="59">
        <f t="shared" si="90"/>
        <v>153.31562485362252</v>
      </c>
      <c r="AP73" s="15">
        <f>IF(ISNA(VLOOKUP(A73,'Données projet'!$A$61:$I$81,3,0)),0,VLOOKUP(A73,'Données projet'!$A$61:$I$81,3,0))</f>
        <v>5</v>
      </c>
      <c r="AQ73" s="15">
        <f>IF(ISNA(VLOOKUP(A73,'Données projet'!$A$61:$I$81,4,0)),0,VLOOKUP(A73,'Données projet'!$A$61:$I$81,4,0))</f>
        <v>91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1.3256278691216705</v>
      </c>
      <c r="AV73" s="21">
        <f>EXP(-LN(2)/25)*AV72+(1-EXP(-LN(2)/25))/(LN(2)/25)*Calculateur!AQ73*Calculateur!AS73*VLOOKUP('Données projet'!$B$10,Paramètres!$A$1:$I$89,3,0)*0.475*44/12</f>
        <v>1.923643330277071</v>
      </c>
      <c r="AW73" s="21">
        <f>EXP(-LN(2)/2)*AW72+(1-EXP(-LN(2)/2))/(LN(2)/2)*AQ73*AT73*VLOOKUP('Données projet'!$B$10,Paramètres!$A$1:$I$89,3,0)*0.475*44/12</f>
        <v>1.058962687330398E-5</v>
      </c>
      <c r="AX73" s="21">
        <f t="shared" si="60"/>
        <v>3.2492817890256145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9.9715384615384544</v>
      </c>
      <c r="BD73" s="12">
        <f>IF('Données projet'!$A$88&gt;35,BD72+BC73-BL72,IF(A73&lt;'Données projet'!$A$88,$BA$205^A73,IF(A73='Données projet'!$A$88,'Données projet'!$B$88,BD72+BC73-BL72)))</f>
        <v>460.39384615384608</v>
      </c>
      <c r="BE73" s="13">
        <f>BD73*VLOOKUP('Données projet'!$B$11,Paramètres!$A$1:$I$89,3,0)*VLOOKUP('Données projet'!$B$11,Paramètres!$A$1:$I$89,5,0)</f>
        <v>275.31551999999994</v>
      </c>
      <c r="BF73" s="13">
        <f t="shared" si="91"/>
        <v>65.976073607419792</v>
      </c>
      <c r="BG73" s="20">
        <f t="shared" si="61"/>
        <v>594.41619219958932</v>
      </c>
      <c r="BH73" s="59">
        <f t="shared" si="62"/>
        <v>887.74952553292269</v>
      </c>
      <c r="BI73" s="59">
        <f ca="1">AVERAGE(OFFSET($BH$3,0,0,'Données projet'!$E$11+1,1))-AVERAGE(OFFSET($H$3,0,0,'Données projet'!$E$11+1,1))</f>
        <v>250.93905519128998</v>
      </c>
      <c r="BJ73" s="59">
        <f t="shared" si="92"/>
        <v>222.32879462265032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0.58016209071275882</v>
      </c>
      <c r="BQ73" s="21">
        <f>EXP(-LN(2)/25)*BQ72+(1-EXP(-LN(2)/25))/(LN(2)/25)*Calculateur!BL73*Calculateur!BN73*VLOOKUP('Données projet'!$B$11,Paramètres!$A$1:$I$89,3,0)*0.475*44/12</f>
        <v>3.8182264128022347</v>
      </c>
      <c r="BR73" s="21">
        <f>EXP(-LN(2)/2)*BR72+(1-EXP(-LN(2)/2))/(LN(2)/2)*BL73*BO73*VLOOKUP('Données projet'!$B$11,Paramètres!$A$1:$I$89,3,0)*0.475*44/12</f>
        <v>1.7999444492783284E-6</v>
      </c>
      <c r="BS73" s="22">
        <f t="shared" si="63"/>
        <v>4.3983903034594434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379.99230769230769</v>
      </c>
      <c r="BW73" s="12">
        <f>VLOOKUP(A73,'Données projet'!$A$113:$I$133,9,0)</f>
        <v>9.1830769230769249</v>
      </c>
      <c r="BX73" s="12">
        <f t="array" ref="BX73">INDEX(BW:BW,MIN(IF(ISNUMBER(BW73:BW269),ROW(BW73:BW269),"")))</f>
        <v>9.1830769230769249</v>
      </c>
      <c r="BY73" s="12">
        <f>IF('Données projet'!$A$114&gt;35,BY72+BX73-CG72,IF(A73&lt;'Données projet'!$A$114,$BV$205^A73,IF(A73='Données projet'!$A$114,'Données projet'!$B$114,BY72+BX73-CG72)))</f>
        <v>379.99230769230746</v>
      </c>
      <c r="BZ73" s="13">
        <f>BY73*VLOOKUP('Données projet'!$B$12,Paramètres!$A$1:$I$89,3,0)*VLOOKUP('Données projet'!$B$12,Paramètres!$A$1:$I$89,5,0)</f>
        <v>227.23539999999988</v>
      </c>
      <c r="CA73" s="13">
        <f t="shared" si="93"/>
        <v>55.684490313081348</v>
      </c>
      <c r="CB73" s="20">
        <f t="shared" si="64"/>
        <v>492.75214229528314</v>
      </c>
      <c r="CC73" s="59">
        <f t="shared" si="65"/>
        <v>786.08547562861645</v>
      </c>
      <c r="CD73" s="59">
        <f ca="1">AVERAGE(OFFSET($CC$3,0,0,'Données projet'!$E$12+1,1))-AVERAGE(OFFSET($H$3,0,0,'Données projet'!$E$12+1,1))</f>
        <v>179.32848817523677</v>
      </c>
      <c r="CE73" s="59">
        <f t="shared" si="94"/>
        <v>131.3292389103035</v>
      </c>
      <c r="CF73" s="15">
        <f>IF(ISNA(VLOOKUP(A73,'Données projet'!$A$113:$I$133,3,0)),0,VLOOKUP(A73,'Données projet'!$A$113:$I$133,3,0))</f>
        <v>7</v>
      </c>
      <c r="CG73" s="15">
        <f>IF(ISNA(VLOOKUP(A73,'Données projet'!$A$113:$I$133,4,0)),0,VLOOKUP(A73,'Données projet'!$A$113:$I$133,4,0))</f>
        <v>52.669230769230765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4.3478044574163821</v>
      </c>
      <c r="CM73" s="21">
        <f>EXP(-LN(2)/2)*CM72+(1-EXP(-LN(2)/2))/(LN(2)/2)*CG73*CJ73*VLOOKUP('Données projet'!$B$12,Paramètres!$A$1:$I$89,3,0)*0.475*44/12</f>
        <v>5.0190633556799321E-6</v>
      </c>
      <c r="CN73" s="22">
        <f t="shared" si="66"/>
        <v>4.3478094764797381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8.6875</v>
      </c>
      <c r="CT73" s="12">
        <f>IF('Données projet'!$A$140&gt;35,CT72+CS73-DB72,IF(A73&lt;'Données projet'!$A$140,$CQ$205^A73,IF(A73='Données projet'!$A$140,'Données projet'!$B$140,CT72+CS73-DB72)))</f>
        <v>254.90384615384602</v>
      </c>
      <c r="CU73" s="17">
        <f>CT73*VLOOKUP('Données projet'!$B$13,Paramètres!$A$1:$I$89,3,0)*VLOOKUP('Données projet'!$B$13,Paramètres!$A$1:$I$89,5,0)</f>
        <v>230.63699999999986</v>
      </c>
      <c r="CV73" s="13">
        <f t="shared" si="95"/>
        <v>56.420393645840619</v>
      </c>
      <c r="CW73" s="20">
        <f t="shared" si="67"/>
        <v>499.95829393317217</v>
      </c>
      <c r="CX73" s="59">
        <f t="shared" si="68"/>
        <v>793.29162726650543</v>
      </c>
      <c r="CY73" s="59">
        <f ca="1">AVERAGE(OFFSET($CX$3,0,0,'Données projet'!$E$13+1,1))-AVERAGE(OFFSET($H$3,0,0,'Données projet'!$E$13+1,1))</f>
        <v>309.07357540707869</v>
      </c>
      <c r="CZ73" s="59">
        <f t="shared" si="96"/>
        <v>155.9593924683299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237</v>
      </c>
      <c r="DM73" s="12">
        <f>VLOOKUP(A73,'Données projet'!$A$165:$I$185,9,0)</f>
        <v>4.8</v>
      </c>
      <c r="DN73" s="12">
        <f t="array" ref="DN73">INDEX(DM:DM,MIN(IF(ISNUMBER(DM73:DM269),ROW(DM73:DM269),"")))</f>
        <v>4.8</v>
      </c>
      <c r="DO73" s="12">
        <f>IF('Données projet'!$A$166&gt;35,DO72+DN73-DW72,IF(A73&lt;'Données projet'!$A$166,$DL$205^A73,IF(A73='Données projet'!$A$166,'Données projet'!$B$166,DO72+DN73-DW72)))</f>
        <v>236.99999999999997</v>
      </c>
      <c r="DP73" s="17">
        <f>DO73*VLOOKUP('Données projet'!$B$14,Paramètres!$A$1:$I$89,3,0)*VLOOKUP('Données projet'!$B$14,Paramètres!$A$1:$I$89,5,0)</f>
        <v>207.04320000000001</v>
      </c>
      <c r="DQ73" s="13">
        <f t="shared" si="97"/>
        <v>51.288918231806321</v>
      </c>
      <c r="DR73" s="20">
        <f t="shared" si="70"/>
        <v>449.92843925372944</v>
      </c>
      <c r="DS73" s="59">
        <f t="shared" si="71"/>
        <v>743.26177258706275</v>
      </c>
      <c r="DT73" s="59">
        <f ca="1">AVERAGE(OFFSET($DS$3,0,0,'Données projet'!$E$14+1,1))-AVERAGE(OFFSET($H$3,0,0,'Données projet'!$E$14+1,1))</f>
        <v>210.07838338464626</v>
      </c>
      <c r="DU73" s="59">
        <f t="shared" si="98"/>
        <v>241.76003724236273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33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2.4002663606511701</v>
      </c>
      <c r="EB73" s="21">
        <f>EXP(-LN(2)/25)*EB72+(1-EXP(-LN(2)/25))/(LN(2)/25)*Calculateur!DW73*Calculateur!DY73*VLOOKUP('Données projet'!$B$14,Paramètres!$A$1:$I$89,3,0)*0.475*44/12</f>
        <v>4.4731011154614935</v>
      </c>
      <c r="EC73" s="21">
        <f>EXP(-LN(2)/2)*EC72+(1-EXP(-LN(2)/2))/(LN(2)/2)*DW73*DZ73*VLOOKUP('Données projet'!$B$14,Paramètres!$A$1:$I$89,3,0)*0.475*44/12</f>
        <v>1.5231537314271247E-5</v>
      </c>
      <c r="ED73" s="22">
        <f t="shared" si="72"/>
        <v>6.8733827076499781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372</v>
      </c>
      <c r="EH73" s="12">
        <f>VLOOKUP(A73,'Données projet'!$A$191:$I$211,9,0)</f>
        <v>6.8</v>
      </c>
      <c r="EI73" s="12">
        <f t="array" ref="EI73">INDEX(EH:EH,MIN(IF(ISNUMBER(EH73:EH269),ROW(EH73:EH269),"")))</f>
        <v>6.8</v>
      </c>
      <c r="EJ73" s="12">
        <f>IF('Données projet'!$A$192&gt;35,EJ72+EI73-ER72,IF(A73&lt;'Données projet'!$A$192,$EG$205^A73,IF(A73='Données projet'!$A$192,'Données projet'!$B$192,EJ72+EI73-ER72)))</f>
        <v>372.0000000000004</v>
      </c>
      <c r="EK73" s="17">
        <f>EJ73*VLOOKUP('Données projet'!$B$15,Paramètres!$A$1:$I$89,3,0)*VLOOKUP('Données projet'!$B$15,Paramètres!$A$1:$I$89,5,0)</f>
        <v>232.12800000000024</v>
      </c>
      <c r="EL73" s="13">
        <f t="shared" si="99"/>
        <v>56.742557967082448</v>
      </c>
      <c r="EM73" s="20">
        <f t="shared" si="73"/>
        <v>503.11622179266897</v>
      </c>
      <c r="EN73" s="59">
        <f t="shared" si="74"/>
        <v>796.44955512600222</v>
      </c>
      <c r="EO73" s="59">
        <f ca="1">AVERAGE(OFFSET($EN$3,0,0,'Données projet'!$E$15+1,1))-AVERAGE(OFFSET($H$3,0,0,'Données projet'!$E$15+1,1))</f>
        <v>209.93608079129638</v>
      </c>
      <c r="EP73" s="59">
        <f t="shared" si="100"/>
        <v>240.15652428700969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36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3.1488933476485044</v>
      </c>
      <c r="EW73" s="21">
        <f>EXP(-LN(2)/25)*EW72+(1-EXP(-LN(2)/25))/(LN(2)/25)*Calculateur!ER73*Calculateur!ET73*VLOOKUP('Données projet'!$B$15,Paramètres!$A$1:$I$89,3,0)*0.475*44/12</f>
        <v>6.8574524146359526</v>
      </c>
      <c r="EX73" s="21">
        <f>EXP(-LN(2)/2)*EX72+(1-EXP(-LN(2)/2))/(LN(2)/2)*ER73*EU73*VLOOKUP('Données projet'!$B$15,Paramètres!$A$1:$I$89,3,0)*0.475*44/12</f>
        <v>1.9255462173190216E-5</v>
      </c>
      <c r="EY73" s="22">
        <f t="shared" si="75"/>
        <v>10.006365017746631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3.1</v>
      </c>
      <c r="N74" s="13">
        <f>IF('Données projet'!$A$36&gt;35,N73+M74-V73,IF(A74&lt;'Données projet'!$A$36,$K$205^A74,IF(A74='Données projet'!$A$36,'Données projet'!$B$36,N73+M74-V73)))</f>
        <v>256.09999999999985</v>
      </c>
      <c r="O74" s="13">
        <f>N74*VLOOKUP('Données projet'!$B$9,Paramètres!$A$1:$I$89,3,0)*VLOOKUP('Données projet'!$B$9,Paramètres!$A$1:$I$89,5,0)</f>
        <v>203.75315999999989</v>
      </c>
      <c r="P74" s="13">
        <f t="shared" si="87"/>
        <v>50.568104070523326</v>
      </c>
      <c r="Q74" s="20">
        <f t="shared" si="54"/>
        <v>442.94286825616126</v>
      </c>
      <c r="R74" s="59">
        <f t="shared" si="55"/>
        <v>736.27620158949458</v>
      </c>
      <c r="S74" s="59">
        <f ca="1">AVERAGE(OFFSET($R$3,0,0,'Données projet'!$E$9+1,1))-AVERAGE(OFFSET($H$3,0,0,'Données projet'!$E$9+1,1))</f>
        <v>199.58763537752952</v>
      </c>
      <c r="T74" s="59">
        <f t="shared" si="88"/>
        <v>242.62852778451929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3.2993595762182726</v>
      </c>
      <c r="AB74" s="21">
        <f>EXP(-LN(2)/2)*AB73+(1-EXP(-LN(2)/2))/(LN(2)/2)*V74*Y74*VLOOKUP('Données projet'!$B$9,Paramètres!$A$1:$I$89,3,0)*0.475*44/12</f>
        <v>7.2570523414430848E-6</v>
      </c>
      <c r="AC74" s="22">
        <f t="shared" si="57"/>
        <v>3.2993668332706139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15.4</v>
      </c>
      <c r="AI74" s="13">
        <f>IF('Données projet'!$A$62&gt;35,AI73+AH74-AQ73,IF(A74&lt;'Données projet'!$A$62,$AF$205^A74,IF(A74='Données projet'!$A$62,'Données projet'!$B$62,AI73+AH74-AQ73)))</f>
        <v>420.40000000000009</v>
      </c>
      <c r="AJ74" s="13">
        <f>AI74*VLOOKUP('Données projet'!$B$10,Paramètres!$A$1:$I$89,3,0)*VLOOKUP('Données projet'!$B$10,Paramètres!$A$1:$I$89,5,0)</f>
        <v>251.39920000000006</v>
      </c>
      <c r="AK74" s="13">
        <f t="shared" si="89"/>
        <v>60.885461080566856</v>
      </c>
      <c r="AL74" s="20">
        <f t="shared" si="58"/>
        <v>543.8957847153207</v>
      </c>
      <c r="AM74" s="59">
        <f t="shared" si="59"/>
        <v>837.22911804865407</v>
      </c>
      <c r="AN74" s="59">
        <f ca="1">AVERAGE(OFFSET($AM$3,0,0,'Données projet'!$E$10+1,1))-AVERAGE(OFFSET($H$3,0,0,'Données projet'!$E$10+1,1))</f>
        <v>287.78657453117694</v>
      </c>
      <c r="AO74" s="59">
        <f t="shared" si="90"/>
        <v>153.31562485362252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1.2996331151613567</v>
      </c>
      <c r="AV74" s="21">
        <f>EXP(-LN(2)/25)*AV73+(1-EXP(-LN(2)/25))/(LN(2)/25)*Calculateur!AQ74*Calculateur!AS74*VLOOKUP('Données projet'!$B$10,Paramètres!$A$1:$I$89,3,0)*0.475*44/12</f>
        <v>1.8710412022506384</v>
      </c>
      <c r="AW74" s="21">
        <f>EXP(-LN(2)/2)*AW73+(1-EXP(-LN(2)/2))/(LN(2)/2)*AQ74*AT74*VLOOKUP('Données projet'!$B$10,Paramètres!$A$1:$I$89,3,0)*0.475*44/12</f>
        <v>7.4879969723485411E-6</v>
      </c>
      <c r="AX74" s="21">
        <f t="shared" si="60"/>
        <v>3.1706818054089676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9.9715384615384544</v>
      </c>
      <c r="BD74" s="12">
        <f>IF('Données projet'!$A$88&gt;35,BD73+BC74-BL73,IF(A74&lt;'Données projet'!$A$88,$BA$205^A74,IF(A74='Données projet'!$A$88,'Données projet'!$B$88,BD73+BC74-BL73)))</f>
        <v>470.36538461538453</v>
      </c>
      <c r="BE74" s="13">
        <f>BD74*VLOOKUP('Données projet'!$B$11,Paramètres!$A$1:$I$89,3,0)*VLOOKUP('Données projet'!$B$11,Paramètres!$A$1:$I$89,5,0)</f>
        <v>281.27849999999995</v>
      </c>
      <c r="BF74" s="13">
        <f t="shared" si="91"/>
        <v>67.23712100524989</v>
      </c>
      <c r="BG74" s="20">
        <f t="shared" si="61"/>
        <v>606.99803991747683</v>
      </c>
      <c r="BH74" s="59">
        <f t="shared" si="62"/>
        <v>900.3313732508102</v>
      </c>
      <c r="BI74" s="59">
        <f ca="1">AVERAGE(OFFSET($BH$3,0,0,'Données projet'!$E$11+1,1))-AVERAGE(OFFSET($H$3,0,0,'Données projet'!$E$11+1,1))</f>
        <v>250.93905519128998</v>
      </c>
      <c r="BJ74" s="59">
        <f t="shared" si="92"/>
        <v>222.32879462265032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0.56878546597781576</v>
      </c>
      <c r="BQ74" s="21">
        <f>EXP(-LN(2)/25)*BQ73+(1-EXP(-LN(2)/25))/(LN(2)/25)*Calculateur!BL74*Calculateur!BN74*VLOOKUP('Données projet'!$B$11,Paramètres!$A$1:$I$89,3,0)*0.475*44/12</f>
        <v>3.7138168107523573</v>
      </c>
      <c r="BR74" s="21">
        <f>EXP(-LN(2)/2)*BR73+(1-EXP(-LN(2)/2))/(LN(2)/2)*BL74*BO74*VLOOKUP('Données projet'!$B$11,Paramètres!$A$1:$I$89,3,0)*0.475*44/12</f>
        <v>1.2727529258437917E-6</v>
      </c>
      <c r="BS74" s="22">
        <f t="shared" si="63"/>
        <v>4.282603549483099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7.5584615384615343</v>
      </c>
      <c r="BY74" s="12">
        <f>IF('Données projet'!$A$114&gt;35,BY73+BX74-CG73,IF(A74&lt;'Données projet'!$A$114,$BV$205^A74,IF(A74='Données projet'!$A$114,'Données projet'!$B$114,BY73+BX74-CG73)))</f>
        <v>334.88153846153824</v>
      </c>
      <c r="BZ74" s="13">
        <f>BY74*VLOOKUP('Données projet'!$B$12,Paramètres!$A$1:$I$89,3,0)*VLOOKUP('Données projet'!$B$12,Paramètres!$A$1:$I$89,5,0)</f>
        <v>200.25915999999989</v>
      </c>
      <c r="CA74" s="13">
        <f t="shared" si="93"/>
        <v>49.801118956127333</v>
      </c>
      <c r="CB74" s="20">
        <f t="shared" si="64"/>
        <v>435.52165251525486</v>
      </c>
      <c r="CC74" s="59">
        <f t="shared" si="65"/>
        <v>728.85498584858817</v>
      </c>
      <c r="CD74" s="59">
        <f ca="1">AVERAGE(OFFSET($CC$3,0,0,'Données projet'!$E$12+1,1))-AVERAGE(OFFSET($H$3,0,0,'Données projet'!$E$12+1,1))</f>
        <v>179.32848817523677</v>
      </c>
      <c r="CE74" s="59">
        <f t="shared" si="94"/>
        <v>131.3292389103035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4.228913515887232</v>
      </c>
      <c r="CM74" s="21">
        <f>EXP(-LN(2)/2)*CM73+(1-EXP(-LN(2)/2))/(LN(2)/2)*CG74*CJ74*VLOOKUP('Données projet'!$B$12,Paramètres!$A$1:$I$89,3,0)*0.475*44/12</f>
        <v>3.5490137340061887E-6</v>
      </c>
      <c r="CN74" s="22">
        <f t="shared" si="66"/>
        <v>4.2289170649009664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8.6875</v>
      </c>
      <c r="CT74" s="12">
        <f>IF('Données projet'!$A$140&gt;35,CT73+CS74-DB73,IF(A74&lt;'Données projet'!$A$140,$CQ$205^A74,IF(A74='Données projet'!$A$140,'Données projet'!$B$140,CT73+CS74-DB73)))</f>
        <v>263.59134615384602</v>
      </c>
      <c r="CU74" s="17">
        <f>CT74*VLOOKUP('Données projet'!$B$13,Paramètres!$A$1:$I$89,3,0)*VLOOKUP('Données projet'!$B$13,Paramètres!$A$1:$I$89,5,0)</f>
        <v>238.49744999999984</v>
      </c>
      <c r="CV74" s="13">
        <f t="shared" si="95"/>
        <v>58.116131461503187</v>
      </c>
      <c r="CW74" s="20">
        <f t="shared" si="67"/>
        <v>516.60198771211776</v>
      </c>
      <c r="CX74" s="59">
        <f t="shared" si="68"/>
        <v>809.93532104545102</v>
      </c>
      <c r="CY74" s="59">
        <f ca="1">AVERAGE(OFFSET($CX$3,0,0,'Données projet'!$E$13+1,1))-AVERAGE(OFFSET($H$3,0,0,'Données projet'!$E$13+1,1))</f>
        <v>309.07357540707869</v>
      </c>
      <c r="CZ74" s="59">
        <f t="shared" si="96"/>
        <v>155.9593924683299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3.7</v>
      </c>
      <c r="DO74" s="12">
        <f>IF('Données projet'!$A$166&gt;35,DO73+DN74-DW73,IF(A74&lt;'Données projet'!$A$166,$DL$205^A74,IF(A74='Données projet'!$A$166,'Données projet'!$B$166,DO73+DN74-DW73)))</f>
        <v>207.69999999999996</v>
      </c>
      <c r="DP74" s="17">
        <f>DO74*VLOOKUP('Données projet'!$B$14,Paramètres!$A$1:$I$89,3,0)*VLOOKUP('Données projet'!$B$14,Paramètres!$A$1:$I$89,5,0)</f>
        <v>181.44671999999997</v>
      </c>
      <c r="DQ74" s="13">
        <f t="shared" si="97"/>
        <v>45.64390459939613</v>
      </c>
      <c r="DR74" s="20">
        <f t="shared" si="70"/>
        <v>395.51617117728159</v>
      </c>
      <c r="DS74" s="59">
        <f t="shared" si="71"/>
        <v>688.84950451061491</v>
      </c>
      <c r="DT74" s="59">
        <f ca="1">AVERAGE(OFFSET($DS$3,0,0,'Données projet'!$E$14+1,1))-AVERAGE(OFFSET($H$3,0,0,'Données projet'!$E$14+1,1))</f>
        <v>210.07838338464626</v>
      </c>
      <c r="DU74" s="59">
        <f t="shared" si="98"/>
        <v>241.76003724236273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2.3531986013367208</v>
      </c>
      <c r="EB74" s="21">
        <f>EXP(-LN(2)/25)*EB73+(1-EXP(-LN(2)/25))/(LN(2)/25)*Calculateur!DW74*Calculateur!DY74*VLOOKUP('Données projet'!$B$14,Paramètres!$A$1:$I$89,3,0)*0.475*44/12</f>
        <v>4.350783930229035</v>
      </c>
      <c r="EC74" s="21">
        <f>EXP(-LN(2)/2)*EC73+(1-EXP(-LN(2)/2))/(LN(2)/2)*DW74*DZ74*VLOOKUP('Données projet'!$B$14,Paramètres!$A$1:$I$89,3,0)*0.475*44/12</f>
        <v>1.0770323322817133E-5</v>
      </c>
      <c r="ED74" s="22">
        <f t="shared" si="72"/>
        <v>6.7039933018890787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5.0999999999999996</v>
      </c>
      <c r="EJ74" s="12">
        <f>IF('Données projet'!$A$192&gt;35,EJ73+EI74-ER73,IF(A74&lt;'Données projet'!$A$192,$EG$205^A74,IF(A74='Données projet'!$A$192,'Données projet'!$B$192,EJ73+EI74-ER73)))</f>
        <v>341.10000000000042</v>
      </c>
      <c r="EK74" s="17">
        <f>EJ74*VLOOKUP('Données projet'!$B$15,Paramètres!$A$1:$I$89,3,0)*VLOOKUP('Données projet'!$B$15,Paramètres!$A$1:$I$89,5,0)</f>
        <v>212.84640000000027</v>
      </c>
      <c r="EL74" s="13">
        <f t="shared" si="99"/>
        <v>52.557107491599041</v>
      </c>
      <c r="EM74" s="20">
        <f t="shared" si="73"/>
        <v>462.24444221453541</v>
      </c>
      <c r="EN74" s="59">
        <f t="shared" si="74"/>
        <v>755.57777554786867</v>
      </c>
      <c r="EO74" s="59">
        <f ca="1">AVERAGE(OFFSET($EN$3,0,0,'Données projet'!$E$15+1,1))-AVERAGE(OFFSET($H$3,0,0,'Données projet'!$E$15+1,1))</f>
        <v>209.93608079129638</v>
      </c>
      <c r="EP74" s="59">
        <f t="shared" si="100"/>
        <v>240.15652428700969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3.0871454697364125</v>
      </c>
      <c r="EW74" s="21">
        <f>EXP(-LN(2)/25)*EW73+(1-EXP(-LN(2)/25))/(LN(2)/25)*Calculateur!ER74*Calculateur!ET74*VLOOKUP('Données projet'!$B$15,Paramètres!$A$1:$I$89,3,0)*0.475*44/12</f>
        <v>6.6699350177399825</v>
      </c>
      <c r="EX74" s="21">
        <f>EXP(-LN(2)/2)*EX73+(1-EXP(-LN(2)/2))/(LN(2)/2)*ER74*EU74*VLOOKUP('Données projet'!$B$15,Paramètres!$A$1:$I$89,3,0)*0.475*44/12</f>
        <v>1.3615667877543857E-5</v>
      </c>
      <c r="EY74" s="22">
        <f t="shared" si="75"/>
        <v>9.7570941031442722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3.1</v>
      </c>
      <c r="N75" s="13">
        <f>IF('Données projet'!$A$36&gt;35,N74+M75-V74,IF(A75&lt;'Données projet'!$A$36,$K$205^A75,IF(A75='Données projet'!$A$36,'Données projet'!$B$36,N74+M75-V74)))</f>
        <v>259.19999999999987</v>
      </c>
      <c r="O75" s="13">
        <f>N75*VLOOKUP('Données projet'!$B$9,Paramètres!$A$1:$I$89,3,0)*VLOOKUP('Données projet'!$B$9,Paramètres!$A$1:$I$89,5,0)</f>
        <v>206.21951999999993</v>
      </c>
      <c r="P75" s="13">
        <f t="shared" si="87"/>
        <v>51.10858428464028</v>
      </c>
      <c r="Q75" s="20">
        <f t="shared" si="54"/>
        <v>448.17978162908167</v>
      </c>
      <c r="R75" s="59">
        <f t="shared" si="55"/>
        <v>741.51311496241499</v>
      </c>
      <c r="S75" s="59">
        <f ca="1">AVERAGE(OFFSET($R$3,0,0,'Données projet'!$E$9+1,1))-AVERAGE(OFFSET($H$3,0,0,'Données projet'!$E$9+1,1))</f>
        <v>199.58763537752952</v>
      </c>
      <c r="T75" s="59">
        <f t="shared" si="88"/>
        <v>242.62852778451929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3.2091384151008047</v>
      </c>
      <c r="AB75" s="21">
        <f>EXP(-LN(2)/2)*AB74+(1-EXP(-LN(2)/2))/(LN(2)/2)*V75*Y75*VLOOKUP('Données projet'!$B$9,Paramètres!$A$1:$I$89,3,0)*0.475*44/12</f>
        <v>5.1315109220601177E-6</v>
      </c>
      <c r="AC75" s="22">
        <f t="shared" si="57"/>
        <v>3.2091435466117266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15.4</v>
      </c>
      <c r="AI75" s="13">
        <f>IF('Données projet'!$A$62&gt;35,AI74+AH75-AQ74,IF(A75&lt;'Données projet'!$A$62,$AF$205^A75,IF(A75='Données projet'!$A$62,'Données projet'!$B$62,AI74+AH75-AQ74)))</f>
        <v>435.80000000000007</v>
      </c>
      <c r="AJ75" s="13">
        <f>AI75*VLOOKUP('Données projet'!$B$10,Paramètres!$A$1:$I$89,3,0)*VLOOKUP('Données projet'!$B$10,Paramètres!$A$1:$I$89,5,0)</f>
        <v>260.60840000000007</v>
      </c>
      <c r="AK75" s="13">
        <f t="shared" si="89"/>
        <v>62.852046603805569</v>
      </c>
      <c r="AL75" s="20">
        <f t="shared" si="58"/>
        <v>563.36027783496149</v>
      </c>
      <c r="AM75" s="59">
        <f t="shared" si="59"/>
        <v>856.69361116829486</v>
      </c>
      <c r="AN75" s="59">
        <f ca="1">AVERAGE(OFFSET($AM$3,0,0,'Données projet'!$E$10+1,1))-AVERAGE(OFFSET($H$3,0,0,'Données projet'!$E$10+1,1))</f>
        <v>287.78657453117694</v>
      </c>
      <c r="AO75" s="59">
        <f t="shared" si="90"/>
        <v>153.31562485362252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1.2741481024709704</v>
      </c>
      <c r="AV75" s="21">
        <f>EXP(-LN(2)/25)*AV74+(1-EXP(-LN(2)/25))/(LN(2)/25)*Calculateur!AQ75*Calculateur!AS75*VLOOKUP('Données projet'!$B$10,Paramètres!$A$1:$I$89,3,0)*0.475*44/12</f>
        <v>1.8198774821813142</v>
      </c>
      <c r="AW75" s="21">
        <f>EXP(-LN(2)/2)*AW74+(1-EXP(-LN(2)/2))/(LN(2)/2)*AQ75*AT75*VLOOKUP('Données projet'!$B$10,Paramètres!$A$1:$I$89,3,0)*0.475*44/12</f>
        <v>5.2948134366519906E-6</v>
      </c>
      <c r="AX75" s="21">
        <f t="shared" si="60"/>
        <v>3.0940308794657212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9.9715384615384544</v>
      </c>
      <c r="BD75" s="12">
        <f>IF('Données projet'!$A$88&gt;35,BD74+BC75-BL74,IF(A75&lt;'Données projet'!$A$88,$BA$205^A75,IF(A75='Données projet'!$A$88,'Données projet'!$B$88,BD74+BC75-BL74)))</f>
        <v>480.33692307692297</v>
      </c>
      <c r="BE75" s="13">
        <f>BD75*VLOOKUP('Données projet'!$B$11,Paramètres!$A$1:$I$89,3,0)*VLOOKUP('Données projet'!$B$11,Paramètres!$A$1:$I$89,5,0)</f>
        <v>287.24147999999997</v>
      </c>
      <c r="BF75" s="13">
        <f t="shared" si="91"/>
        <v>68.495060196585953</v>
      </c>
      <c r="BG75" s="20">
        <f t="shared" si="61"/>
        <v>619.57447417572041</v>
      </c>
      <c r="BH75" s="59">
        <f t="shared" si="62"/>
        <v>912.90780750905378</v>
      </c>
      <c r="BI75" s="59">
        <f ca="1">AVERAGE(OFFSET($BH$3,0,0,'Données projet'!$E$11+1,1))-AVERAGE(OFFSET($H$3,0,0,'Données projet'!$E$11+1,1))</f>
        <v>250.93905519128998</v>
      </c>
      <c r="BJ75" s="59">
        <f t="shared" si="92"/>
        <v>222.32879462265032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0.5576319299148691</v>
      </c>
      <c r="BQ75" s="21">
        <f>EXP(-LN(2)/25)*BQ74+(1-EXP(-LN(2)/25))/(LN(2)/25)*Calculateur!BL75*Calculateur!BN75*VLOOKUP('Données projet'!$B$11,Paramètres!$A$1:$I$89,3,0)*0.475*44/12</f>
        <v>3.6122622947611962</v>
      </c>
      <c r="BR75" s="21">
        <f>EXP(-LN(2)/2)*BR74+(1-EXP(-LN(2)/2))/(LN(2)/2)*BL75*BO75*VLOOKUP('Données projet'!$B$11,Paramètres!$A$1:$I$89,3,0)*0.475*44/12</f>
        <v>8.9997222463916418E-7</v>
      </c>
      <c r="BS75" s="22">
        <f t="shared" si="63"/>
        <v>4.1698951246482903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7.5584615384615343</v>
      </c>
      <c r="BY75" s="12">
        <f>IF('Données projet'!$A$114&gt;35,BY74+BX75-CG74,IF(A75&lt;'Données projet'!$A$114,$BV$205^A75,IF(A75='Données projet'!$A$114,'Données projet'!$B$114,BY74+BX75-CG74)))</f>
        <v>342.43999999999977</v>
      </c>
      <c r="BZ75" s="13">
        <f>BY75*VLOOKUP('Données projet'!$B$12,Paramètres!$A$1:$I$89,3,0)*VLOOKUP('Données projet'!$B$12,Paramètres!$A$1:$I$89,5,0)</f>
        <v>204.77911999999986</v>
      </c>
      <c r="CA75" s="13">
        <f t="shared" si="93"/>
        <v>50.79302579334589</v>
      </c>
      <c r="CB75" s="20">
        <f t="shared" si="64"/>
        <v>445.12148725674388</v>
      </c>
      <c r="CC75" s="59">
        <f t="shared" si="65"/>
        <v>738.45482059007713</v>
      </c>
      <c r="CD75" s="59">
        <f ca="1">AVERAGE(OFFSET($CC$3,0,0,'Données projet'!$E$12+1,1))-AVERAGE(OFFSET($H$3,0,0,'Données projet'!$E$12+1,1))</f>
        <v>179.32848817523677</v>
      </c>
      <c r="CE75" s="59">
        <f t="shared" si="94"/>
        <v>131.3292389103035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4.1132736534063987</v>
      </c>
      <c r="CM75" s="21">
        <f>EXP(-LN(2)/2)*CM74+(1-EXP(-LN(2)/2))/(LN(2)/2)*CG75*CJ75*VLOOKUP('Données projet'!$B$12,Paramètres!$A$1:$I$89,3,0)*0.475*44/12</f>
        <v>2.509531677839966E-6</v>
      </c>
      <c r="CN75" s="22">
        <f t="shared" si="66"/>
        <v>4.1132761629380763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8.6875</v>
      </c>
      <c r="CT75" s="12">
        <f>IF('Données projet'!$A$140&gt;35,CT74+CS75-DB74,IF(A75&lt;'Données projet'!$A$140,$CQ$205^A75,IF(A75='Données projet'!$A$140,'Données projet'!$B$140,CT74+CS75-DB74)))</f>
        <v>272.27884615384602</v>
      </c>
      <c r="CU75" s="17">
        <f>CT75*VLOOKUP('Données projet'!$B$13,Paramètres!$A$1:$I$89,3,0)*VLOOKUP('Données projet'!$B$13,Paramètres!$A$1:$I$89,5,0)</f>
        <v>246.35789999999989</v>
      </c>
      <c r="CV75" s="13">
        <f t="shared" si="95"/>
        <v>59.805375077411945</v>
      </c>
      <c r="CW75" s="20">
        <f t="shared" si="67"/>
        <v>533.23437075982554</v>
      </c>
      <c r="CX75" s="59">
        <f t="shared" si="68"/>
        <v>826.56770409315891</v>
      </c>
      <c r="CY75" s="59">
        <f ca="1">AVERAGE(OFFSET($CX$3,0,0,'Données projet'!$E$13+1,1))-AVERAGE(OFFSET($H$3,0,0,'Données projet'!$E$13+1,1))</f>
        <v>309.07357540707869</v>
      </c>
      <c r="CZ75" s="59">
        <f t="shared" si="96"/>
        <v>155.9593924683299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3.7</v>
      </c>
      <c r="DO75" s="12">
        <f>IF('Données projet'!$A$166&gt;35,DO74+DN75-DW74,IF(A75&lt;'Données projet'!$A$166,$DL$205^A75,IF(A75='Données projet'!$A$166,'Données projet'!$B$166,DO74+DN75-DW74)))</f>
        <v>211.39999999999995</v>
      </c>
      <c r="DP75" s="17">
        <f>DO75*VLOOKUP('Données projet'!$B$14,Paramètres!$A$1:$I$89,3,0)*VLOOKUP('Données projet'!$B$14,Paramètres!$A$1:$I$89,5,0)</f>
        <v>184.67903999999999</v>
      </c>
      <c r="DQ75" s="13">
        <f t="shared" si="97"/>
        <v>46.361626470742181</v>
      </c>
      <c r="DR75" s="20">
        <f t="shared" si="70"/>
        <v>402.39582743654256</v>
      </c>
      <c r="DS75" s="59">
        <f t="shared" si="71"/>
        <v>695.72916076987588</v>
      </c>
      <c r="DT75" s="59">
        <f ca="1">AVERAGE(OFFSET($DS$3,0,0,'Données projet'!$E$14+1,1))-AVERAGE(OFFSET($H$3,0,0,'Données projet'!$E$14+1,1))</f>
        <v>210.07838338464626</v>
      </c>
      <c r="DU75" s="59">
        <f t="shared" si="98"/>
        <v>241.76003724236273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2.3070538120739292</v>
      </c>
      <c r="EB75" s="21">
        <f>EXP(-LN(2)/25)*EB74+(1-EXP(-LN(2)/25))/(LN(2)/25)*Calculateur!DW75*Calculateur!DY75*VLOOKUP('Données projet'!$B$14,Paramètres!$A$1:$I$89,3,0)*0.475*44/12</f>
        <v>4.2318115148591389</v>
      </c>
      <c r="EC75" s="21">
        <f>EXP(-LN(2)/2)*EC74+(1-EXP(-LN(2)/2))/(LN(2)/2)*DW75*DZ75*VLOOKUP('Données projet'!$B$14,Paramètres!$A$1:$I$89,3,0)*0.475*44/12</f>
        <v>7.6157686571356245E-6</v>
      </c>
      <c r="ED75" s="22">
        <f t="shared" si="72"/>
        <v>6.538872942701726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5.0999999999999996</v>
      </c>
      <c r="EJ75" s="12">
        <f>IF('Données projet'!$A$192&gt;35,EJ74+EI75-ER74,IF(A75&lt;'Données projet'!$A$192,$EG$205^A75,IF(A75='Données projet'!$A$192,'Données projet'!$B$192,EJ74+EI75-ER74)))</f>
        <v>346.20000000000044</v>
      </c>
      <c r="EK75" s="17">
        <f>EJ75*VLOOKUP('Données projet'!$B$15,Paramètres!$A$1:$I$89,3,0)*VLOOKUP('Données projet'!$B$15,Paramètres!$A$1:$I$89,5,0)</f>
        <v>216.02880000000027</v>
      </c>
      <c r="EL75" s="13">
        <f t="shared" si="99"/>
        <v>53.25085210905786</v>
      </c>
      <c r="EM75" s="20">
        <f t="shared" si="73"/>
        <v>468.99539408994292</v>
      </c>
      <c r="EN75" s="59">
        <f t="shared" si="74"/>
        <v>762.32872742327618</v>
      </c>
      <c r="EO75" s="59">
        <f ca="1">AVERAGE(OFFSET($EN$3,0,0,'Données projet'!$E$15+1,1))-AVERAGE(OFFSET($H$3,0,0,'Données projet'!$E$15+1,1))</f>
        <v>209.93608079129638</v>
      </c>
      <c r="EP75" s="59">
        <f t="shared" si="100"/>
        <v>240.15652428700969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3.0266084300476899</v>
      </c>
      <c r="EW75" s="21">
        <f>EXP(-LN(2)/25)*EW74+(1-EXP(-LN(2)/25))/(LN(2)/25)*Calculateur!ER75*Calculateur!ET75*VLOOKUP('Données projet'!$B$15,Paramètres!$A$1:$I$89,3,0)*0.475*44/12</f>
        <v>6.4875452939232447</v>
      </c>
      <c r="EX75" s="21">
        <f>EXP(-LN(2)/2)*EX74+(1-EXP(-LN(2)/2))/(LN(2)/2)*ER75*EU75*VLOOKUP('Données projet'!$B$15,Paramètres!$A$1:$I$89,3,0)*0.475*44/12</f>
        <v>9.627731086595108E-6</v>
      </c>
      <c r="EY75" s="22">
        <f t="shared" si="75"/>
        <v>9.5141633517020221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3.1</v>
      </c>
      <c r="N76" s="13">
        <f>IF('Données projet'!$A$36&gt;35,N75+M76-V75,IF(A76&lt;'Données projet'!$A$36,$K$205^A76,IF(A76='Données projet'!$A$36,'Données projet'!$B$36,N75+M76-V75)))</f>
        <v>262.2999999999999</v>
      </c>
      <c r="O76" s="13">
        <f>N76*VLOOKUP('Données projet'!$B$9,Paramètres!$A$1:$I$89,3,0)*VLOOKUP('Données projet'!$B$9,Paramètres!$A$1:$I$89,5,0)</f>
        <v>208.68587999999991</v>
      </c>
      <c r="P76" s="13">
        <f t="shared" si="87"/>
        <v>51.648312584769947</v>
      </c>
      <c r="Q76" s="20">
        <f t="shared" si="54"/>
        <v>453.41538541847422</v>
      </c>
      <c r="R76" s="59">
        <f t="shared" si="55"/>
        <v>746.74871875180747</v>
      </c>
      <c r="S76" s="59">
        <f ca="1">AVERAGE(OFFSET($R$3,0,0,'Données projet'!$E$9+1,1))-AVERAGE(OFFSET($H$3,0,0,'Données projet'!$E$9+1,1))</f>
        <v>199.58763537752952</v>
      </c>
      <c r="T76" s="59">
        <f t="shared" si="88"/>
        <v>242.62852778451929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3.1213843563786186</v>
      </c>
      <c r="AB76" s="21">
        <f>EXP(-LN(2)/2)*AB75+(1-EXP(-LN(2)/2))/(LN(2)/2)*V76*Y76*VLOOKUP('Données projet'!$B$9,Paramètres!$A$1:$I$89,3,0)*0.475*44/12</f>
        <v>3.6285261707215424E-6</v>
      </c>
      <c r="AC76" s="22">
        <f t="shared" si="57"/>
        <v>3.1213879849047892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15.4</v>
      </c>
      <c r="AI76" s="13">
        <f>IF('Données projet'!$A$62&gt;35,AI75+AH76-AQ75,IF(A76&lt;'Données projet'!$A$62,$AF$205^A76,IF(A76='Données projet'!$A$62,'Données projet'!$B$62,AI75+AH76-AQ75)))</f>
        <v>451.20000000000005</v>
      </c>
      <c r="AJ76" s="13">
        <f>AI76*VLOOKUP('Données projet'!$B$10,Paramètres!$A$1:$I$89,3,0)*VLOOKUP('Données projet'!$B$10,Paramètres!$A$1:$I$89,5,0)</f>
        <v>269.81760000000003</v>
      </c>
      <c r="AK76" s="13">
        <f t="shared" si="89"/>
        <v>64.810557882019467</v>
      </c>
      <c r="AL76" s="20">
        <f t="shared" si="58"/>
        <v>582.81070831118393</v>
      </c>
      <c r="AM76" s="59">
        <f t="shared" si="59"/>
        <v>876.1440416445173</v>
      </c>
      <c r="AN76" s="59">
        <f ca="1">AVERAGE(OFFSET($AM$3,0,0,'Données projet'!$E$10+1,1))-AVERAGE(OFFSET($H$3,0,0,'Données projet'!$E$10+1,1))</f>
        <v>287.78657453117694</v>
      </c>
      <c r="AO76" s="59">
        <f t="shared" si="90"/>
        <v>153.31562485362252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1.2491628353351196</v>
      </c>
      <c r="AV76" s="21">
        <f>EXP(-LN(2)/25)*AV75+(1-EXP(-LN(2)/25))/(LN(2)/25)*Calculateur!AQ76*Calculateur!AS76*VLOOKUP('Données projet'!$B$10,Paramètres!$A$1:$I$89,3,0)*0.475*44/12</f>
        <v>1.7701128367278687</v>
      </c>
      <c r="AW76" s="21">
        <f>EXP(-LN(2)/2)*AW75+(1-EXP(-LN(2)/2))/(LN(2)/2)*AQ76*AT76*VLOOKUP('Données projet'!$B$10,Paramètres!$A$1:$I$89,3,0)*0.475*44/12</f>
        <v>3.743998486174271E-6</v>
      </c>
      <c r="AX76" s="21">
        <f t="shared" si="60"/>
        <v>3.0192794160614747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9.9715384615384544</v>
      </c>
      <c r="BD76" s="12">
        <f>IF('Données projet'!$A$88&gt;35,BD75+BC76-BL75,IF(A76&lt;'Données projet'!$A$88,$BA$205^A76,IF(A76='Données projet'!$A$88,'Données projet'!$B$88,BD75+BC76-BL75)))</f>
        <v>490.30846153846142</v>
      </c>
      <c r="BE76" s="13">
        <f>BD76*VLOOKUP('Données projet'!$B$11,Paramètres!$A$1:$I$89,3,0)*VLOOKUP('Données projet'!$B$11,Paramètres!$A$1:$I$89,5,0)</f>
        <v>293.20445999999993</v>
      </c>
      <c r="BF76" s="13">
        <f t="shared" si="91"/>
        <v>69.749963140285985</v>
      </c>
      <c r="BG76" s="20">
        <f t="shared" si="61"/>
        <v>632.14562030266472</v>
      </c>
      <c r="BH76" s="59">
        <f t="shared" si="62"/>
        <v>925.4789536359981</v>
      </c>
      <c r="BI76" s="59">
        <f ca="1">AVERAGE(OFFSET($BH$3,0,0,'Données projet'!$E$11+1,1))-AVERAGE(OFFSET($H$3,0,0,'Données projet'!$E$11+1,1))</f>
        <v>250.93905519128998</v>
      </c>
      <c r="BJ76" s="59">
        <f t="shared" si="92"/>
        <v>222.32879462265032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0.54669710789113146</v>
      </c>
      <c r="BQ76" s="21">
        <f>EXP(-LN(2)/25)*BQ75+(1-EXP(-LN(2)/25))/(LN(2)/25)*Calculateur!BL76*Calculateur!BN76*VLOOKUP('Données projet'!$B$11,Paramètres!$A$1:$I$89,3,0)*0.475*44/12</f>
        <v>3.513484792350333</v>
      </c>
      <c r="BR76" s="21">
        <f>EXP(-LN(2)/2)*BR75+(1-EXP(-LN(2)/2))/(LN(2)/2)*BL76*BO76*VLOOKUP('Données projet'!$B$11,Paramètres!$A$1:$I$89,3,0)*0.475*44/12</f>
        <v>6.3637646292189585E-7</v>
      </c>
      <c r="BS76" s="22">
        <f t="shared" si="63"/>
        <v>4.0601825366179272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7.5584615384615343</v>
      </c>
      <c r="BY76" s="12">
        <f>IF('Données projet'!$A$114&gt;35,BY75+BX76-CG75,IF(A76&lt;'Données projet'!$A$114,$BV$205^A76,IF(A76='Données projet'!$A$114,'Données projet'!$B$114,BY75+BX76-CG75)))</f>
        <v>349.9984615384613</v>
      </c>
      <c r="BZ76" s="13">
        <f>BY76*VLOOKUP('Données projet'!$B$12,Paramètres!$A$1:$I$89,3,0)*VLOOKUP('Données projet'!$B$12,Paramètres!$A$1:$I$89,5,0)</f>
        <v>209.29907999999986</v>
      </c>
      <c r="CA76" s="13">
        <f t="shared" si="93"/>
        <v>51.782387252616175</v>
      </c>
      <c r="CB76" s="20">
        <f t="shared" si="64"/>
        <v>454.71688879830623</v>
      </c>
      <c r="CC76" s="59">
        <f t="shared" si="65"/>
        <v>748.05022213163954</v>
      </c>
      <c r="CD76" s="59">
        <f ca="1">AVERAGE(OFFSET($CC$3,0,0,'Données projet'!$E$12+1,1))-AVERAGE(OFFSET($H$3,0,0,'Données projet'!$E$12+1,1))</f>
        <v>179.32848817523677</v>
      </c>
      <c r="CE76" s="59">
        <f t="shared" si="94"/>
        <v>131.3292389103035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4.0007959690463402</v>
      </c>
      <c r="CM76" s="21">
        <f>EXP(-LN(2)/2)*CM75+(1-EXP(-LN(2)/2))/(LN(2)/2)*CG76*CJ76*VLOOKUP('Données projet'!$B$12,Paramètres!$A$1:$I$89,3,0)*0.475*44/12</f>
        <v>1.7745068670030944E-6</v>
      </c>
      <c r="CN76" s="22">
        <f t="shared" si="66"/>
        <v>4.0007977435532069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8.6875</v>
      </c>
      <c r="CT76" s="12">
        <f>IF('Données projet'!$A$140&gt;35,CT75+CS76-DB75,IF(A76&lt;'Données projet'!$A$140,$CQ$205^A76,IF(A76='Données projet'!$A$140,'Données projet'!$B$140,CT75+CS76-DB75)))</f>
        <v>280.96634615384602</v>
      </c>
      <c r="CU76" s="17">
        <f>CT76*VLOOKUP('Données projet'!$B$13,Paramètres!$A$1:$I$89,3,0)*VLOOKUP('Données projet'!$B$13,Paramètres!$A$1:$I$89,5,0)</f>
        <v>254.21834999999987</v>
      </c>
      <c r="CV76" s="13">
        <f t="shared" si="95"/>
        <v>61.488355471111007</v>
      </c>
      <c r="CW76" s="20">
        <f t="shared" si="67"/>
        <v>549.85584536218471</v>
      </c>
      <c r="CX76" s="59">
        <f t="shared" si="68"/>
        <v>843.18917869551797</v>
      </c>
      <c r="CY76" s="59">
        <f ca="1">AVERAGE(OFFSET($CX$3,0,0,'Données projet'!$E$13+1,1))-AVERAGE(OFFSET($H$3,0,0,'Données projet'!$E$13+1,1))</f>
        <v>309.07357540707869</v>
      </c>
      <c r="CZ76" s="59">
        <f t="shared" si="96"/>
        <v>155.9593924683299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3.7</v>
      </c>
      <c r="DO76" s="12">
        <f>IF('Données projet'!$A$166&gt;35,DO75+DN76-DW75,IF(A76&lt;'Données projet'!$A$166,$DL$205^A76,IF(A76='Données projet'!$A$166,'Données projet'!$B$166,DO75+DN76-DW75)))</f>
        <v>215.09999999999994</v>
      </c>
      <c r="DP76" s="17">
        <f>DO76*VLOOKUP('Données projet'!$B$14,Paramètres!$A$1:$I$89,3,0)*VLOOKUP('Données projet'!$B$14,Paramètres!$A$1:$I$89,5,0)</f>
        <v>187.91135999999997</v>
      </c>
      <c r="DQ76" s="13">
        <f t="shared" si="97"/>
        <v>47.077887554632845</v>
      </c>
      <c r="DR76" s="20">
        <f t="shared" si="70"/>
        <v>409.27293949098544</v>
      </c>
      <c r="DS76" s="59">
        <f t="shared" si="71"/>
        <v>702.60627282431869</v>
      </c>
      <c r="DT76" s="59">
        <f ca="1">AVERAGE(OFFSET($DS$3,0,0,'Données projet'!$E$14+1,1))-AVERAGE(OFFSET($H$3,0,0,'Données projet'!$E$14+1,1))</f>
        <v>210.07838338464626</v>
      </c>
      <c r="DU76" s="59">
        <f t="shared" si="98"/>
        <v>241.76003724236273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2.2618138939830388</v>
      </c>
      <c r="EB76" s="21">
        <f>EXP(-LN(2)/25)*EB75+(1-EXP(-LN(2)/25))/(LN(2)/25)*Calculateur!DW76*Calculateur!DY76*VLOOKUP('Données projet'!$B$14,Paramètres!$A$1:$I$89,3,0)*0.475*44/12</f>
        <v>4.1160924064440199</v>
      </c>
      <c r="EC76" s="21">
        <f>EXP(-LN(2)/2)*EC75+(1-EXP(-LN(2)/2))/(LN(2)/2)*DW76*DZ76*VLOOKUP('Données projet'!$B$14,Paramètres!$A$1:$I$89,3,0)*0.475*44/12</f>
        <v>5.3851616614085675E-6</v>
      </c>
      <c r="ED76" s="22">
        <f t="shared" si="72"/>
        <v>6.3779116855887201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5.0999999999999996</v>
      </c>
      <c r="EJ76" s="12">
        <f>IF('Données projet'!$A$192&gt;35,EJ75+EI76-ER75,IF(A76&lt;'Données projet'!$A$192,$EG$205^A76,IF(A76='Données projet'!$A$192,'Données projet'!$B$192,EJ75+EI76-ER75)))</f>
        <v>351.30000000000047</v>
      </c>
      <c r="EK76" s="17">
        <f>EJ76*VLOOKUP('Données projet'!$B$15,Paramètres!$A$1:$I$89,3,0)*VLOOKUP('Données projet'!$B$15,Paramètres!$A$1:$I$89,5,0)</f>
        <v>219.2112000000003</v>
      </c>
      <c r="EL76" s="13">
        <f t="shared" si="99"/>
        <v>53.943408114730026</v>
      </c>
      <c r="EM76" s="20">
        <f t="shared" si="73"/>
        <v>475.74427579982193</v>
      </c>
      <c r="EN76" s="59">
        <f t="shared" si="74"/>
        <v>769.07760913315519</v>
      </c>
      <c r="EO76" s="59">
        <f ca="1">AVERAGE(OFFSET($EN$3,0,0,'Données projet'!$E$15+1,1))-AVERAGE(OFFSET($H$3,0,0,'Données projet'!$E$15+1,1))</f>
        <v>209.93608079129638</v>
      </c>
      <c r="EP76" s="59">
        <f t="shared" si="100"/>
        <v>240.15652428700969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2.967258484783315</v>
      </c>
      <c r="EW76" s="21">
        <f>EXP(-LN(2)/25)*EW75+(1-EXP(-LN(2)/25))/(LN(2)/25)*Calculateur!ER76*Calculateur!ET76*VLOOKUP('Données projet'!$B$15,Paramètres!$A$1:$I$89,3,0)*0.475*44/12</f>
        <v>6.3101430266957337</v>
      </c>
      <c r="EX76" s="21">
        <f>EXP(-LN(2)/2)*EX75+(1-EXP(-LN(2)/2))/(LN(2)/2)*ER76*EU76*VLOOKUP('Données projet'!$B$15,Paramètres!$A$1:$I$89,3,0)*0.475*44/12</f>
        <v>6.8078339387719286E-6</v>
      </c>
      <c r="EY76" s="22">
        <f t="shared" si="75"/>
        <v>9.2774083193129879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3.1</v>
      </c>
      <c r="N77" s="13">
        <f>IF('Données projet'!$A$36&gt;35,N76+M77-V76,IF(A77&lt;'Données projet'!$A$36,$K$205^A77,IF(A77='Données projet'!$A$36,'Données projet'!$B$36,N76+M77-V76)))</f>
        <v>265.39999999999992</v>
      </c>
      <c r="O77" s="13">
        <f>N77*VLOOKUP('Données projet'!$B$9,Paramètres!$A$1:$I$89,3,0)*VLOOKUP('Données projet'!$B$9,Paramètres!$A$1:$I$89,5,0)</f>
        <v>211.15223999999995</v>
      </c>
      <c r="P77" s="13">
        <f t="shared" si="87"/>
        <v>52.187298885462759</v>
      </c>
      <c r="Q77" s="20">
        <f t="shared" si="54"/>
        <v>458.64969689218088</v>
      </c>
      <c r="R77" s="59">
        <f t="shared" si="55"/>
        <v>751.9830302255142</v>
      </c>
      <c r="S77" s="59">
        <f ca="1">AVERAGE(OFFSET($R$3,0,0,'Données projet'!$E$9+1,1))-AVERAGE(OFFSET($H$3,0,0,'Données projet'!$E$9+1,1))</f>
        <v>199.58763537752952</v>
      </c>
      <c r="T77" s="59">
        <f t="shared" si="88"/>
        <v>242.62852778451929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3.0360299370069761</v>
      </c>
      <c r="AB77" s="21">
        <f>EXP(-LN(2)/2)*AB76+(1-EXP(-LN(2)/2))/(LN(2)/2)*V77*Y77*VLOOKUP('Données projet'!$B$9,Paramètres!$A$1:$I$89,3,0)*0.475*44/12</f>
        <v>2.5657554610300588E-6</v>
      </c>
      <c r="AC77" s="22">
        <f t="shared" si="57"/>
        <v>3.0360325027624371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15.4</v>
      </c>
      <c r="AI77" s="13">
        <f>IF('Données projet'!$A$62&gt;35,AI76+AH77-AQ76,IF(A77&lt;'Données projet'!$A$62,$AF$205^A77,IF(A77='Données projet'!$A$62,'Données projet'!$B$62,AI76+AH77-AQ76)))</f>
        <v>466.6</v>
      </c>
      <c r="AJ77" s="13">
        <f>AI77*VLOOKUP('Données projet'!$B$10,Paramètres!$A$1:$I$89,3,0)*VLOOKUP('Données projet'!$B$10,Paramètres!$A$1:$I$89,5,0)</f>
        <v>279.02680000000004</v>
      </c>
      <c r="AK77" s="13">
        <f t="shared" si="89"/>
        <v>66.761302087713773</v>
      </c>
      <c r="AL77" s="20">
        <f t="shared" si="58"/>
        <v>602.24761113610145</v>
      </c>
      <c r="AM77" s="59">
        <f t="shared" si="59"/>
        <v>895.58094446943483</v>
      </c>
      <c r="AN77" s="59">
        <f ca="1">AVERAGE(OFFSET($AM$3,0,0,'Données projet'!$E$10+1,1))-AVERAGE(OFFSET($H$3,0,0,'Données projet'!$E$10+1,1))</f>
        <v>287.78657453117694</v>
      </c>
      <c r="AO77" s="59">
        <f t="shared" si="90"/>
        <v>153.31562485362252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1.2246675140482948</v>
      </c>
      <c r="AV77" s="21">
        <f>EXP(-LN(2)/25)*AV76+(1-EXP(-LN(2)/25))/(LN(2)/25)*Calculateur!AQ77*Calculateur!AS77*VLOOKUP('Données projet'!$B$10,Paramètres!$A$1:$I$89,3,0)*0.475*44/12</f>
        <v>1.7217090081213566</v>
      </c>
      <c r="AW77" s="21">
        <f>EXP(-LN(2)/2)*AW76+(1-EXP(-LN(2)/2))/(LN(2)/2)*AQ77*AT77*VLOOKUP('Données projet'!$B$10,Paramètres!$A$1:$I$89,3,0)*0.475*44/12</f>
        <v>2.6474067183259957E-6</v>
      </c>
      <c r="AX77" s="21">
        <f t="shared" si="60"/>
        <v>2.9463791695763697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9.9715384615384544</v>
      </c>
      <c r="BD77" s="12">
        <f>IF('Données projet'!$A$88&gt;35,BD76+BC77-BL76,IF(A77&lt;'Données projet'!$A$88,$BA$205^A77,IF(A77='Données projet'!$A$88,'Données projet'!$B$88,BD76+BC77-BL76)))</f>
        <v>500.27999999999986</v>
      </c>
      <c r="BE77" s="13">
        <f>BD77*VLOOKUP('Données projet'!$B$11,Paramètres!$A$1:$I$89,3,0)*VLOOKUP('Données projet'!$B$11,Paramètres!$A$1:$I$89,5,0)</f>
        <v>299.16743999999994</v>
      </c>
      <c r="BF77" s="13">
        <f t="shared" si="91"/>
        <v>71.001898700991546</v>
      </c>
      <c r="BG77" s="20">
        <f t="shared" si="61"/>
        <v>644.71159823756022</v>
      </c>
      <c r="BH77" s="59">
        <f t="shared" si="62"/>
        <v>938.0449315708936</v>
      </c>
      <c r="BI77" s="59">
        <f ca="1">AVERAGE(OFFSET($BH$3,0,0,'Données projet'!$E$11+1,1))-AVERAGE(OFFSET($H$3,0,0,'Données projet'!$E$11+1,1))</f>
        <v>250.93905519128998</v>
      </c>
      <c r="BJ77" s="59">
        <f t="shared" si="92"/>
        <v>222.32879462265032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0.53597671105769651</v>
      </c>
      <c r="BQ77" s="21">
        <f>EXP(-LN(2)/25)*BQ76+(1-EXP(-LN(2)/25))/(LN(2)/25)*Calculateur!BL77*Calculateur!BN77*VLOOKUP('Données projet'!$B$11,Paramètres!$A$1:$I$89,3,0)*0.475*44/12</f>
        <v>3.4174083659373782</v>
      </c>
      <c r="BR77" s="21">
        <f>EXP(-LN(2)/2)*BR76+(1-EXP(-LN(2)/2))/(LN(2)/2)*BL77*BO77*VLOOKUP('Données projet'!$B$11,Paramètres!$A$1:$I$89,3,0)*0.475*44/12</f>
        <v>4.4998611231958209E-7</v>
      </c>
      <c r="BS77" s="22">
        <f t="shared" si="63"/>
        <v>3.9533855269811871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7.5584615384615343</v>
      </c>
      <c r="BY77" s="12">
        <f>IF('Données projet'!$A$114&gt;35,BY76+BX77-CG76,IF(A77&lt;'Données projet'!$A$114,$BV$205^A77,IF(A77='Données projet'!$A$114,'Données projet'!$B$114,BY76+BX77-CG76)))</f>
        <v>357.55692307692283</v>
      </c>
      <c r="BZ77" s="13">
        <f>BY77*VLOOKUP('Données projet'!$B$12,Paramètres!$A$1:$I$89,3,0)*VLOOKUP('Données projet'!$B$12,Paramètres!$A$1:$I$89,5,0)</f>
        <v>213.81903999999986</v>
      </c>
      <c r="CA77" s="13">
        <f t="shared" si="93"/>
        <v>52.769264634128973</v>
      </c>
      <c r="CB77" s="20">
        <f t="shared" si="64"/>
        <v>464.30796390444101</v>
      </c>
      <c r="CC77" s="59">
        <f t="shared" si="65"/>
        <v>757.64129723777432</v>
      </c>
      <c r="CD77" s="59">
        <f ca="1">AVERAGE(OFFSET($CC$3,0,0,'Données projet'!$E$12+1,1))-AVERAGE(OFFSET($H$3,0,0,'Données projet'!$E$12+1,1))</f>
        <v>179.32848817523677</v>
      </c>
      <c r="CE77" s="59">
        <f t="shared" si="94"/>
        <v>131.3292389103035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3.8913939928800518</v>
      </c>
      <c r="CM77" s="21">
        <f>EXP(-LN(2)/2)*CM76+(1-EXP(-LN(2)/2))/(LN(2)/2)*CG77*CJ77*VLOOKUP('Données projet'!$B$12,Paramètres!$A$1:$I$89,3,0)*0.475*44/12</f>
        <v>1.254765838919983E-6</v>
      </c>
      <c r="CN77" s="22">
        <f t="shared" si="66"/>
        <v>3.8913952476458906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289.65384615384613</v>
      </c>
      <c r="CR77" s="12">
        <f>VLOOKUP(A77,'Données projet'!$A$139:$I$159,9,0)</f>
        <v>8.6875</v>
      </c>
      <c r="CS77" s="12">
        <f t="array" ref="CS77">INDEX(CR:CR,MIN(IF(ISNUMBER(CR77:CR273),ROW(CR77:CR273),"")))</f>
        <v>8.6875</v>
      </c>
      <c r="CT77" s="12">
        <f>IF('Données projet'!$A$140&gt;35,CT76+CS77-DB76,IF(A77&lt;'Données projet'!$A$140,$CQ$205^A77,IF(A77='Données projet'!$A$140,'Données projet'!$B$140,CT76+CS77-DB76)))</f>
        <v>289.65384615384602</v>
      </c>
      <c r="CU77" s="17">
        <f>CT77*VLOOKUP('Données projet'!$B$13,Paramètres!$A$1:$I$89,3,0)*VLOOKUP('Données projet'!$B$13,Paramètres!$A$1:$I$89,5,0)</f>
        <v>262.07879999999989</v>
      </c>
      <c r="CV77" s="13">
        <f t="shared" si="95"/>
        <v>63.165288525021069</v>
      </c>
      <c r="CW77" s="20">
        <f t="shared" si="67"/>
        <v>566.46678751441152</v>
      </c>
      <c r="CX77" s="59">
        <f t="shared" si="68"/>
        <v>859.80012084774489</v>
      </c>
      <c r="CY77" s="59">
        <f ca="1">AVERAGE(OFFSET($CX$3,0,0,'Données projet'!$E$13+1,1))-AVERAGE(OFFSET($H$3,0,0,'Données projet'!$E$13+1,1))</f>
        <v>309.07357540707869</v>
      </c>
      <c r="CZ77" s="59">
        <f t="shared" si="96"/>
        <v>155.9593924683299</v>
      </c>
      <c r="DA77" s="15">
        <f>IF(ISNA(VLOOKUP(A77,'Données projet'!$A$139:$I$159,3,0)),0,VLOOKUP(A77,'Données projet'!$A$139:$I$159,3,0))</f>
        <v>6</v>
      </c>
      <c r="DB77" s="15">
        <f>IF(ISNA(VLOOKUP(A77,'Données projet'!$A$139:$I$159,4,0)),0,VLOOKUP(A77,'Données projet'!$A$139:$I$159,4,0))</f>
        <v>52.737179487179482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3.7</v>
      </c>
      <c r="DO77" s="12">
        <f>IF('Données projet'!$A$166&gt;35,DO76+DN77-DW76,IF(A77&lt;'Données projet'!$A$166,$DL$205^A77,IF(A77='Données projet'!$A$166,'Données projet'!$B$166,DO76+DN77-DW76)))</f>
        <v>218.79999999999993</v>
      </c>
      <c r="DP77" s="17">
        <f>DO77*VLOOKUP('Données projet'!$B$14,Paramètres!$A$1:$I$89,3,0)*VLOOKUP('Données projet'!$B$14,Paramètres!$A$1:$I$89,5,0)</f>
        <v>191.14367999999996</v>
      </c>
      <c r="DQ77" s="13">
        <f t="shared" si="97"/>
        <v>47.792715878069544</v>
      </c>
      <c r="DR77" s="20">
        <f t="shared" si="70"/>
        <v>416.14755615430437</v>
      </c>
      <c r="DS77" s="59">
        <f t="shared" si="71"/>
        <v>709.48088948763768</v>
      </c>
      <c r="DT77" s="59">
        <f ca="1">AVERAGE(OFFSET($DS$3,0,0,'Données projet'!$E$14+1,1))-AVERAGE(OFFSET($H$3,0,0,'Données projet'!$E$14+1,1))</f>
        <v>210.07838338464626</v>
      </c>
      <c r="DU77" s="59">
        <f t="shared" si="98"/>
        <v>241.76003724236273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2.2174611030922855</v>
      </c>
      <c r="EB77" s="21">
        <f>EXP(-LN(2)/25)*EB76+(1-EXP(-LN(2)/25))/(LN(2)/25)*Calculateur!DW77*Calculateur!DY77*VLOOKUP('Données projet'!$B$14,Paramètres!$A$1:$I$89,3,0)*0.475*44/12</f>
        <v>4.0035376431339156</v>
      </c>
      <c r="EC77" s="21">
        <f>EXP(-LN(2)/2)*EC76+(1-EXP(-LN(2)/2))/(LN(2)/2)*DW77*DZ77*VLOOKUP('Données projet'!$B$14,Paramètres!$A$1:$I$89,3,0)*0.475*44/12</f>
        <v>3.8078843285678131E-6</v>
      </c>
      <c r="ED77" s="22">
        <f t="shared" si="72"/>
        <v>6.2210025541105294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5.0999999999999996</v>
      </c>
      <c r="EJ77" s="12">
        <f>IF('Données projet'!$A$192&gt;35,EJ76+EI77-ER76,IF(A77&lt;'Données projet'!$A$192,$EG$205^A77,IF(A77='Données projet'!$A$192,'Données projet'!$B$192,EJ76+EI77-ER76)))</f>
        <v>356.40000000000049</v>
      </c>
      <c r="EK77" s="17">
        <f>EJ77*VLOOKUP('Données projet'!$B$15,Paramètres!$A$1:$I$89,3,0)*VLOOKUP('Données projet'!$B$15,Paramètres!$A$1:$I$89,5,0)</f>
        <v>222.3936000000003</v>
      </c>
      <c r="EL77" s="13">
        <f t="shared" si="99"/>
        <v>54.634794757949336</v>
      </c>
      <c r="EM77" s="20">
        <f t="shared" si="73"/>
        <v>482.49112087009553</v>
      </c>
      <c r="EN77" s="59">
        <f t="shared" si="74"/>
        <v>775.82445420342879</v>
      </c>
      <c r="EO77" s="59">
        <f ca="1">AVERAGE(OFFSET($EN$3,0,0,'Données projet'!$E$15+1,1))-AVERAGE(OFFSET($H$3,0,0,'Données projet'!$E$15+1,1))</f>
        <v>209.93608079129638</v>
      </c>
      <c r="EP77" s="59">
        <f t="shared" si="100"/>
        <v>240.15652428700969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2.9090723557456823</v>
      </c>
      <c r="EW77" s="21">
        <f>EXP(-LN(2)/25)*EW76+(1-EXP(-LN(2)/25))/(LN(2)/25)*Calculateur!ER77*Calculateur!ET77*VLOOKUP('Données projet'!$B$15,Paramètres!$A$1:$I$89,3,0)*0.475*44/12</f>
        <v>6.1375918337947395</v>
      </c>
      <c r="EX77" s="21">
        <f>EXP(-LN(2)/2)*EX76+(1-EXP(-LN(2)/2))/(LN(2)/2)*ER77*EU77*VLOOKUP('Données projet'!$B$15,Paramètres!$A$1:$I$89,3,0)*0.475*44/12</f>
        <v>4.813865543297554E-6</v>
      </c>
      <c r="EY77" s="22">
        <f t="shared" si="75"/>
        <v>9.0466690034059649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3.1</v>
      </c>
      <c r="N78" s="13">
        <f>IF('Données projet'!$A$36&gt;35,N77+M78-V77,IF(A78&lt;'Données projet'!$A$36,$K$205^A78,IF(A78='Données projet'!$A$36,'Données projet'!$B$36,N77+M78-V77)))</f>
        <v>268.49999999999994</v>
      </c>
      <c r="O78" s="13">
        <f>N78*VLOOKUP('Données projet'!$B$9,Paramètres!$A$1:$I$89,3,0)*VLOOKUP('Données projet'!$B$9,Paramètres!$A$1:$I$89,5,0)</f>
        <v>213.61859999999996</v>
      </c>
      <c r="P78" s="13">
        <f t="shared" si="87"/>
        <v>52.725552856326011</v>
      </c>
      <c r="Q78" s="20">
        <f t="shared" si="54"/>
        <v>463.88273289143444</v>
      </c>
      <c r="R78" s="59">
        <f t="shared" si="55"/>
        <v>757.2160662247677</v>
      </c>
      <c r="S78" s="59">
        <f ca="1">AVERAGE(OFFSET($R$3,0,0,'Données projet'!$E$9+1,1))-AVERAGE(OFFSET($H$3,0,0,'Données projet'!$E$9+1,1))</f>
        <v>199.58763537752952</v>
      </c>
      <c r="T78" s="59">
        <f t="shared" si="88"/>
        <v>242.62852778451929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</v>
      </c>
      <c r="AA78" s="21">
        <f>EXP(-LN(2)/25)*AA77+(1-EXP(-LN(2)/25))/(LN(2)/25)*Calculateur!V78*Calculateur!X78*VLOOKUP('Données projet'!$B$9,Paramètres!$A$1:$I$89,3,0)*0.475*44/12</f>
        <v>2.9530095387216448</v>
      </c>
      <c r="AB78" s="21">
        <f>EXP(-LN(2)/2)*AB77+(1-EXP(-LN(2)/2))/(LN(2)/2)*V78*Y78*VLOOKUP('Données projet'!$B$9,Paramètres!$A$1:$I$89,3,0)*0.475*44/12</f>
        <v>1.8142630853607712E-6</v>
      </c>
      <c r="AC78" s="22">
        <f t="shared" si="57"/>
        <v>2.9530113529847304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15.4</v>
      </c>
      <c r="AI78" s="13">
        <f>IF('Données projet'!$A$62&gt;35,AI77+AH78-AQ77,IF(A78&lt;'Données projet'!$A$62,$AF$205^A78,IF(A78='Données projet'!$A$62,'Données projet'!$B$62,AI77+AH78-AQ77)))</f>
        <v>482</v>
      </c>
      <c r="AJ78" s="13">
        <f>AI78*VLOOKUP('Données projet'!$B$10,Paramètres!$A$1:$I$89,3,0)*VLOOKUP('Données projet'!$B$10,Paramètres!$A$1:$I$89,5,0)</f>
        <v>288.23599999999999</v>
      </c>
      <c r="AK78" s="13">
        <f t="shared" si="89"/>
        <v>68.704564966369475</v>
      </c>
      <c r="AL78" s="20">
        <f t="shared" si="58"/>
        <v>621.67148398309348</v>
      </c>
      <c r="AM78" s="59">
        <f t="shared" si="59"/>
        <v>915.00481731642685</v>
      </c>
      <c r="AN78" s="59">
        <f ca="1">AVERAGE(OFFSET($AM$3,0,0,'Données projet'!$E$10+1,1))-AVERAGE(OFFSET($H$3,0,0,'Données projet'!$E$10+1,1))</f>
        <v>287.78657453117694</v>
      </c>
      <c r="AO78" s="59">
        <f t="shared" si="90"/>
        <v>153.31562485362252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1.2006525310712337</v>
      </c>
      <c r="AV78" s="21">
        <f>EXP(-LN(2)/25)*AV77+(1-EXP(-LN(2)/25))/(LN(2)/25)*Calculateur!AQ78*Calculateur!AS78*VLOOKUP('Données projet'!$B$10,Paramètres!$A$1:$I$89,3,0)*0.475*44/12</f>
        <v>1.6746287847535364</v>
      </c>
      <c r="AW78" s="21">
        <f>EXP(-LN(2)/2)*AW77+(1-EXP(-LN(2)/2))/(LN(2)/2)*AQ78*AT78*VLOOKUP('Données projet'!$B$10,Paramètres!$A$1:$I$89,3,0)*0.475*44/12</f>
        <v>1.8719992430871359E-6</v>
      </c>
      <c r="AX78" s="21">
        <f t="shared" si="60"/>
        <v>2.8752831878240133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9.9715384615384544</v>
      </c>
      <c r="BD78" s="12">
        <f>IF('Données projet'!$A$88&gt;35,BD77+BC78-BL77,IF(A78&lt;'Données projet'!$A$88,$BA$205^A78,IF(A78='Données projet'!$A$88,'Données projet'!$B$88,BD77+BC78-BL77)))</f>
        <v>510.2515384615383</v>
      </c>
      <c r="BE78" s="13">
        <f>BD78*VLOOKUP('Données projet'!$B$11,Paramètres!$A$1:$I$89,3,0)*VLOOKUP('Données projet'!$B$11,Paramètres!$A$1:$I$89,5,0)</f>
        <v>305.13041999999996</v>
      </c>
      <c r="BF78" s="13">
        <f t="shared" si="91"/>
        <v>72.250932841155517</v>
      </c>
      <c r="BG78" s="20">
        <f t="shared" si="61"/>
        <v>657.27252286501243</v>
      </c>
      <c r="BH78" s="59">
        <f t="shared" si="62"/>
        <v>950.60585619834569</v>
      </c>
      <c r="BI78" s="59">
        <f ca="1">AVERAGE(OFFSET($BH$3,0,0,'Données projet'!$E$11+1,1))-AVERAGE(OFFSET($H$3,0,0,'Données projet'!$E$11+1,1))</f>
        <v>250.93905519128998</v>
      </c>
      <c r="BJ78" s="59">
        <f t="shared" si="92"/>
        <v>222.32879462265032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0.52546653466736881</v>
      </c>
      <c r="BQ78" s="21">
        <f>EXP(-LN(2)/25)*BQ77+(1-EXP(-LN(2)/25))/(LN(2)/25)*Calculateur!BL78*Calculateur!BN78*VLOOKUP('Données projet'!$B$11,Paramètres!$A$1:$I$89,3,0)*0.475*44/12</f>
        <v>3.3239591544571252</v>
      </c>
      <c r="BR78" s="21">
        <f>EXP(-LN(2)/2)*BR77+(1-EXP(-LN(2)/2))/(LN(2)/2)*BL78*BO78*VLOOKUP('Données projet'!$B$11,Paramètres!$A$1:$I$89,3,0)*0.475*44/12</f>
        <v>3.1818823146094793E-7</v>
      </c>
      <c r="BS78" s="22">
        <f t="shared" si="63"/>
        <v>3.8494260073127253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7.5584615384615343</v>
      </c>
      <c r="BY78" s="12">
        <f>IF('Données projet'!$A$114&gt;35,BY77+BX78-CG77,IF(A78&lt;'Données projet'!$A$114,$BV$205^A78,IF(A78='Données projet'!$A$114,'Données projet'!$B$114,BY77+BX78-CG77)))</f>
        <v>365.11538461538436</v>
      </c>
      <c r="BZ78" s="13">
        <f>BY78*VLOOKUP('Données projet'!$B$12,Paramètres!$A$1:$I$89,3,0)*VLOOKUP('Données projet'!$B$12,Paramètres!$A$1:$I$89,5,0)</f>
        <v>218.33899999999988</v>
      </c>
      <c r="CA78" s="13">
        <f t="shared" si="93"/>
        <v>53.753716498326504</v>
      </c>
      <c r="CB78" s="20">
        <f t="shared" si="64"/>
        <v>473.8948145679185</v>
      </c>
      <c r="CC78" s="59">
        <f t="shared" si="65"/>
        <v>767.22814790125176</v>
      </c>
      <c r="CD78" s="59">
        <f ca="1">AVERAGE(OFFSET($CC$3,0,0,'Données projet'!$E$12+1,1))-AVERAGE(OFFSET($H$3,0,0,'Données projet'!$E$12+1,1))</f>
        <v>179.32848817523677</v>
      </c>
      <c r="CE78" s="59">
        <f t="shared" si="94"/>
        <v>131.3292389103035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3.7849836195052307</v>
      </c>
      <c r="CM78" s="21">
        <f>EXP(-LN(2)/2)*CM77+(1-EXP(-LN(2)/2))/(LN(2)/2)*CG78*CJ78*VLOOKUP('Données projet'!$B$12,Paramètres!$A$1:$I$89,3,0)*0.475*44/12</f>
        <v>8.8725343350154718E-7</v>
      </c>
      <c r="CN78" s="22">
        <f t="shared" si="66"/>
        <v>3.784984506758664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8.1746794871794854</v>
      </c>
      <c r="CT78" s="12">
        <f>IF('Données projet'!$A$140&gt;35,CT77+CS78-DB77,IF(A78&lt;'Données projet'!$A$140,$CQ$205^A78,IF(A78='Données projet'!$A$140,'Données projet'!$B$140,CT77+CS78-DB77)))</f>
        <v>245.09134615384605</v>
      </c>
      <c r="CU78" s="17">
        <f>CT78*VLOOKUP('Données projet'!$B$13,Paramètres!$A$1:$I$89,3,0)*VLOOKUP('Données projet'!$B$13,Paramètres!$A$1:$I$89,5,0)</f>
        <v>221.7586499999999</v>
      </c>
      <c r="CV78" s="13">
        <f t="shared" si="95"/>
        <v>54.49694230414304</v>
      </c>
      <c r="CW78" s="20">
        <f t="shared" si="67"/>
        <v>481.14515659638232</v>
      </c>
      <c r="CX78" s="59">
        <f t="shared" si="68"/>
        <v>774.47848992971558</v>
      </c>
      <c r="CY78" s="59">
        <f ca="1">AVERAGE(OFFSET($CX$3,0,0,'Données projet'!$E$13+1,1))-AVERAGE(OFFSET($H$3,0,0,'Données projet'!$E$13+1,1))</f>
        <v>309.07357540707869</v>
      </c>
      <c r="CZ78" s="59">
        <f t="shared" si="96"/>
        <v>155.9593924683299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3.7</v>
      </c>
      <c r="DO78" s="12">
        <f>IF('Données projet'!$A$166&gt;35,DO77+DN78-DW77,IF(A78&lt;'Données projet'!$A$166,$DL$205^A78,IF(A78='Données projet'!$A$166,'Données projet'!$B$166,DO77+DN78-DW77)))</f>
        <v>222.49999999999991</v>
      </c>
      <c r="DP78" s="17">
        <f>DO78*VLOOKUP('Données projet'!$B$14,Paramètres!$A$1:$I$89,3,0)*VLOOKUP('Données projet'!$B$14,Paramètres!$A$1:$I$89,5,0)</f>
        <v>194.37599999999995</v>
      </c>
      <c r="DQ78" s="13">
        <f t="shared" si="97"/>
        <v>48.506138465833089</v>
      </c>
      <c r="DR78" s="20">
        <f t="shared" si="70"/>
        <v>423.01972449465916</v>
      </c>
      <c r="DS78" s="59">
        <f t="shared" si="71"/>
        <v>716.35305782799242</v>
      </c>
      <c r="DT78" s="59">
        <f ca="1">AVERAGE(OFFSET($DS$3,0,0,'Données projet'!$E$14+1,1))-AVERAGE(OFFSET($H$3,0,0,'Données projet'!$E$14+1,1))</f>
        <v>210.07838338464626</v>
      </c>
      <c r="DU78" s="59">
        <f t="shared" si="98"/>
        <v>241.76003724236273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2.1739780433783684</v>
      </c>
      <c r="EB78" s="21">
        <f>EXP(-LN(2)/25)*EB77+(1-EXP(-LN(2)/25))/(LN(2)/25)*Calculateur!DW78*Calculateur!DY78*VLOOKUP('Données projet'!$B$14,Paramètres!$A$1:$I$89,3,0)*0.475*44/12</f>
        <v>3.8940606957455244</v>
      </c>
      <c r="EC78" s="21">
        <f>EXP(-LN(2)/2)*EC77+(1-EXP(-LN(2)/2))/(LN(2)/2)*DW78*DZ78*VLOOKUP('Données projet'!$B$14,Paramètres!$A$1:$I$89,3,0)*0.475*44/12</f>
        <v>2.6925808307042842E-6</v>
      </c>
      <c r="ED78" s="22">
        <f t="shared" si="72"/>
        <v>6.0680414317047227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5.0999999999999996</v>
      </c>
      <c r="EJ78" s="12">
        <f>IF('Données projet'!$A$192&gt;35,EJ77+EI78-ER77,IF(A78&lt;'Données projet'!$A$192,$EG$205^A78,IF(A78='Données projet'!$A$192,'Données projet'!$B$192,EJ77+EI78-ER77)))</f>
        <v>361.50000000000051</v>
      </c>
      <c r="EK78" s="17">
        <f>EJ78*VLOOKUP('Données projet'!$B$15,Paramètres!$A$1:$I$89,3,0)*VLOOKUP('Données projet'!$B$15,Paramètres!$A$1:$I$89,5,0)</f>
        <v>225.57600000000031</v>
      </c>
      <c r="EL78" s="13">
        <f t="shared" si="99"/>
        <v>55.325030705506045</v>
      </c>
      <c r="EM78" s="20">
        <f t="shared" si="73"/>
        <v>489.23596181209018</v>
      </c>
      <c r="EN78" s="59">
        <f t="shared" si="74"/>
        <v>782.56929514542344</v>
      </c>
      <c r="EO78" s="59">
        <f ca="1">AVERAGE(OFFSET($EN$3,0,0,'Données projet'!$E$15+1,1))-AVERAGE(OFFSET($H$3,0,0,'Données projet'!$E$15+1,1))</f>
        <v>209.93608079129638</v>
      </c>
      <c r="EP78" s="59">
        <f t="shared" si="100"/>
        <v>240.15652428700969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2.8520272212084432</v>
      </c>
      <c r="EW78" s="21">
        <f>EXP(-LN(2)/25)*EW77+(1-EXP(-LN(2)/25))/(LN(2)/25)*Calculateur!ER78*Calculateur!ET78*VLOOKUP('Données projet'!$B$15,Paramètres!$A$1:$I$89,3,0)*0.475*44/12</f>
        <v>5.9697590623376957</v>
      </c>
      <c r="EX78" s="21">
        <f>EXP(-LN(2)/2)*EX77+(1-EXP(-LN(2)/2))/(LN(2)/2)*ER78*EU78*VLOOKUP('Données projet'!$B$15,Paramètres!$A$1:$I$89,3,0)*0.475*44/12</f>
        <v>3.4039169693859643E-6</v>
      </c>
      <c r="EY78" s="22">
        <f t="shared" si="75"/>
        <v>8.8217896874631077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3.1</v>
      </c>
      <c r="N79" s="13">
        <f>IF('Données projet'!$A$36&gt;35,N78+M79-V78,IF(A79&lt;'Données projet'!$A$36,$K$205^A79,IF(A79='Données projet'!$A$36,'Données projet'!$B$36,N78+M79-V78)))</f>
        <v>271.59999999999997</v>
      </c>
      <c r="O79" s="13">
        <f>N79*VLOOKUP('Données projet'!$B$9,Paramètres!$A$1:$I$89,3,0)*VLOOKUP('Données projet'!$B$9,Paramètres!$A$1:$I$89,5,0)</f>
        <v>216.08496</v>
      </c>
      <c r="P79" s="13">
        <f t="shared" si="87"/>
        <v>53.26308393083157</v>
      </c>
      <c r="Q79" s="20">
        <f t="shared" si="54"/>
        <v>469.11450984619825</v>
      </c>
      <c r="R79" s="59">
        <f t="shared" si="55"/>
        <v>762.44784317953156</v>
      </c>
      <c r="S79" s="59">
        <f ca="1">AVERAGE(OFFSET($R$3,0,0,'Données projet'!$E$9+1,1))-AVERAGE(OFFSET($H$3,0,0,'Données projet'!$E$9+1,1))</f>
        <v>199.58763537752952</v>
      </c>
      <c r="T79" s="59">
        <f t="shared" si="88"/>
        <v>242.62852778451929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</v>
      </c>
      <c r="AA79" s="21">
        <f>EXP(-LN(2)/25)*AA78+(1-EXP(-LN(2)/25))/(LN(2)/25)*Calculateur!V79*Calculateur!X79*VLOOKUP('Données projet'!$B$9,Paramètres!$A$1:$I$89,3,0)*0.475*44/12</f>
        <v>2.8722593375932792</v>
      </c>
      <c r="AB79" s="21">
        <f>EXP(-LN(2)/2)*AB78+(1-EXP(-LN(2)/2))/(LN(2)/2)*V79*Y79*VLOOKUP('Données projet'!$B$9,Paramètres!$A$1:$I$89,3,0)*0.475*44/12</f>
        <v>1.2828777305150294E-6</v>
      </c>
      <c r="AC79" s="22">
        <f t="shared" si="57"/>
        <v>2.8722606204710099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15.4</v>
      </c>
      <c r="AI79" s="13">
        <f>IF('Données projet'!$A$62&gt;35,AI78+AH79-AQ78,IF(A79&lt;'Données projet'!$A$62,$AF$205^A79,IF(A79='Données projet'!$A$62,'Données projet'!$B$62,AI78+AH79-AQ78)))</f>
        <v>497.4</v>
      </c>
      <c r="AJ79" s="13">
        <f>AI79*VLOOKUP('Données projet'!$B$10,Paramètres!$A$1:$I$89,3,0)*VLOOKUP('Données projet'!$B$10,Paramètres!$A$1:$I$89,5,0)</f>
        <v>297.4452</v>
      </c>
      <c r="AK79" s="13">
        <f t="shared" si="89"/>
        <v>70.640612967440504</v>
      </c>
      <c r="AL79" s="20">
        <f t="shared" si="58"/>
        <v>641.08279091829218</v>
      </c>
      <c r="AM79" s="59">
        <f t="shared" si="59"/>
        <v>934.41612425162543</v>
      </c>
      <c r="AN79" s="59">
        <f ca="1">AVERAGE(OFFSET($AM$3,0,0,'Données projet'!$E$10+1,1))-AVERAGE(OFFSET($H$3,0,0,'Données projet'!$E$10+1,1))</f>
        <v>287.78657453117694</v>
      </c>
      <c r="AO79" s="59">
        <f t="shared" si="90"/>
        <v>153.31562485362252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1.1771084672626597</v>
      </c>
      <c r="AV79" s="21">
        <f>EXP(-LN(2)/25)*AV78+(1-EXP(-LN(2)/25))/(LN(2)/25)*Calculateur!AQ79*Calculateur!AS79*VLOOKUP('Données projet'!$B$10,Paramètres!$A$1:$I$89,3,0)*0.475*44/12</f>
        <v>1.6288359725695505</v>
      </c>
      <c r="AW79" s="21">
        <f>EXP(-LN(2)/2)*AW78+(1-EXP(-LN(2)/2))/(LN(2)/2)*AQ79*AT79*VLOOKUP('Données projet'!$B$10,Paramètres!$A$1:$I$89,3,0)*0.475*44/12</f>
        <v>1.3237033591629981E-6</v>
      </c>
      <c r="AX79" s="21">
        <f t="shared" si="60"/>
        <v>2.8059457635355693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>
        <f>VLOOKUP(A79,'Données projet'!$A$87:$I$107,2,0)</f>
        <v>520.22307692307686</v>
      </c>
      <c r="BB79" s="12">
        <f>VLOOKUP(A79,'Données projet'!$A$87:$I$107,9,0)</f>
        <v>9.9715384615384544</v>
      </c>
      <c r="BC79" s="12">
        <f t="array" ref="BC79">INDEX(BB:BB,MIN(IF(ISNUMBER(BB79:BB275),ROW(BB79:BB275),"")))</f>
        <v>9.9715384615384544</v>
      </c>
      <c r="BD79" s="12">
        <f>IF('Données projet'!$A$88&gt;35,BD78+BC79-BL78,IF(A79&lt;'Données projet'!$A$88,$BA$205^A79,IF(A79='Données projet'!$A$88,'Données projet'!$B$88,BD78+BC79-BL78)))</f>
        <v>520.22307692307675</v>
      </c>
      <c r="BE79" s="13">
        <f>BD79*VLOOKUP('Données projet'!$B$11,Paramètres!$A$1:$I$89,3,0)*VLOOKUP('Données projet'!$B$11,Paramètres!$A$1:$I$89,5,0)</f>
        <v>311.09339999999992</v>
      </c>
      <c r="BF79" s="13">
        <f t="shared" si="91"/>
        <v>73.497128797635312</v>
      </c>
      <c r="BG79" s="20">
        <f t="shared" si="61"/>
        <v>669.82850432254793</v>
      </c>
      <c r="BH79" s="59">
        <f t="shared" si="62"/>
        <v>963.1618376558813</v>
      </c>
      <c r="BI79" s="59">
        <f ca="1">AVERAGE(OFFSET($BH$3,0,0,'Données projet'!$E$11+1,1))-AVERAGE(OFFSET($H$3,0,0,'Données projet'!$E$11+1,1))</f>
        <v>250.93905519128998</v>
      </c>
      <c r="BJ79" s="59">
        <f t="shared" si="92"/>
        <v>222.32879462265032</v>
      </c>
      <c r="BK79" s="15">
        <f>IF(ISNA(VLOOKUP(A79,'Données projet'!$A$87:$I$107,3,0)),0,VLOOKUP(A79,'Données projet'!$A$87:$I$107,3,0))</f>
        <v>8</v>
      </c>
      <c r="BL79" s="15">
        <f>IF(ISNA(VLOOKUP(A79,'Données projet'!$A$87:$I$107,4,0)),0,VLOOKUP(A79,'Données projet'!$A$87:$I$107,4,0))</f>
        <v>520.22307692307686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0.51516245642548086</v>
      </c>
      <c r="BQ79" s="21">
        <f>EXP(-LN(2)/25)*BQ78+(1-EXP(-LN(2)/25))/(LN(2)/25)*Calculateur!BL79*Calculateur!BN79*VLOOKUP('Données projet'!$B$11,Paramètres!$A$1:$I$89,3,0)*0.475*44/12</f>
        <v>3.2330653165790801</v>
      </c>
      <c r="BR79" s="21">
        <f>EXP(-LN(2)/2)*BR78+(1-EXP(-LN(2)/2))/(LN(2)/2)*BL79*BO79*VLOOKUP('Données projet'!$B$11,Paramètres!$A$1:$I$89,3,0)*0.475*44/12</f>
        <v>2.2499305615979104E-7</v>
      </c>
      <c r="BS79" s="22">
        <f t="shared" si="63"/>
        <v>3.748227997997617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7.5584615384615343</v>
      </c>
      <c r="BY79" s="12">
        <f>IF('Données projet'!$A$114&gt;35,BY78+BX79-CG78,IF(A79&lt;'Données projet'!$A$114,$BV$205^A79,IF(A79='Données projet'!$A$114,'Données projet'!$B$114,BY78+BX79-CG78)))</f>
        <v>372.67384615384589</v>
      </c>
      <c r="BZ79" s="13">
        <f>BY79*VLOOKUP('Données projet'!$B$12,Paramètres!$A$1:$I$89,3,0)*VLOOKUP('Données projet'!$B$12,Paramètres!$A$1:$I$89,5,0)</f>
        <v>222.85895999999985</v>
      </c>
      <c r="CA79" s="13">
        <f t="shared" si="93"/>
        <v>54.735798842493168</v>
      </c>
      <c r="CB79" s="20">
        <f t="shared" si="64"/>
        <v>483.47753831734195</v>
      </c>
      <c r="CC79" s="59">
        <f t="shared" si="65"/>
        <v>776.81087165067527</v>
      </c>
      <c r="CD79" s="59">
        <f ca="1">AVERAGE(OFFSET($CC$3,0,0,'Données projet'!$E$12+1,1))-AVERAGE(OFFSET($H$3,0,0,'Données projet'!$E$12+1,1))</f>
        <v>179.32848817523677</v>
      </c>
      <c r="CE79" s="59">
        <f t="shared" si="94"/>
        <v>131.3292389103035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3.6814830433862222</v>
      </c>
      <c r="CM79" s="21">
        <f>EXP(-LN(2)/2)*CM78+(1-EXP(-LN(2)/2))/(LN(2)/2)*CG79*CJ79*VLOOKUP('Données projet'!$B$12,Paramètres!$A$1:$I$89,3,0)*0.475*44/12</f>
        <v>6.2738291945999151E-7</v>
      </c>
      <c r="CN79" s="22">
        <f t="shared" si="66"/>
        <v>3.6814836707691416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8.1746794871794854</v>
      </c>
      <c r="CT79" s="12">
        <f>IF('Données projet'!$A$140&gt;35,CT78+CS79-DB78,IF(A79&lt;'Données projet'!$A$140,$CQ$205^A79,IF(A79='Données projet'!$A$140,'Données projet'!$B$140,CT78+CS79-DB78)))</f>
        <v>253.26602564102552</v>
      </c>
      <c r="CU79" s="17">
        <f>CT79*VLOOKUP('Données projet'!$B$13,Paramètres!$A$1:$I$89,3,0)*VLOOKUP('Données projet'!$B$13,Paramètres!$A$1:$I$89,5,0)</f>
        <v>229.15509999999986</v>
      </c>
      <c r="CV79" s="13">
        <f t="shared" si="95"/>
        <v>56.099955286020709</v>
      </c>
      <c r="CW79" s="20">
        <f t="shared" si="67"/>
        <v>496.8192212898191</v>
      </c>
      <c r="CX79" s="59">
        <f t="shared" si="68"/>
        <v>790.15255462315235</v>
      </c>
      <c r="CY79" s="59">
        <f ca="1">AVERAGE(OFFSET($CX$3,0,0,'Données projet'!$E$13+1,1))-AVERAGE(OFFSET($H$3,0,0,'Données projet'!$E$13+1,1))</f>
        <v>309.07357540707869</v>
      </c>
      <c r="CZ79" s="59">
        <f t="shared" si="96"/>
        <v>155.9593924683299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3.7</v>
      </c>
      <c r="DO79" s="12">
        <f>IF('Données projet'!$A$166&gt;35,DO78+DN79-DW78,IF(A79&lt;'Données projet'!$A$166,$DL$205^A79,IF(A79='Données projet'!$A$166,'Données projet'!$B$166,DO78+DN79-DW78)))</f>
        <v>226.1999999999999</v>
      </c>
      <c r="DP79" s="17">
        <f>DO79*VLOOKUP('Données projet'!$B$14,Paramètres!$A$1:$I$89,3,0)*VLOOKUP('Données projet'!$B$14,Paramètres!$A$1:$I$89,5,0)</f>
        <v>197.60831999999994</v>
      </c>
      <c r="DQ79" s="13">
        <f t="shared" si="97"/>
        <v>49.218181392381361</v>
      </c>
      <c r="DR79" s="20">
        <f t="shared" si="70"/>
        <v>429.88948992506403</v>
      </c>
      <c r="DS79" s="59">
        <f t="shared" si="71"/>
        <v>723.22282325839728</v>
      </c>
      <c r="DT79" s="59">
        <f ca="1">AVERAGE(OFFSET($DS$3,0,0,'Données projet'!$E$14+1,1))-AVERAGE(OFFSET($H$3,0,0,'Données projet'!$E$14+1,1))</f>
        <v>210.07838338464626</v>
      </c>
      <c r="DU79" s="59">
        <f t="shared" si="98"/>
        <v>241.76003724236273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2.131347659943394</v>
      </c>
      <c r="EB79" s="21">
        <f>EXP(-LN(2)/25)*EB78+(1-EXP(-LN(2)/25))/(LN(2)/25)*Calculateur!DW79*Calculateur!DY79*VLOOKUP('Données projet'!$B$14,Paramètres!$A$1:$I$89,3,0)*0.475*44/12</f>
        <v>3.7875774012406112</v>
      </c>
      <c r="EC79" s="21">
        <f>EXP(-LN(2)/2)*EC78+(1-EXP(-LN(2)/2))/(LN(2)/2)*DW79*DZ79*VLOOKUP('Données projet'!$B$14,Paramètres!$A$1:$I$89,3,0)*0.475*44/12</f>
        <v>1.9039421642839068E-6</v>
      </c>
      <c r="ED79" s="22">
        <f t="shared" si="72"/>
        <v>5.9189269651261691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5.0999999999999996</v>
      </c>
      <c r="EJ79" s="12">
        <f>IF('Données projet'!$A$192&gt;35,EJ78+EI79-ER78,IF(A79&lt;'Données projet'!$A$192,$EG$205^A79,IF(A79='Données projet'!$A$192,'Données projet'!$B$192,EJ78+EI79-ER78)))</f>
        <v>366.60000000000053</v>
      </c>
      <c r="EK79" s="17">
        <f>EJ79*VLOOKUP('Données projet'!$B$15,Paramètres!$A$1:$I$89,3,0)*VLOOKUP('Données projet'!$B$15,Paramètres!$A$1:$I$89,5,0)</f>
        <v>228.75840000000034</v>
      </c>
      <c r="EL79" s="13">
        <f t="shared" si="99"/>
        <v>56.014134067241066</v>
      </c>
      <c r="EM79" s="20">
        <f t="shared" si="73"/>
        <v>495.97883016711211</v>
      </c>
      <c r="EN79" s="59">
        <f t="shared" si="74"/>
        <v>789.31216350044542</v>
      </c>
      <c r="EO79" s="59">
        <f ca="1">AVERAGE(OFFSET($EN$3,0,0,'Données projet'!$E$15+1,1))-AVERAGE(OFFSET($H$3,0,0,'Données projet'!$E$15+1,1))</f>
        <v>209.93608079129638</v>
      </c>
      <c r="EP79" s="59">
        <f t="shared" si="100"/>
        <v>240.15652428700969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2.7961007069653827</v>
      </c>
      <c r="EW79" s="21">
        <f>EXP(-LN(2)/25)*EW78+(1-EXP(-LN(2)/25))/(LN(2)/25)*Calculateur!ER79*Calculateur!ET79*VLOOKUP('Données projet'!$B$15,Paramètres!$A$1:$I$89,3,0)*0.475*44/12</f>
        <v>5.8065156868420864</v>
      </c>
      <c r="EX79" s="21">
        <f>EXP(-LN(2)/2)*EX78+(1-EXP(-LN(2)/2))/(LN(2)/2)*ER79*EU79*VLOOKUP('Données projet'!$B$15,Paramètres!$A$1:$I$89,3,0)*0.475*44/12</f>
        <v>2.406932771648777E-6</v>
      </c>
      <c r="EY79" s="22">
        <f t="shared" si="75"/>
        <v>8.6026188007402418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3.1</v>
      </c>
      <c r="N80" s="13">
        <f>IF('Données projet'!$A$36&gt;35,N79+M80-V79,IF(A80&lt;'Données projet'!$A$36,$K$205^A80,IF(A80='Données projet'!$A$36,'Données projet'!$B$36,N79+M80-V79)))</f>
        <v>274.7</v>
      </c>
      <c r="O80" s="13">
        <f>N80*VLOOKUP('Données projet'!$B$9,Paramètres!$A$1:$I$89,3,0)*VLOOKUP('Données projet'!$B$9,Paramètres!$A$1:$I$89,5,0)</f>
        <v>218.55132000000003</v>
      </c>
      <c r="P80" s="13">
        <f t="shared" si="87"/>
        <v>53.79990131471051</v>
      </c>
      <c r="Q80" s="20">
        <f t="shared" si="54"/>
        <v>474.3450437897875</v>
      </c>
      <c r="R80" s="59">
        <f t="shared" si="55"/>
        <v>767.67837712312075</v>
      </c>
      <c r="S80" s="59">
        <f ca="1">AVERAGE(OFFSET($R$3,0,0,'Données projet'!$E$9+1,1))-AVERAGE(OFFSET($H$3,0,0,'Données projet'!$E$9+1,1))</f>
        <v>199.58763537752952</v>
      </c>
      <c r="T80" s="59">
        <f t="shared" si="88"/>
        <v>242.62852778451929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</v>
      </c>
      <c r="AA80" s="21">
        <f>EXP(-LN(2)/25)*AA79+(1-EXP(-LN(2)/25))/(LN(2)/25)*Calculateur!V80*Calculateur!X80*VLOOKUP('Données projet'!$B$9,Paramètres!$A$1:$I$89,3,0)*0.475*44/12</f>
        <v>2.793717254961237</v>
      </c>
      <c r="AB80" s="21">
        <f>EXP(-LN(2)/2)*AB79+(1-EXP(-LN(2)/2))/(LN(2)/2)*V80*Y80*VLOOKUP('Données projet'!$B$9,Paramètres!$A$1:$I$89,3,0)*0.475*44/12</f>
        <v>9.071315426803856E-7</v>
      </c>
      <c r="AC80" s="22">
        <f t="shared" si="57"/>
        <v>2.7937181620927798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15.4</v>
      </c>
      <c r="AI80" s="13">
        <f>IF('Données projet'!$A$62&gt;35,AI79+AH80-AQ79,IF(A80&lt;'Données projet'!$A$62,$AF$205^A80,IF(A80='Données projet'!$A$62,'Données projet'!$B$62,AI79+AH80-AQ79)))</f>
        <v>512.79999999999995</v>
      </c>
      <c r="AJ80" s="13">
        <f>AI80*VLOOKUP('Données projet'!$B$10,Paramètres!$A$1:$I$89,3,0)*VLOOKUP('Données projet'!$B$10,Paramètres!$A$1:$I$89,5,0)</f>
        <v>306.65439999999995</v>
      </c>
      <c r="AK80" s="13">
        <f t="shared" si="89"/>
        <v>72.569695104025385</v>
      </c>
      <c r="AL80" s="20">
        <f t="shared" si="58"/>
        <v>660.4819656395108</v>
      </c>
      <c r="AM80" s="59">
        <f t="shared" si="59"/>
        <v>953.81529897284418</v>
      </c>
      <c r="AN80" s="59">
        <f ca="1">AVERAGE(OFFSET($AM$3,0,0,'Données projet'!$E$10+1,1))-AVERAGE(OFFSET($H$3,0,0,'Données projet'!$E$10+1,1))</f>
        <v>287.78657453117694</v>
      </c>
      <c r="AO80" s="59">
        <f t="shared" si="90"/>
        <v>153.31562485362252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1.1540260881849107</v>
      </c>
      <c r="AV80" s="21">
        <f>EXP(-LN(2)/25)*AV79+(1-EXP(-LN(2)/25))/(LN(2)/25)*Calculateur!AQ80*Calculateur!AS80*VLOOKUP('Données projet'!$B$10,Paramètres!$A$1:$I$89,3,0)*0.475*44/12</f>
        <v>1.584295367242875</v>
      </c>
      <c r="AW80" s="21">
        <f>EXP(-LN(2)/2)*AW79+(1-EXP(-LN(2)/2))/(LN(2)/2)*AQ80*AT80*VLOOKUP('Données projet'!$B$10,Paramètres!$A$1:$I$89,3,0)*0.475*44/12</f>
        <v>9.3599962154356806E-7</v>
      </c>
      <c r="AX80" s="21">
        <f t="shared" si="60"/>
        <v>2.7383223914274071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-1.1368683772161603E-13</v>
      </c>
      <c r="BE80" s="13">
        <f>BD80*VLOOKUP('Données projet'!$B$11,Paramètres!$A$1:$I$89,3,0)*VLOOKUP('Données projet'!$B$11,Paramètres!$A$1:$I$89,5,0)</f>
        <v>-6.7984728957526396E-14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250.93905519128998</v>
      </c>
      <c r="BJ80" s="59">
        <f t="shared" si="92"/>
        <v>222.32879462265032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0.50506043487304919</v>
      </c>
      <c r="BQ80" s="21">
        <f>EXP(-LN(2)/25)*BQ79+(1-EXP(-LN(2)/25))/(LN(2)/25)*Calculateur!BL80*Calculateur!BN80*VLOOKUP('Données projet'!$B$11,Paramètres!$A$1:$I$89,3,0)*0.475*44/12</f>
        <v>3.1446569754777096</v>
      </c>
      <c r="BR80" s="21">
        <f>EXP(-LN(2)/2)*BR79+(1-EXP(-LN(2)/2))/(LN(2)/2)*BL80*BO80*VLOOKUP('Données projet'!$B$11,Paramètres!$A$1:$I$89,3,0)*0.475*44/12</f>
        <v>1.5909411573047396E-7</v>
      </c>
      <c r="BS80" s="22">
        <f t="shared" si="63"/>
        <v>3.6497175694448742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7.5584615384615343</v>
      </c>
      <c r="BY80" s="12">
        <f>IF('Données projet'!$A$114&gt;35,BY79+BX80-CG79,IF(A80&lt;'Données projet'!$A$114,$BV$205^A80,IF(A80='Données projet'!$A$114,'Données projet'!$B$114,BY79+BX80-CG79)))</f>
        <v>380.23230769230742</v>
      </c>
      <c r="BZ80" s="13">
        <f>BY80*VLOOKUP('Données projet'!$B$12,Paramètres!$A$1:$I$89,3,0)*VLOOKUP('Données projet'!$B$12,Paramètres!$A$1:$I$89,5,0)</f>
        <v>227.37891999999985</v>
      </c>
      <c r="CA80" s="13">
        <f t="shared" si="93"/>
        <v>55.715565262615499</v>
      </c>
      <c r="CB80" s="20">
        <f t="shared" si="64"/>
        <v>493.05622849905507</v>
      </c>
      <c r="CC80" s="59">
        <f t="shared" si="65"/>
        <v>786.38956183238838</v>
      </c>
      <c r="CD80" s="59">
        <f ca="1">AVERAGE(OFFSET($CC$3,0,0,'Données projet'!$E$12+1,1))-AVERAGE(OFFSET($H$3,0,0,'Données projet'!$E$12+1,1))</f>
        <v>179.32848817523677</v>
      </c>
      <c r="CE80" s="59">
        <f t="shared" si="94"/>
        <v>131.3292389103035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3.5808126959640467</v>
      </c>
      <c r="CM80" s="21">
        <f>EXP(-LN(2)/2)*CM79+(1-EXP(-LN(2)/2))/(LN(2)/2)*CG80*CJ80*VLOOKUP('Données projet'!$B$12,Paramètres!$A$1:$I$89,3,0)*0.475*44/12</f>
        <v>4.4362671675077359E-7</v>
      </c>
      <c r="CN80" s="22">
        <f t="shared" si="66"/>
        <v>3.5808131395907634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8.1746794871794854</v>
      </c>
      <c r="CT80" s="12">
        <f>IF('Données projet'!$A$140&gt;35,CT79+CS80-DB79,IF(A80&lt;'Données projet'!$A$140,$CQ$205^A80,IF(A80='Données projet'!$A$140,'Données projet'!$B$140,CT79+CS80-DB79)))</f>
        <v>261.44070512820502</v>
      </c>
      <c r="CU80" s="17">
        <f>CT80*VLOOKUP('Données projet'!$B$13,Paramètres!$A$1:$I$89,3,0)*VLOOKUP('Données projet'!$B$13,Paramètres!$A$1:$I$89,5,0)</f>
        <v>236.55154999999991</v>
      </c>
      <c r="CV80" s="13">
        <f t="shared" si="95"/>
        <v>57.696955867207052</v>
      </c>
      <c r="CW80" s="20">
        <f t="shared" si="67"/>
        <v>512.4828143853855</v>
      </c>
      <c r="CX80" s="59">
        <f t="shared" si="68"/>
        <v>805.81614771871887</v>
      </c>
      <c r="CY80" s="59">
        <f ca="1">AVERAGE(OFFSET($CX$3,0,0,'Données projet'!$E$13+1,1))-AVERAGE(OFFSET($H$3,0,0,'Données projet'!$E$13+1,1))</f>
        <v>309.07357540707869</v>
      </c>
      <c r="CZ80" s="59">
        <f t="shared" si="96"/>
        <v>155.9593924683299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3.7</v>
      </c>
      <c r="DO80" s="12">
        <f>IF('Données projet'!$A$166&gt;35,DO79+DN80-DW79,IF(A80&lt;'Données projet'!$A$166,$DL$205^A80,IF(A80='Données projet'!$A$166,'Données projet'!$B$166,DO79+DN80-DW79)))</f>
        <v>229.89999999999989</v>
      </c>
      <c r="DP80" s="17">
        <f>DO80*VLOOKUP('Données projet'!$B$14,Paramètres!$A$1:$I$89,3,0)*VLOOKUP('Données projet'!$B$14,Paramètres!$A$1:$I$89,5,0)</f>
        <v>200.84063999999992</v>
      </c>
      <c r="DQ80" s="13">
        <f t="shared" si="97"/>
        <v>49.928869830254925</v>
      </c>
      <c r="DR80" s="20">
        <f t="shared" si="70"/>
        <v>436.75689628769379</v>
      </c>
      <c r="DS80" s="59">
        <f t="shared" si="71"/>
        <v>730.09022962102711</v>
      </c>
      <c r="DT80" s="59">
        <f ca="1">AVERAGE(OFFSET($DS$3,0,0,'Données projet'!$E$14+1,1))-AVERAGE(OFFSET($H$3,0,0,'Données projet'!$E$14+1,1))</f>
        <v>210.07838338464626</v>
      </c>
      <c r="DU80" s="59">
        <f t="shared" si="98"/>
        <v>241.76003724236273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2.089553232325613</v>
      </c>
      <c r="EB80" s="21">
        <f>EXP(-LN(2)/25)*EB79+(1-EXP(-LN(2)/25))/(LN(2)/25)*Calculateur!DW80*Calculateur!DY80*VLOOKUP('Données projet'!$B$14,Paramètres!$A$1:$I$89,3,0)*0.475*44/12</f>
        <v>3.6840058980236479</v>
      </c>
      <c r="EC80" s="21">
        <f>EXP(-LN(2)/2)*EC79+(1-EXP(-LN(2)/2))/(LN(2)/2)*DW80*DZ80*VLOOKUP('Données projet'!$B$14,Paramètres!$A$1:$I$89,3,0)*0.475*44/12</f>
        <v>1.3462904153521423E-6</v>
      </c>
      <c r="ED80" s="22">
        <f t="shared" si="72"/>
        <v>5.773560476639676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5.0999999999999996</v>
      </c>
      <c r="EJ80" s="12">
        <f>IF('Données projet'!$A$192&gt;35,EJ79+EI80-ER79,IF(A80&lt;'Données projet'!$A$192,$EG$205^A80,IF(A80='Données projet'!$A$192,'Données projet'!$B$192,EJ79+EI80-ER79)))</f>
        <v>371.70000000000056</v>
      </c>
      <c r="EK80" s="17">
        <f>EJ80*VLOOKUP('Données projet'!$B$15,Paramètres!$A$1:$I$89,3,0)*VLOOKUP('Données projet'!$B$15,Paramètres!$A$1:$I$89,5,0)</f>
        <v>231.94080000000034</v>
      </c>
      <c r="EL80" s="13">
        <f t="shared" si="99"/>
        <v>56.702122420175556</v>
      </c>
      <c r="EM80" s="20">
        <f t="shared" si="73"/>
        <v>502.71975654847284</v>
      </c>
      <c r="EN80" s="59">
        <f t="shared" si="74"/>
        <v>796.05308988180616</v>
      </c>
      <c r="EO80" s="59">
        <f ca="1">AVERAGE(OFFSET($EN$3,0,0,'Données projet'!$E$15+1,1))-AVERAGE(OFFSET($H$3,0,0,'Données projet'!$E$15+1,1))</f>
        <v>209.93608079129638</v>
      </c>
      <c r="EP80" s="59">
        <f t="shared" si="100"/>
        <v>240.15652428700969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2.7412708775548231</v>
      </c>
      <c r="EW80" s="21">
        <f>EXP(-LN(2)/25)*EW79+(1-EXP(-LN(2)/25))/(LN(2)/25)*Calculateur!ER80*Calculateur!ET80*VLOOKUP('Données projet'!$B$15,Paramètres!$A$1:$I$89,3,0)*0.475*44/12</f>
        <v>5.6477362100340009</v>
      </c>
      <c r="EX80" s="21">
        <f>EXP(-LN(2)/2)*EX79+(1-EXP(-LN(2)/2))/(LN(2)/2)*ER80*EU80*VLOOKUP('Données projet'!$B$15,Paramètres!$A$1:$I$89,3,0)*0.475*44/12</f>
        <v>1.7019584846929821E-6</v>
      </c>
      <c r="EY80" s="22">
        <f t="shared" si="75"/>
        <v>8.3890087895473098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3.1</v>
      </c>
      <c r="N81" s="13">
        <f>IF('Données projet'!$A$36&gt;35,N80+M81-V80,IF(A81&lt;'Données projet'!$A$36,$K$205^A81,IF(A81='Données projet'!$A$36,'Données projet'!$B$36,N80+M81-V80)))</f>
        <v>277.8</v>
      </c>
      <c r="O81" s="13">
        <f>N81*VLOOKUP('Données projet'!$B$9,Paramètres!$A$1:$I$89,3,0)*VLOOKUP('Données projet'!$B$9,Paramètres!$A$1:$I$89,5,0)</f>
        <v>221.01768000000001</v>
      </c>
      <c r="P81" s="13">
        <f t="shared" si="87"/>
        <v>54.336013993957934</v>
      </c>
      <c r="Q81" s="20">
        <f t="shared" si="54"/>
        <v>479.5743503728101</v>
      </c>
      <c r="R81" s="59">
        <f t="shared" si="55"/>
        <v>772.90768370614342</v>
      </c>
      <c r="S81" s="59">
        <f ca="1">AVERAGE(OFFSET($R$3,0,0,'Données projet'!$E$9+1,1))-AVERAGE(OFFSET($H$3,0,0,'Données projet'!$E$9+1,1))</f>
        <v>199.58763537752952</v>
      </c>
      <c r="T81" s="59">
        <f t="shared" si="88"/>
        <v>242.62852778451929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</v>
      </c>
      <c r="AA81" s="21">
        <f>EXP(-LN(2)/25)*AA80+(1-EXP(-LN(2)/25))/(LN(2)/25)*Calculateur!V81*Calculateur!X81*VLOOKUP('Données projet'!$B$9,Paramètres!$A$1:$I$89,3,0)*0.475*44/12</f>
        <v>2.7173229097091167</v>
      </c>
      <c r="AB81" s="21">
        <f>EXP(-LN(2)/2)*AB80+(1-EXP(-LN(2)/2))/(LN(2)/2)*V81*Y81*VLOOKUP('Données projet'!$B$9,Paramètres!$A$1:$I$89,3,0)*0.475*44/12</f>
        <v>6.4143886525751471E-7</v>
      </c>
      <c r="AC81" s="22">
        <f t="shared" si="57"/>
        <v>2.7173235511479819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15.4</v>
      </c>
      <c r="AI81" s="13">
        <f>IF('Données projet'!$A$62&gt;35,AI80+AH81-AQ80,IF(A81&lt;'Données projet'!$A$62,$AF$205^A81,IF(A81='Données projet'!$A$62,'Données projet'!$B$62,AI80+AH81-AQ80)))</f>
        <v>528.19999999999993</v>
      </c>
      <c r="AJ81" s="13">
        <f>AI81*VLOOKUP('Données projet'!$B$10,Paramètres!$A$1:$I$89,3,0)*VLOOKUP('Données projet'!$B$10,Paramètres!$A$1:$I$89,5,0)</f>
        <v>315.86359999999996</v>
      </c>
      <c r="AK81" s="13">
        <f t="shared" si="89"/>
        <v>74.492044582870321</v>
      </c>
      <c r="AL81" s="20">
        <f t="shared" si="58"/>
        <v>679.86941431516573</v>
      </c>
      <c r="AM81" s="59">
        <f t="shared" si="59"/>
        <v>973.2027476484991</v>
      </c>
      <c r="AN81" s="59">
        <f ca="1">AVERAGE(OFFSET($AM$3,0,0,'Données projet'!$E$10+1,1))-AVERAGE(OFFSET($H$3,0,0,'Données projet'!$E$10+1,1))</f>
        <v>287.78657453117694</v>
      </c>
      <c r="AO81" s="59">
        <f t="shared" si="90"/>
        <v>153.31562485362252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1.1313963404820153</v>
      </c>
      <c r="AV81" s="21">
        <f>EXP(-LN(2)/25)*AV80+(1-EXP(-LN(2)/25))/(LN(2)/25)*Calculateur!AQ81*Calculateur!AS81*VLOOKUP('Données projet'!$B$10,Paramètres!$A$1:$I$89,3,0)*0.475*44/12</f>
        <v>1.5409727271111462</v>
      </c>
      <c r="AW81" s="21">
        <f>EXP(-LN(2)/2)*AW80+(1-EXP(-LN(2)/2))/(LN(2)/2)*AQ81*AT81*VLOOKUP('Données projet'!$B$10,Paramètres!$A$1:$I$89,3,0)*0.475*44/12</f>
        <v>6.6185167958149915E-7</v>
      </c>
      <c r="AX81" s="21">
        <f t="shared" si="60"/>
        <v>2.6723697294448412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-1.1368683772161603E-13</v>
      </c>
      <c r="BE81" s="13">
        <f>BD81*VLOOKUP('Données projet'!$B$11,Paramètres!$A$1:$I$89,3,0)*VLOOKUP('Données projet'!$B$11,Paramètres!$A$1:$I$89,5,0)</f>
        <v>-6.7984728957526396E-14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250.93905519128998</v>
      </c>
      <c r="BJ81" s="59">
        <f t="shared" si="92"/>
        <v>222.32879462265032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0.49515650780163595</v>
      </c>
      <c r="BQ81" s="21">
        <f>EXP(-LN(2)/25)*BQ80+(1-EXP(-LN(2)/25))/(LN(2)/25)*Calculateur!BL81*Calculateur!BN81*VLOOKUP('Données projet'!$B$11,Paramètres!$A$1:$I$89,3,0)*0.475*44/12</f>
        <v>3.0586661651129483</v>
      </c>
      <c r="BR81" s="21">
        <f>EXP(-LN(2)/2)*BR80+(1-EXP(-LN(2)/2))/(LN(2)/2)*BL81*BO81*VLOOKUP('Données projet'!$B$11,Paramètres!$A$1:$I$89,3,0)*0.475*44/12</f>
        <v>1.1249652807989552E-7</v>
      </c>
      <c r="BS81" s="22">
        <f t="shared" si="63"/>
        <v>3.5538227854111124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7.5584615384615343</v>
      </c>
      <c r="BY81" s="12">
        <f>IF('Données projet'!$A$114&gt;35,BY80+BX81-CG80,IF(A81&lt;'Données projet'!$A$114,$BV$205^A81,IF(A81='Données projet'!$A$114,'Données projet'!$B$114,BY80+BX81-CG80)))</f>
        <v>387.79076923076894</v>
      </c>
      <c r="BZ81" s="13">
        <f>BY81*VLOOKUP('Données projet'!$B$12,Paramètres!$A$1:$I$89,3,0)*VLOOKUP('Données projet'!$B$12,Paramètres!$A$1:$I$89,5,0)</f>
        <v>231.89887999999985</v>
      </c>
      <c r="CA81" s="13">
        <f t="shared" si="93"/>
        <v>56.693067102008712</v>
      </c>
      <c r="CB81" s="20">
        <f t="shared" si="64"/>
        <v>502.63097453599829</v>
      </c>
      <c r="CC81" s="59">
        <f t="shared" si="65"/>
        <v>795.96430786933161</v>
      </c>
      <c r="CD81" s="59">
        <f ca="1">AVERAGE(OFFSET($CC$3,0,0,'Données projet'!$E$12+1,1))-AVERAGE(OFFSET($H$3,0,0,'Données projet'!$E$12+1,1))</f>
        <v>179.32848817523677</v>
      </c>
      <c r="CE81" s="59">
        <f t="shared" si="94"/>
        <v>131.3292389103035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3.4828951844861544</v>
      </c>
      <c r="CM81" s="21">
        <f>EXP(-LN(2)/2)*CM80+(1-EXP(-LN(2)/2))/(LN(2)/2)*CG81*CJ81*VLOOKUP('Données projet'!$B$12,Paramètres!$A$1:$I$89,3,0)*0.475*44/12</f>
        <v>3.1369145972999576E-7</v>
      </c>
      <c r="CN81" s="22">
        <f t="shared" si="66"/>
        <v>3.4828954981776143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8.1746794871794854</v>
      </c>
      <c r="CT81" s="12">
        <f>IF('Données projet'!$A$140&gt;35,CT80+CS81-DB80,IF(A81&lt;'Données projet'!$A$140,$CQ$205^A81,IF(A81='Données projet'!$A$140,'Données projet'!$B$140,CT80+CS81-DB80)))</f>
        <v>269.61538461538453</v>
      </c>
      <c r="CU81" s="17">
        <f>CT81*VLOOKUP('Données projet'!$B$13,Paramètres!$A$1:$I$89,3,0)*VLOOKUP('Données projet'!$B$13,Paramètres!$A$1:$I$89,5,0)</f>
        <v>243.94799999999992</v>
      </c>
      <c r="CV81" s="13">
        <f t="shared" si="95"/>
        <v>59.288153612728067</v>
      </c>
      <c r="CW81" s="20">
        <f t="shared" si="67"/>
        <v>528.13630087550121</v>
      </c>
      <c r="CX81" s="59">
        <f t="shared" si="68"/>
        <v>821.46963420883458</v>
      </c>
      <c r="CY81" s="59">
        <f ca="1">AVERAGE(OFFSET($CX$3,0,0,'Données projet'!$E$13+1,1))-AVERAGE(OFFSET($H$3,0,0,'Données projet'!$E$13+1,1))</f>
        <v>309.07357540707869</v>
      </c>
      <c r="CZ81" s="59">
        <f t="shared" si="96"/>
        <v>155.9593924683299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3.7</v>
      </c>
      <c r="DO81" s="12">
        <f>IF('Données projet'!$A$166&gt;35,DO80+DN81-DW80,IF(A81&lt;'Données projet'!$A$166,$DL$205^A81,IF(A81='Données projet'!$A$166,'Données projet'!$B$166,DO80+DN81-DW80)))</f>
        <v>233.59999999999988</v>
      </c>
      <c r="DP81" s="17">
        <f>DO81*VLOOKUP('Données projet'!$B$14,Paramètres!$A$1:$I$89,3,0)*VLOOKUP('Données projet'!$B$14,Paramètres!$A$1:$I$89,5,0)</f>
        <v>204.07295999999991</v>
      </c>
      <c r="DQ81" s="13">
        <f t="shared" si="97"/>
        <v>50.638228095278592</v>
      </c>
      <c r="DR81" s="20">
        <f t="shared" si="70"/>
        <v>443.62198593261002</v>
      </c>
      <c r="DS81" s="59">
        <f t="shared" si="71"/>
        <v>736.95531926594333</v>
      </c>
      <c r="DT81" s="59">
        <f ca="1">AVERAGE(OFFSET($DS$3,0,0,'Données projet'!$E$14+1,1))-AVERAGE(OFFSET($H$3,0,0,'Données projet'!$E$14+1,1))</f>
        <v>210.07838338464626</v>
      </c>
      <c r="DU81" s="59">
        <f t="shared" si="98"/>
        <v>241.76003724236273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2.048578367941333</v>
      </c>
      <c r="EB81" s="21">
        <f>EXP(-LN(2)/25)*EB80+(1-EXP(-LN(2)/25))/(LN(2)/25)*Calculateur!DW81*Calculateur!DY81*VLOOKUP('Données projet'!$B$14,Paramètres!$A$1:$I$89,3,0)*0.475*44/12</f>
        <v>3.583266563008741</v>
      </c>
      <c r="EC81" s="21">
        <f>EXP(-LN(2)/2)*EC80+(1-EXP(-LN(2)/2))/(LN(2)/2)*DW81*DZ81*VLOOKUP('Données projet'!$B$14,Paramètres!$A$1:$I$89,3,0)*0.475*44/12</f>
        <v>9.5197108214195349E-7</v>
      </c>
      <c r="ED81" s="22">
        <f t="shared" si="72"/>
        <v>5.631845882921156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5.0999999999999996</v>
      </c>
      <c r="EJ81" s="12">
        <f>IF('Données projet'!$A$192&gt;35,EJ80+EI81-ER80,IF(A81&lt;'Données projet'!$A$192,$EG$205^A81,IF(A81='Données projet'!$A$192,'Données projet'!$B$192,EJ80+EI81-ER80)))</f>
        <v>376.80000000000058</v>
      </c>
      <c r="EK81" s="17">
        <f>EJ81*VLOOKUP('Données projet'!$B$15,Paramètres!$A$1:$I$89,3,0)*VLOOKUP('Données projet'!$B$15,Paramètres!$A$1:$I$89,5,0)</f>
        <v>235.12320000000034</v>
      </c>
      <c r="EL81" s="13">
        <f t="shared" si="99"/>
        <v>57.389012831278578</v>
      </c>
      <c r="EM81" s="20">
        <f t="shared" si="73"/>
        <v>509.45877068114413</v>
      </c>
      <c r="EN81" s="59">
        <f t="shared" si="74"/>
        <v>802.79210401447745</v>
      </c>
      <c r="EO81" s="59">
        <f ca="1">AVERAGE(OFFSET($EN$3,0,0,'Données projet'!$E$15+1,1))-AVERAGE(OFFSET($H$3,0,0,'Données projet'!$E$15+1,1))</f>
        <v>209.93608079129638</v>
      </c>
      <c r="EP81" s="59">
        <f t="shared" si="100"/>
        <v>240.15652428700969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2.6875162276561109</v>
      </c>
      <c r="EW81" s="21">
        <f>EXP(-LN(2)/25)*EW80+(1-EXP(-LN(2)/25))/(LN(2)/25)*Calculateur!ER81*Calculateur!ET81*VLOOKUP('Données projet'!$B$15,Paramètres!$A$1:$I$89,3,0)*0.475*44/12</f>
        <v>5.4932985663690816</v>
      </c>
      <c r="EX81" s="21">
        <f>EXP(-LN(2)/2)*EX80+(1-EXP(-LN(2)/2))/(LN(2)/2)*ER81*EU81*VLOOKUP('Données projet'!$B$15,Paramètres!$A$1:$I$89,3,0)*0.475*44/12</f>
        <v>1.2034663858243885E-6</v>
      </c>
      <c r="EY81" s="22">
        <f t="shared" si="75"/>
        <v>8.1808159974915782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3.1</v>
      </c>
      <c r="N82" s="13">
        <f>IF('Données projet'!$A$36&gt;35,N81+M82-V81,IF(A82&lt;'Données projet'!$A$36,$K$205^A82,IF(A82='Données projet'!$A$36,'Données projet'!$B$36,N81+M82-V81)))</f>
        <v>280.90000000000003</v>
      </c>
      <c r="O82" s="13">
        <f>N82*VLOOKUP('Données projet'!$B$9,Paramètres!$A$1:$I$89,3,0)*VLOOKUP('Données projet'!$B$9,Paramètres!$A$1:$I$89,5,0)</f>
        <v>223.48404000000002</v>
      </c>
      <c r="P82" s="13">
        <f t="shared" si="87"/>
        <v>54.871430742470253</v>
      </c>
      <c r="Q82" s="20">
        <f t="shared" si="54"/>
        <v>484.80244487646905</v>
      </c>
      <c r="R82" s="59">
        <f t="shared" si="55"/>
        <v>778.13577820980231</v>
      </c>
      <c r="S82" s="59">
        <f ca="1">AVERAGE(OFFSET($R$3,0,0,'Données projet'!$E$9+1,1))-AVERAGE(OFFSET($H$3,0,0,'Données projet'!$E$9+1,1))</f>
        <v>199.58763537752952</v>
      </c>
      <c r="T82" s="59">
        <f t="shared" si="88"/>
        <v>242.62852778451929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</v>
      </c>
      <c r="AA82" s="21">
        <f>EXP(-LN(2)/25)*AA81+(1-EXP(-LN(2)/25))/(LN(2)/25)*Calculateur!V82*Calculateur!X82*VLOOKUP('Données projet'!$B$9,Paramètres!$A$1:$I$89,3,0)*0.475*44/12</f>
        <v>2.6430175718453195</v>
      </c>
      <c r="AB82" s="21">
        <f>EXP(-LN(2)/2)*AB81+(1-EXP(-LN(2)/2))/(LN(2)/2)*V82*Y82*VLOOKUP('Données projet'!$B$9,Paramètres!$A$1:$I$89,3,0)*0.475*44/12</f>
        <v>4.535657713401928E-7</v>
      </c>
      <c r="AC82" s="22">
        <f t="shared" si="57"/>
        <v>2.6430180254110907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15.4</v>
      </c>
      <c r="AI82" s="13">
        <f>IF('Données projet'!$A$62&gt;35,AI81+AH82-AQ81,IF(A82&lt;'Données projet'!$A$62,$AF$205^A82,IF(A82='Données projet'!$A$62,'Données projet'!$B$62,AI81+AH82-AQ81)))</f>
        <v>543.59999999999991</v>
      </c>
      <c r="AJ82" s="13">
        <f>AI82*VLOOKUP('Données projet'!$B$10,Paramètres!$A$1:$I$89,3,0)*VLOOKUP('Données projet'!$B$10,Paramètres!$A$1:$I$89,5,0)</f>
        <v>325.07279999999997</v>
      </c>
      <c r="AK82" s="13">
        <f t="shared" si="89"/>
        <v>76.407880238933714</v>
      </c>
      <c r="AL82" s="20">
        <f t="shared" si="58"/>
        <v>699.24551808280955</v>
      </c>
      <c r="AM82" s="59">
        <f t="shared" si="59"/>
        <v>992.57885141614292</v>
      </c>
      <c r="AN82" s="59">
        <f ca="1">AVERAGE(OFFSET($AM$3,0,0,'Données projet'!$E$10+1,1))-AVERAGE(OFFSET($H$3,0,0,'Données projet'!$E$10+1,1))</f>
        <v>287.78657453117694</v>
      </c>
      <c r="AO82" s="59">
        <f t="shared" si="90"/>
        <v>153.31562485362252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1.1092103483287905</v>
      </c>
      <c r="AV82" s="21">
        <f>EXP(-LN(2)/25)*AV81+(1-EXP(-LN(2)/25))/(LN(2)/25)*Calculateur!AQ82*Calculateur!AS82*VLOOKUP('Données projet'!$B$10,Paramètres!$A$1:$I$89,3,0)*0.475*44/12</f>
        <v>1.4988347468520582</v>
      </c>
      <c r="AW82" s="21">
        <f>EXP(-LN(2)/2)*AW81+(1-EXP(-LN(2)/2))/(LN(2)/2)*AQ82*AT82*VLOOKUP('Données projet'!$B$10,Paramètres!$A$1:$I$89,3,0)*0.475*44/12</f>
        <v>4.6799981077178414E-7</v>
      </c>
      <c r="AX82" s="21">
        <f t="shared" si="60"/>
        <v>2.6080455631806596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-1.1368683772161603E-13</v>
      </c>
      <c r="BE82" s="13">
        <f>BD82*VLOOKUP('Données projet'!$B$11,Paramètres!$A$1:$I$89,3,0)*VLOOKUP('Données projet'!$B$11,Paramètres!$A$1:$I$89,5,0)</f>
        <v>-6.7984728957526396E-14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250.93905519128998</v>
      </c>
      <c r="BJ82" s="59">
        <f t="shared" si="92"/>
        <v>222.32879462265032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0.48544679069929408</v>
      </c>
      <c r="BQ82" s="21">
        <f>EXP(-LN(2)/25)*BQ81+(1-EXP(-LN(2)/25))/(LN(2)/25)*Calculateur!BL82*Calculateur!BN82*VLOOKUP('Données projet'!$B$11,Paramètres!$A$1:$I$89,3,0)*0.475*44/12</f>
        <v>2.975026777979672</v>
      </c>
      <c r="BR82" s="21">
        <f>EXP(-LN(2)/2)*BR81+(1-EXP(-LN(2)/2))/(LN(2)/2)*BL82*BO82*VLOOKUP('Données projet'!$B$11,Paramètres!$A$1:$I$89,3,0)*0.475*44/12</f>
        <v>7.9547057865236981E-8</v>
      </c>
      <c r="BS82" s="22">
        <f t="shared" si="63"/>
        <v>3.4604736482260239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7.5584615384615343</v>
      </c>
      <c r="BY82" s="12">
        <f>IF('Données projet'!$A$114&gt;35,BY81+BX82-CG81,IF(A82&lt;'Données projet'!$A$114,$BV$205^A82,IF(A82='Données projet'!$A$114,'Données projet'!$B$114,BY81+BX82-CG81)))</f>
        <v>395.34923076923047</v>
      </c>
      <c r="BZ82" s="13">
        <f>BY82*VLOOKUP('Données projet'!$B$12,Paramètres!$A$1:$I$89,3,0)*VLOOKUP('Données projet'!$B$12,Paramètres!$A$1:$I$89,5,0)</f>
        <v>236.41883999999985</v>
      </c>
      <c r="CA82" s="13">
        <f t="shared" si="93"/>
        <v>57.668353588027863</v>
      </c>
      <c r="CB82" s="20">
        <f t="shared" si="64"/>
        <v>512.20186216581487</v>
      </c>
      <c r="CC82" s="59">
        <f t="shared" si="65"/>
        <v>805.53519549914813</v>
      </c>
      <c r="CD82" s="59">
        <f ca="1">AVERAGE(OFFSET($CC$3,0,0,'Données projet'!$E$12+1,1))-AVERAGE(OFFSET($H$3,0,0,'Données projet'!$E$12+1,1))</f>
        <v>179.32848817523677</v>
      </c>
      <c r="CE82" s="59">
        <f t="shared" si="94"/>
        <v>131.3292389103035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3.3876552325088829</v>
      </c>
      <c r="CM82" s="21">
        <f>EXP(-LN(2)/2)*CM81+(1-EXP(-LN(2)/2))/(LN(2)/2)*CG82*CJ82*VLOOKUP('Données projet'!$B$12,Paramètres!$A$1:$I$89,3,0)*0.475*44/12</f>
        <v>2.218133583753868E-7</v>
      </c>
      <c r="CN82" s="22">
        <f t="shared" si="66"/>
        <v>3.3876554543222412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8.1746794871794854</v>
      </c>
      <c r="CT82" s="12">
        <f>IF('Données projet'!$A$140&gt;35,CT81+CS82-DB81,IF(A82&lt;'Données projet'!$A$140,$CQ$205^A82,IF(A82='Données projet'!$A$140,'Données projet'!$B$140,CT81+CS82-DB81)))</f>
        <v>277.79006410256403</v>
      </c>
      <c r="CU82" s="17">
        <f>CT82*VLOOKUP('Données projet'!$B$13,Paramètres!$A$1:$I$89,3,0)*VLOOKUP('Données projet'!$B$13,Paramètres!$A$1:$I$89,5,0)</f>
        <v>251.34444999999991</v>
      </c>
      <c r="CV82" s="13">
        <f t="shared" si="95"/>
        <v>60.873744657540833</v>
      </c>
      <c r="CW82" s="20">
        <f t="shared" si="67"/>
        <v>543.78002236188331</v>
      </c>
      <c r="CX82" s="59">
        <f t="shared" si="68"/>
        <v>837.11335569521657</v>
      </c>
      <c r="CY82" s="59">
        <f ca="1">AVERAGE(OFFSET($CX$3,0,0,'Données projet'!$E$13+1,1))-AVERAGE(OFFSET($H$3,0,0,'Données projet'!$E$13+1,1))</f>
        <v>309.07357540707869</v>
      </c>
      <c r="CZ82" s="59">
        <f t="shared" si="96"/>
        <v>155.9593924683299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3.7</v>
      </c>
      <c r="DO82" s="12">
        <f>IF('Données projet'!$A$166&gt;35,DO81+DN82-DW81,IF(A82&lt;'Données projet'!$A$166,$DL$205^A82,IF(A82='Données projet'!$A$166,'Données projet'!$B$166,DO81+DN82-DW81)))</f>
        <v>237.29999999999987</v>
      </c>
      <c r="DP82" s="17">
        <f>DO82*VLOOKUP('Données projet'!$B$14,Paramètres!$A$1:$I$89,3,0)*VLOOKUP('Données projet'!$B$14,Paramètres!$A$1:$I$89,5,0)</f>
        <v>207.30527999999993</v>
      </c>
      <c r="DQ82" s="13">
        <f t="shared" si="97"/>
        <v>51.346279688817212</v>
      </c>
      <c r="DR82" s="20">
        <f t="shared" si="70"/>
        <v>450.48479979135647</v>
      </c>
      <c r="DS82" s="59">
        <f t="shared" si="71"/>
        <v>743.81813312468978</v>
      </c>
      <c r="DT82" s="59">
        <f ca="1">AVERAGE(OFFSET($DS$3,0,0,'Données projet'!$E$14+1,1))-AVERAGE(OFFSET($H$3,0,0,'Données projet'!$E$14+1,1))</f>
        <v>210.07838338464626</v>
      </c>
      <c r="DU82" s="59">
        <f t="shared" si="98"/>
        <v>241.76003724236273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2.0084069956554291</v>
      </c>
      <c r="EB82" s="21">
        <f>EXP(-LN(2)/25)*EB81+(1-EXP(-LN(2)/25))/(LN(2)/25)*Calculateur!DW82*Calculateur!DY82*VLOOKUP('Données projet'!$B$14,Paramètres!$A$1:$I$89,3,0)*0.475*44/12</f>
        <v>3.4852819504074679</v>
      </c>
      <c r="EC82" s="21">
        <f>EXP(-LN(2)/2)*EC81+(1-EXP(-LN(2)/2))/(LN(2)/2)*DW82*DZ82*VLOOKUP('Données projet'!$B$14,Paramètres!$A$1:$I$89,3,0)*0.475*44/12</f>
        <v>6.7314520767607125E-7</v>
      </c>
      <c r="ED82" s="22">
        <f t="shared" si="72"/>
        <v>5.4936896192081051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5.0999999999999996</v>
      </c>
      <c r="EJ82" s="12">
        <f>IF('Données projet'!$A$192&gt;35,EJ81+EI82-ER81,IF(A82&lt;'Données projet'!$A$192,$EG$205^A82,IF(A82='Données projet'!$A$192,'Données projet'!$B$192,EJ81+EI82-ER81)))</f>
        <v>381.9000000000006</v>
      </c>
      <c r="EK82" s="17">
        <f>EJ82*VLOOKUP('Données projet'!$B$15,Paramètres!$A$1:$I$89,3,0)*VLOOKUP('Données projet'!$B$15,Paramètres!$A$1:$I$89,5,0)</f>
        <v>238.3056000000004</v>
      </c>
      <c r="EL82" s="13">
        <f t="shared" si="99"/>
        <v>58.074821878967199</v>
      </c>
      <c r="EM82" s="20">
        <f t="shared" si="73"/>
        <v>516.19590143920186</v>
      </c>
      <c r="EN82" s="59">
        <f t="shared" si="74"/>
        <v>809.52923477253512</v>
      </c>
      <c r="EO82" s="59">
        <f ca="1">AVERAGE(OFFSET($EN$3,0,0,'Données projet'!$E$15+1,1))-AVERAGE(OFFSET($H$3,0,0,'Données projet'!$E$15+1,1))</f>
        <v>209.93608079129638</v>
      </c>
      <c r="EP82" s="59">
        <f t="shared" si="100"/>
        <v>240.15652428700969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2.6348156736548134</v>
      </c>
      <c r="EW82" s="21">
        <f>EXP(-LN(2)/25)*EW81+(1-EXP(-LN(2)/25))/(LN(2)/25)*Calculateur!ER82*Calculateur!ET82*VLOOKUP('Données projet'!$B$15,Paramètres!$A$1:$I$89,3,0)*0.475*44/12</f>
        <v>5.3430840281917025</v>
      </c>
      <c r="EX82" s="21">
        <f>EXP(-LN(2)/2)*EX81+(1-EXP(-LN(2)/2))/(LN(2)/2)*ER82*EU82*VLOOKUP('Données projet'!$B$15,Paramètres!$A$1:$I$89,3,0)*0.475*44/12</f>
        <v>8.5097924234649107E-7</v>
      </c>
      <c r="EY82" s="22">
        <f t="shared" si="75"/>
        <v>7.9779005528257585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284</v>
      </c>
      <c r="L83" s="12">
        <f>VLOOKUP(A83,'Données projet'!$A$35:$I$55,9,0)</f>
        <v>3.1</v>
      </c>
      <c r="M83" s="12">
        <f t="array" ref="M83">INDEX(L:L,MIN(IF(ISNUMBER(L83:L279),ROW(L83:L279),"")))</f>
        <v>3.1</v>
      </c>
      <c r="N83" s="13">
        <f>IF('Données projet'!$A$36&gt;35,N82+M83-V82,IF(A83&lt;'Données projet'!$A$36,$K$205^A83,IF(A83='Données projet'!$A$36,'Données projet'!$B$36,N82+M83-V82)))</f>
        <v>284.00000000000006</v>
      </c>
      <c r="O83" s="13">
        <f>N83*VLOOKUP('Données projet'!$B$9,Paramètres!$A$1:$I$89,3,0)*VLOOKUP('Données projet'!$B$9,Paramètres!$A$1:$I$89,5,0)</f>
        <v>225.95040000000006</v>
      </c>
      <c r="P83" s="13">
        <f t="shared" si="87"/>
        <v>55.406160129335312</v>
      </c>
      <c r="Q83" s="20">
        <f t="shared" si="54"/>
        <v>490.02934222525914</v>
      </c>
      <c r="R83" s="59">
        <f t="shared" si="55"/>
        <v>783.3626755585924</v>
      </c>
      <c r="S83" s="59">
        <f ca="1">AVERAGE(OFFSET($R$3,0,0,'Données projet'!$E$9+1,1))-AVERAGE(OFFSET($H$3,0,0,'Données projet'!$E$9+1,1))</f>
        <v>199.58763537752952</v>
      </c>
      <c r="T83" s="59">
        <f t="shared" si="88"/>
        <v>242.62852778451929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284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</v>
      </c>
      <c r="AA83" s="21">
        <f>EXP(-LN(2)/25)*AA82+(1-EXP(-LN(2)/25))/(LN(2)/25)*Calculateur!V83*Calculateur!X83*VLOOKUP('Données projet'!$B$9,Paramètres!$A$1:$I$89,3,0)*0.475*44/12</f>
        <v>2.5707441173529557</v>
      </c>
      <c r="AB83" s="21">
        <f>EXP(-LN(2)/2)*AB82+(1-EXP(-LN(2)/2))/(LN(2)/2)*V83*Y83*VLOOKUP('Données projet'!$B$9,Paramètres!$A$1:$I$89,3,0)*0.475*44/12</f>
        <v>3.2071943262875735E-7</v>
      </c>
      <c r="AC83" s="22">
        <f t="shared" si="57"/>
        <v>2.5707444380723885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559</v>
      </c>
      <c r="AG83" s="12">
        <f>VLOOKUP(A83,'Données projet'!$A$61:$I$81,9,0)</f>
        <v>15.4</v>
      </c>
      <c r="AH83" s="12">
        <f t="array" ref="AH83">INDEX(AG:AG,MIN(IF(ISNUMBER(AG83:AG279),ROW(AG83:AG279),"")))</f>
        <v>15.4</v>
      </c>
      <c r="AI83" s="13">
        <f>IF('Données projet'!$A$62&gt;35,AI82+AH83-AQ82,IF(A83&lt;'Données projet'!$A$62,$AF$205^A83,IF(A83='Données projet'!$A$62,'Données projet'!$B$62,AI82+AH83-AQ82)))</f>
        <v>558.99999999999989</v>
      </c>
      <c r="AJ83" s="13">
        <f>AI83*VLOOKUP('Données projet'!$B$10,Paramètres!$A$1:$I$89,3,0)*VLOOKUP('Données projet'!$B$10,Paramètres!$A$1:$I$89,5,0)</f>
        <v>334.28199999999998</v>
      </c>
      <c r="AK83" s="13">
        <f t="shared" si="89"/>
        <v>78.31740780282</v>
      </c>
      <c r="AL83" s="20">
        <f t="shared" si="58"/>
        <v>718.61063525657812</v>
      </c>
      <c r="AM83" s="59">
        <f t="shared" si="59"/>
        <v>1011.9439685899115</v>
      </c>
      <c r="AN83" s="59">
        <f ca="1">AVERAGE(OFFSET($AM$3,0,0,'Données projet'!$E$10+1,1))-AVERAGE(OFFSET($H$3,0,0,'Données projet'!$E$10+1,1))</f>
        <v>287.78657453117694</v>
      </c>
      <c r="AO83" s="59">
        <f t="shared" si="90"/>
        <v>153.31562485362252</v>
      </c>
      <c r="AP83" s="15">
        <f>IF(ISNA(VLOOKUP(A83,'Données projet'!$A$61:$I$81,3,0)),0,VLOOKUP(A83,'Données projet'!$A$61:$I$81,3,0))</f>
        <v>6</v>
      </c>
      <c r="AQ83" s="15">
        <f>IF(ISNA(VLOOKUP(A83,'Données projet'!$A$61:$I$81,4,0)),0,VLOOKUP(A83,'Données projet'!$A$61:$I$81,4,0))</f>
        <v>94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1.0874594099495716</v>
      </c>
      <c r="AV83" s="21">
        <f>EXP(-LN(2)/25)*AV82+(1-EXP(-LN(2)/25))/(LN(2)/25)*Calculateur!AQ83*Calculateur!AS83*VLOOKUP('Données projet'!$B$10,Paramètres!$A$1:$I$89,3,0)*0.475*44/12</f>
        <v>1.4578490318790949</v>
      </c>
      <c r="AW83" s="21">
        <f>EXP(-LN(2)/2)*AW82+(1-EXP(-LN(2)/2))/(LN(2)/2)*AQ83*AT83*VLOOKUP('Données projet'!$B$10,Paramètres!$A$1:$I$89,3,0)*0.475*44/12</f>
        <v>3.3092583979074963E-7</v>
      </c>
      <c r="AX83" s="21">
        <f t="shared" si="60"/>
        <v>2.5453087727545061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-1.1368683772161603E-13</v>
      </c>
      <c r="BE83" s="13">
        <f>BD83*VLOOKUP('Données projet'!$B$11,Paramètres!$A$1:$I$89,3,0)*VLOOKUP('Données projet'!$B$11,Paramètres!$A$1:$I$89,5,0)</f>
        <v>-6.7984728957526396E-14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250.93905519128998</v>
      </c>
      <c r="BJ83" s="59">
        <f t="shared" si="92"/>
        <v>222.32879462265032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0.47592747522698647</v>
      </c>
      <c r="BQ83" s="21">
        <f>EXP(-LN(2)/25)*BQ82+(1-EXP(-LN(2)/25))/(LN(2)/25)*Calculateur!BL83*Calculateur!BN83*VLOOKUP('Données projet'!$B$11,Paramètres!$A$1:$I$89,3,0)*0.475*44/12</f>
        <v>2.893674514285959</v>
      </c>
      <c r="BR83" s="21">
        <f>EXP(-LN(2)/2)*BR82+(1-EXP(-LN(2)/2))/(LN(2)/2)*BL83*BO83*VLOOKUP('Données projet'!$B$11,Paramètres!$A$1:$I$89,3,0)*0.475*44/12</f>
        <v>5.6248264039947761E-8</v>
      </c>
      <c r="BS83" s="22">
        <f t="shared" si="63"/>
        <v>3.3696020457612095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402.90769230769229</v>
      </c>
      <c r="BW83" s="12">
        <f>VLOOKUP(A83,'Données projet'!$A$113:$I$133,9,0)</f>
        <v>7.5584615384615343</v>
      </c>
      <c r="BX83" s="12">
        <f t="array" ref="BX83">INDEX(BW:BW,MIN(IF(ISNUMBER(BW83:BW279),ROW(BW83:BW279),"")))</f>
        <v>7.5584615384615343</v>
      </c>
      <c r="BY83" s="12">
        <f>IF('Données projet'!$A$114&gt;35,BY82+BX83-CG82,IF(A83&lt;'Données projet'!$A$114,$BV$205^A83,IF(A83='Données projet'!$A$114,'Données projet'!$B$114,BY82+BX83-CG82)))</f>
        <v>402.907692307692</v>
      </c>
      <c r="BZ83" s="13">
        <f>BY83*VLOOKUP('Données projet'!$B$12,Paramètres!$A$1:$I$89,3,0)*VLOOKUP('Données projet'!$B$12,Paramètres!$A$1:$I$89,5,0)</f>
        <v>240.93879999999982</v>
      </c>
      <c r="CA83" s="13">
        <f t="shared" si="93"/>
        <v>58.64147195802866</v>
      </c>
      <c r="CB83" s="20">
        <f t="shared" si="64"/>
        <v>521.76897366023286</v>
      </c>
      <c r="CC83" s="59">
        <f t="shared" si="65"/>
        <v>815.10230699356612</v>
      </c>
      <c r="CD83" s="59">
        <f ca="1">AVERAGE(OFFSET($CC$3,0,0,'Données projet'!$E$12+1,1))-AVERAGE(OFFSET($H$3,0,0,'Données projet'!$E$12+1,1))</f>
        <v>179.32848817523677</v>
      </c>
      <c r="CE83" s="59">
        <f t="shared" si="94"/>
        <v>131.3292389103035</v>
      </c>
      <c r="CF83" s="15">
        <f>IF(ISNA(VLOOKUP(A83,'Données projet'!$A$113:$I$133,3,0)),0,VLOOKUP(A83,'Données projet'!$A$113:$I$133,3,0))</f>
        <v>8</v>
      </c>
      <c r="CG83" s="15">
        <f>IF(ISNA(VLOOKUP(A83,'Données projet'!$A$113:$I$133,4,0)),0,VLOOKUP(A83,'Données projet'!$A$113:$I$133,4,0))</f>
        <v>402.90769230769229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3.2950196220268815</v>
      </c>
      <c r="CM83" s="21">
        <f>EXP(-LN(2)/2)*CM82+(1-EXP(-LN(2)/2))/(LN(2)/2)*CG83*CJ83*VLOOKUP('Données projet'!$B$12,Paramètres!$A$1:$I$89,3,0)*0.475*44/12</f>
        <v>1.5684572986499788E-7</v>
      </c>
      <c r="CN83" s="22">
        <f t="shared" si="66"/>
        <v>3.2950197788726112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8.1746794871794854</v>
      </c>
      <c r="CT83" s="12">
        <f>IF('Données projet'!$A$140&gt;35,CT82+CS83-DB82,IF(A83&lt;'Données projet'!$A$140,$CQ$205^A83,IF(A83='Données projet'!$A$140,'Données projet'!$B$140,CT82+CS83-DB82)))</f>
        <v>285.96474358974353</v>
      </c>
      <c r="CU83" s="17">
        <f>CT83*VLOOKUP('Données projet'!$B$13,Paramètres!$A$1:$I$89,3,0)*VLOOKUP('Données projet'!$B$13,Paramètres!$A$1:$I$89,5,0)</f>
        <v>258.7408999999999</v>
      </c>
      <c r="CV83" s="13">
        <f t="shared" si="95"/>
        <v>62.453912936792911</v>
      </c>
      <c r="CW83" s="20">
        <f t="shared" si="67"/>
        <v>559.41429919824748</v>
      </c>
      <c r="CX83" s="59">
        <f t="shared" si="68"/>
        <v>852.74763253158085</v>
      </c>
      <c r="CY83" s="59">
        <f ca="1">AVERAGE(OFFSET($CX$3,0,0,'Données projet'!$E$13+1,1))-AVERAGE(OFFSET($H$3,0,0,'Données projet'!$E$13+1,1))</f>
        <v>309.07357540707869</v>
      </c>
      <c r="CZ83" s="59">
        <f t="shared" si="96"/>
        <v>155.9593924683299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241</v>
      </c>
      <c r="DM83" s="12">
        <f>VLOOKUP(A83,'Données projet'!$A$165:$I$185,9,0)</f>
        <v>3.7</v>
      </c>
      <c r="DN83" s="12">
        <f t="array" ref="DN83">INDEX(DM:DM,MIN(IF(ISNUMBER(DM83:DM279),ROW(DM83:DM279),"")))</f>
        <v>3.7</v>
      </c>
      <c r="DO83" s="12">
        <f>IF('Données projet'!$A$166&gt;35,DO82+DN83-DW82,IF(A83&lt;'Données projet'!$A$166,$DL$205^A83,IF(A83='Données projet'!$A$166,'Données projet'!$B$166,DO82+DN83-DW82)))</f>
        <v>240.99999999999986</v>
      </c>
      <c r="DP83" s="17">
        <f>DO83*VLOOKUP('Données projet'!$B$14,Paramètres!$A$1:$I$89,3,0)*VLOOKUP('Données projet'!$B$14,Paramètres!$A$1:$I$89,5,0)</f>
        <v>210.53759999999988</v>
      </c>
      <c r="DQ83" s="13">
        <f t="shared" si="97"/>
        <v>52.053047337322234</v>
      </c>
      <c r="DR83" s="20">
        <f t="shared" si="70"/>
        <v>457.34537744583599</v>
      </c>
      <c r="DS83" s="59">
        <f t="shared" si="71"/>
        <v>750.67871077916925</v>
      </c>
      <c r="DT83" s="59">
        <f ca="1">AVERAGE(OFFSET($DS$3,0,0,'Données projet'!$E$14+1,1))-AVERAGE(OFFSET($H$3,0,0,'Données projet'!$E$14+1,1))</f>
        <v>210.07838338464626</v>
      </c>
      <c r="DU83" s="59">
        <f t="shared" si="98"/>
        <v>241.76003724236273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27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1.9690233594779341</v>
      </c>
      <c r="EB83" s="21">
        <f>EXP(-LN(2)/25)*EB82+(1-EXP(-LN(2)/25))/(LN(2)/25)*Calculateur!DW83*Calculateur!DY83*VLOOKUP('Données projet'!$B$14,Paramètres!$A$1:$I$89,3,0)*0.475*44/12</f>
        <v>3.3899767321905636</v>
      </c>
      <c r="EC83" s="21">
        <f>EXP(-LN(2)/2)*EC82+(1-EXP(-LN(2)/2))/(LN(2)/2)*DW83*DZ83*VLOOKUP('Données projet'!$B$14,Paramètres!$A$1:$I$89,3,0)*0.475*44/12</f>
        <v>4.7598554107097685E-7</v>
      </c>
      <c r="ED83" s="22">
        <f t="shared" si="72"/>
        <v>5.3590005676540384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387</v>
      </c>
      <c r="EH83" s="12">
        <f>VLOOKUP(A83,'Données projet'!$A$191:$I$211,9,0)</f>
        <v>5.0999999999999996</v>
      </c>
      <c r="EI83" s="12">
        <f t="array" ref="EI83">INDEX(EH:EH,MIN(IF(ISNUMBER(EH83:EH279),ROW(EH83:EH279),"")))</f>
        <v>5.0999999999999996</v>
      </c>
      <c r="EJ83" s="12">
        <f>IF('Données projet'!$A$192&gt;35,EJ82+EI83-ER82,IF(A83&lt;'Données projet'!$A$192,$EG$205^A83,IF(A83='Données projet'!$A$192,'Données projet'!$B$192,EJ82+EI83-ER82)))</f>
        <v>387.00000000000063</v>
      </c>
      <c r="EK83" s="17">
        <f>EJ83*VLOOKUP('Données projet'!$B$15,Paramètres!$A$1:$I$89,3,0)*VLOOKUP('Données projet'!$B$15,Paramètres!$A$1:$I$89,5,0)</f>
        <v>241.4880000000004</v>
      </c>
      <c r="EL83" s="13">
        <f t="shared" si="99"/>
        <v>58.759565673425016</v>
      </c>
      <c r="EM83" s="20">
        <f t="shared" si="73"/>
        <v>522.93117688121595</v>
      </c>
      <c r="EN83" s="59">
        <f t="shared" si="74"/>
        <v>816.26451021454932</v>
      </c>
      <c r="EO83" s="59">
        <f ca="1">AVERAGE(OFFSET($EN$3,0,0,'Données projet'!$E$15+1,1))-AVERAGE(OFFSET($H$3,0,0,'Données projet'!$E$15+1,1))</f>
        <v>209.93608079129638</v>
      </c>
      <c r="EP83" s="59">
        <f t="shared" si="100"/>
        <v>240.15652428700969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387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2.5831485453733176</v>
      </c>
      <c r="EW83" s="21">
        <f>EXP(-LN(2)/25)*EW82+(1-EXP(-LN(2)/25))/(LN(2)/25)*Calculateur!ER83*Calculateur!ET83*VLOOKUP('Données projet'!$B$15,Paramètres!$A$1:$I$89,3,0)*0.475*44/12</f>
        <v>5.196977114460223</v>
      </c>
      <c r="EX83" s="21">
        <f>EXP(-LN(2)/2)*EX82+(1-EXP(-LN(2)/2))/(LN(2)/2)*ER83*EU83*VLOOKUP('Données projet'!$B$15,Paramètres!$A$1:$I$89,3,0)*0.475*44/12</f>
        <v>6.0173319291219425E-7</v>
      </c>
      <c r="EY83" s="22">
        <f t="shared" si="75"/>
        <v>7.7801262615667337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5.6843418860808015E-14</v>
      </c>
      <c r="O84" s="13">
        <f>N84*VLOOKUP('Données projet'!$B$9,Paramètres!$A$1:$I$89,3,0)*VLOOKUP('Données projet'!$B$9,Paramètres!$A$1:$I$89,5,0)</f>
        <v>4.5224624045658861E-14</v>
      </c>
      <c r="P84" s="13">
        <f t="shared" si="87"/>
        <v>7.4514601661523691E-13</v>
      </c>
      <c r="Q84" s="20">
        <f t="shared" si="54"/>
        <v>1.3765621991510601E-12</v>
      </c>
      <c r="R84" s="59">
        <f t="shared" si="55"/>
        <v>293.33333333333468</v>
      </c>
      <c r="S84" s="59">
        <f ca="1">AVERAGE(OFFSET($R$3,0,0,'Données projet'!$E$9+1,1))-AVERAGE(OFFSET($H$3,0,0,'Données projet'!$E$9+1,1))</f>
        <v>199.58763537752952</v>
      </c>
      <c r="T84" s="59">
        <f t="shared" si="88"/>
        <v>242.62852778451929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</v>
      </c>
      <c r="AA84" s="21">
        <f>EXP(-LN(2)/25)*AA83+(1-EXP(-LN(2)/25))/(LN(2)/25)*Calculateur!V84*Calculateur!X84*VLOOKUP('Données projet'!$B$9,Paramètres!$A$1:$I$89,3,0)*0.475*44/12</f>
        <v>2.5004469842743817</v>
      </c>
      <c r="AB84" s="21">
        <f>EXP(-LN(2)/2)*AB83+(1-EXP(-LN(2)/2))/(LN(2)/2)*V84*Y84*VLOOKUP('Données projet'!$B$9,Paramètres!$A$1:$I$89,3,0)*0.475*44/12</f>
        <v>2.267828856700964E-7</v>
      </c>
      <c r="AC84" s="22">
        <f t="shared" si="57"/>
        <v>2.5004472110572675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14.7</v>
      </c>
      <c r="AI84" s="13">
        <f>IF('Données projet'!$A$62&gt;35,AI83+AH84-AQ83,IF(A84&lt;'Données projet'!$A$62,$AF$205^A84,IF(A84='Données projet'!$A$62,'Données projet'!$B$62,AI83+AH84-AQ83)))</f>
        <v>479.69999999999993</v>
      </c>
      <c r="AJ84" s="13">
        <f>AI84*VLOOKUP('Données projet'!$B$10,Paramètres!$A$1:$I$89,3,0)*VLOOKUP('Données projet'!$B$10,Paramètres!$A$1:$I$89,5,0)</f>
        <v>286.86059999999998</v>
      </c>
      <c r="AK84" s="13">
        <f t="shared" si="89"/>
        <v>68.414801980462897</v>
      </c>
      <c r="AL84" s="20">
        <f t="shared" si="58"/>
        <v>618.7713251159729</v>
      </c>
      <c r="AM84" s="59">
        <f t="shared" si="59"/>
        <v>912.10465844930627</v>
      </c>
      <c r="AN84" s="59">
        <f ca="1">AVERAGE(OFFSET($AM$3,0,0,'Données projet'!$E$10+1,1))-AVERAGE(OFFSET($H$3,0,0,'Données projet'!$E$10+1,1))</f>
        <v>287.78657453117694</v>
      </c>
      <c r="AO84" s="59">
        <f t="shared" si="90"/>
        <v>153.31562485362252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1.0661349942052065</v>
      </c>
      <c r="AV84" s="21">
        <f>EXP(-LN(2)/25)*AV83+(1-EXP(-LN(2)/25))/(LN(2)/25)*Calculateur!AQ84*Calculateur!AS84*VLOOKUP('Données projet'!$B$10,Paramètres!$A$1:$I$89,3,0)*0.475*44/12</f>
        <v>1.4179840734374123</v>
      </c>
      <c r="AW84" s="21">
        <f>EXP(-LN(2)/2)*AW83+(1-EXP(-LN(2)/2))/(LN(2)/2)*AQ84*AT84*VLOOKUP('Données projet'!$B$10,Paramètres!$A$1:$I$89,3,0)*0.475*44/12</f>
        <v>2.3399990538589209E-7</v>
      </c>
      <c r="AX84" s="21">
        <f t="shared" si="60"/>
        <v>2.484119301642524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-1.1368683772161603E-13</v>
      </c>
      <c r="BE84" s="13">
        <f>BD84*VLOOKUP('Données projet'!$B$11,Paramètres!$A$1:$I$89,3,0)*VLOOKUP('Données projet'!$B$11,Paramètres!$A$1:$I$89,5,0)</f>
        <v>-6.7984728957526396E-14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250.93905519128998</v>
      </c>
      <c r="BJ84" s="59">
        <f t="shared" si="92"/>
        <v>222.32879462265032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0.4665948277248817</v>
      </c>
      <c r="BQ84" s="21">
        <f>EXP(-LN(2)/25)*BQ83+(1-EXP(-LN(2)/25))/(LN(2)/25)*Calculateur!BL84*Calculateur!BN84*VLOOKUP('Données projet'!$B$11,Paramètres!$A$1:$I$89,3,0)*0.475*44/12</f>
        <v>2.8145468325210805</v>
      </c>
      <c r="BR84" s="21">
        <f>EXP(-LN(2)/2)*BR83+(1-EXP(-LN(2)/2))/(LN(2)/2)*BL84*BO84*VLOOKUP('Données projet'!$B$11,Paramètres!$A$1:$I$89,3,0)*0.475*44/12</f>
        <v>3.9773528932618491E-8</v>
      </c>
      <c r="BS84" s="22">
        <f t="shared" si="63"/>
        <v>3.2811417000194911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-2.8421709430404007E-13</v>
      </c>
      <c r="BZ84" s="13">
        <f>BY84*VLOOKUP('Données projet'!$B$12,Paramètres!$A$1:$I$89,3,0)*VLOOKUP('Données projet'!$B$12,Paramètres!$A$1:$I$89,5,0)</f>
        <v>-1.69961822393816E-13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179.32848817523677</v>
      </c>
      <c r="CE84" s="59">
        <f t="shared" si="94"/>
        <v>131.3292389103035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3.2049171371850051</v>
      </c>
      <c r="CM84" s="21">
        <f>EXP(-LN(2)/2)*CM83+(1-EXP(-LN(2)/2))/(LN(2)/2)*CG84*CJ84*VLOOKUP('Données projet'!$B$12,Paramètres!$A$1:$I$89,3,0)*0.475*44/12</f>
        <v>1.109066791876934E-7</v>
      </c>
      <c r="CN84" s="22">
        <f t="shared" si="66"/>
        <v>3.2049172480916845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8.1746794871794854</v>
      </c>
      <c r="CT84" s="12">
        <f>IF('Données projet'!$A$140&gt;35,CT83+CS84-DB83,IF(A84&lt;'Données projet'!$A$140,$CQ$205^A84,IF(A84='Données projet'!$A$140,'Données projet'!$B$140,CT83+CS84-DB83)))</f>
        <v>294.13942307692304</v>
      </c>
      <c r="CU84" s="17">
        <f>CT84*VLOOKUP('Données projet'!$B$13,Paramètres!$A$1:$I$89,3,0)*VLOOKUP('Données projet'!$B$13,Paramètres!$A$1:$I$89,5,0)</f>
        <v>266.13734999999997</v>
      </c>
      <c r="CV84" s="13">
        <f t="shared" si="95"/>
        <v>64.02883127145283</v>
      </c>
      <c r="CW84" s="20">
        <f t="shared" si="67"/>
        <v>575.03943238111356</v>
      </c>
      <c r="CX84" s="59">
        <f t="shared" si="68"/>
        <v>868.37276571444681</v>
      </c>
      <c r="CY84" s="59">
        <f ca="1">AVERAGE(OFFSET($CX$3,0,0,'Données projet'!$E$13+1,1))-AVERAGE(OFFSET($H$3,0,0,'Données projet'!$E$13+1,1))</f>
        <v>309.07357540707869</v>
      </c>
      <c r="CZ84" s="59">
        <f t="shared" si="96"/>
        <v>155.9593924683299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3.1</v>
      </c>
      <c r="DO84" s="12">
        <f>IF('Données projet'!$A$166&gt;35,DO83+DN84-DW83,IF(A84&lt;'Données projet'!$A$166,$DL$205^A84,IF(A84='Données projet'!$A$166,'Données projet'!$B$166,DO83+DN84-DW83)))</f>
        <v>217.09999999999985</v>
      </c>
      <c r="DP84" s="17">
        <f>DO84*VLOOKUP('Données projet'!$B$14,Paramètres!$A$1:$I$89,3,0)*VLOOKUP('Données projet'!$B$14,Paramètres!$A$1:$I$89,5,0)</f>
        <v>189.65855999999988</v>
      </c>
      <c r="DQ84" s="13">
        <f t="shared" si="97"/>
        <v>47.464457414655961</v>
      </c>
      <c r="DR84" s="20">
        <f t="shared" si="70"/>
        <v>412.98925533052557</v>
      </c>
      <c r="DS84" s="59">
        <f t="shared" si="71"/>
        <v>706.32258866385882</v>
      </c>
      <c r="DT84" s="59">
        <f ca="1">AVERAGE(OFFSET($DS$3,0,0,'Données projet'!$E$14+1,1))-AVERAGE(OFFSET($H$3,0,0,'Données projet'!$E$14+1,1))</f>
        <v>210.07838338464626</v>
      </c>
      <c r="DU84" s="59">
        <f t="shared" si="98"/>
        <v>241.76003724236273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1.9304120123842337</v>
      </c>
      <c r="EB84" s="21">
        <f>EXP(-LN(2)/25)*EB83+(1-EXP(-LN(2)/25))/(LN(2)/25)*Calculateur!DW84*Calculateur!DY84*VLOOKUP('Données projet'!$B$14,Paramètres!$A$1:$I$89,3,0)*0.475*44/12</f>
        <v>3.297277640177684</v>
      </c>
      <c r="EC84" s="21">
        <f>EXP(-LN(2)/2)*EC83+(1-EXP(-LN(2)/2))/(LN(2)/2)*DW84*DZ84*VLOOKUP('Données projet'!$B$14,Paramètres!$A$1:$I$89,3,0)*0.475*44/12</f>
        <v>3.3657260383803568E-7</v>
      </c>
      <c r="ED84" s="22">
        <f t="shared" si="72"/>
        <v>5.2276899891345208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6.2527760746888816E-13</v>
      </c>
      <c r="EK84" s="17">
        <f>EJ84*VLOOKUP('Données projet'!$B$15,Paramètres!$A$1:$I$89,3,0)*VLOOKUP('Données projet'!$B$15,Paramètres!$A$1:$I$89,5,0)</f>
        <v>3.9017322706058616E-13</v>
      </c>
      <c r="EL84" s="13">
        <f t="shared" si="99"/>
        <v>5.0025007393608908E-12</v>
      </c>
      <c r="EM84" s="20">
        <f t="shared" si="73"/>
        <v>9.3922404915174053E-12</v>
      </c>
      <c r="EN84" s="59">
        <f t="shared" si="74"/>
        <v>293.33333333334269</v>
      </c>
      <c r="EO84" s="59">
        <f ca="1">AVERAGE(OFFSET($EN$3,0,0,'Données projet'!$E$15+1,1))-AVERAGE(OFFSET($H$3,0,0,'Données projet'!$E$15+1,1))</f>
        <v>209.93608079129638</v>
      </c>
      <c r="EP84" s="59">
        <f t="shared" si="100"/>
        <v>240.15652428700969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2.5324945779635852</v>
      </c>
      <c r="EW84" s="21">
        <f>EXP(-LN(2)/25)*EW83+(1-EXP(-LN(2)/25))/(LN(2)/25)*Calculateur!ER84*Calculateur!ET84*VLOOKUP('Données projet'!$B$15,Paramètres!$A$1:$I$89,3,0)*0.475*44/12</f>
        <v>5.0548655019681599</v>
      </c>
      <c r="EX84" s="21">
        <f>EXP(-LN(2)/2)*EX83+(1-EXP(-LN(2)/2))/(LN(2)/2)*ER84*EU84*VLOOKUP('Données projet'!$B$15,Paramètres!$A$1:$I$89,3,0)*0.475*44/12</f>
        <v>4.2548962117324554E-7</v>
      </c>
      <c r="EY84" s="22">
        <f t="shared" si="75"/>
        <v>7.5873605054213664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5.6843418860808015E-14</v>
      </c>
      <c r="O85" s="13">
        <f>N85*VLOOKUP('Données projet'!$B$9,Paramètres!$A$1:$I$89,3,0)*VLOOKUP('Données projet'!$B$9,Paramètres!$A$1:$I$89,5,0)</f>
        <v>4.5224624045658861E-14</v>
      </c>
      <c r="P85" s="13">
        <f t="shared" si="87"/>
        <v>7.4514601661523691E-13</v>
      </c>
      <c r="Q85" s="20">
        <f t="shared" si="54"/>
        <v>1.3765621991510601E-12</v>
      </c>
      <c r="R85" s="59">
        <f t="shared" si="55"/>
        <v>293.33333333333468</v>
      </c>
      <c r="S85" s="59">
        <f ca="1">AVERAGE(OFFSET($R$3,0,0,'Données projet'!$E$9+1,1))-AVERAGE(OFFSET($H$3,0,0,'Données projet'!$E$9+1,1))</f>
        <v>199.58763537752952</v>
      </c>
      <c r="T85" s="59">
        <f t="shared" si="88"/>
        <v>242.62852778451929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</v>
      </c>
      <c r="AA85" s="21">
        <f>EXP(-LN(2)/25)*AA84+(1-EXP(-LN(2)/25))/(LN(2)/25)*Calculateur!V85*Calculateur!X85*VLOOKUP('Données projet'!$B$9,Paramètres!$A$1:$I$89,3,0)*0.475*44/12</f>
        <v>2.4320721299966066</v>
      </c>
      <c r="AB85" s="21">
        <f>EXP(-LN(2)/2)*AB84+(1-EXP(-LN(2)/2))/(LN(2)/2)*V85*Y85*VLOOKUP('Données projet'!$B$9,Paramètres!$A$1:$I$89,3,0)*0.475*44/12</f>
        <v>1.6035971631437868E-7</v>
      </c>
      <c r="AC85" s="22">
        <f t="shared" si="57"/>
        <v>2.4320722903563228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14.7</v>
      </c>
      <c r="AI85" s="13">
        <f>IF('Données projet'!$A$62&gt;35,AI84+AH85-AQ84,IF(A85&lt;'Données projet'!$A$62,$AF$205^A85,IF(A85='Données projet'!$A$62,'Données projet'!$B$62,AI84+AH85-AQ84)))</f>
        <v>494.39999999999992</v>
      </c>
      <c r="AJ85" s="13">
        <f>AI85*VLOOKUP('Données projet'!$B$10,Paramètres!$A$1:$I$89,3,0)*VLOOKUP('Données projet'!$B$10,Paramètres!$A$1:$I$89,5,0)</f>
        <v>295.65119999999996</v>
      </c>
      <c r="AK85" s="13">
        <f t="shared" si="89"/>
        <v>70.264014624450112</v>
      </c>
      <c r="AL85" s="20">
        <f t="shared" si="58"/>
        <v>637.3023321375839</v>
      </c>
      <c r="AM85" s="59">
        <f t="shared" si="59"/>
        <v>930.63566547091727</v>
      </c>
      <c r="AN85" s="59">
        <f ca="1">AVERAGE(OFFSET($AM$3,0,0,'Données projet'!$E$10+1,1))-AVERAGE(OFFSET($H$3,0,0,'Données projet'!$E$10+1,1))</f>
        <v>287.78657453117694</v>
      </c>
      <c r="AO85" s="59">
        <f t="shared" si="90"/>
        <v>153.31562485362252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1.0452287372469793</v>
      </c>
      <c r="AV85" s="21">
        <f>EXP(-LN(2)/25)*AV84+(1-EXP(-LN(2)/25))/(LN(2)/25)*Calculateur!AQ85*Calculateur!AS85*VLOOKUP('Données projet'!$B$10,Paramètres!$A$1:$I$89,3,0)*0.475*44/12</f>
        <v>1.3792092243807246</v>
      </c>
      <c r="AW85" s="21">
        <f>EXP(-LN(2)/2)*AW84+(1-EXP(-LN(2)/2))/(LN(2)/2)*AQ85*AT85*VLOOKUP('Données projet'!$B$10,Paramètres!$A$1:$I$89,3,0)*0.475*44/12</f>
        <v>1.6546291989537484E-7</v>
      </c>
      <c r="AX85" s="21">
        <f t="shared" si="60"/>
        <v>2.4244381270906237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-1.1368683772161603E-13</v>
      </c>
      <c r="BE85" s="13">
        <f>BD85*VLOOKUP('Données projet'!$B$11,Paramètres!$A$1:$I$89,3,0)*VLOOKUP('Données projet'!$B$11,Paramètres!$A$1:$I$89,5,0)</f>
        <v>-6.7984728957526396E-14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250.93905519128998</v>
      </c>
      <c r="BJ85" s="59">
        <f t="shared" si="92"/>
        <v>222.32879462265032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0.4574451877479403</v>
      </c>
      <c r="BQ85" s="21">
        <f>EXP(-LN(2)/25)*BQ84+(1-EXP(-LN(2)/25))/(LN(2)/25)*Calculateur!BL85*Calculateur!BN85*VLOOKUP('Données projet'!$B$11,Paramètres!$A$1:$I$89,3,0)*0.475*44/12</f>
        <v>2.7375829013752062</v>
      </c>
      <c r="BR85" s="21">
        <f>EXP(-LN(2)/2)*BR84+(1-EXP(-LN(2)/2))/(LN(2)/2)*BL85*BO85*VLOOKUP('Données projet'!$B$11,Paramètres!$A$1:$I$89,3,0)*0.475*44/12</f>
        <v>2.8124132019973881E-8</v>
      </c>
      <c r="BS85" s="22">
        <f t="shared" si="63"/>
        <v>3.1950281172472783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-2.8421709430404007E-13</v>
      </c>
      <c r="BZ85" s="13">
        <f>BY85*VLOOKUP('Données projet'!$B$12,Paramètres!$A$1:$I$89,3,0)*VLOOKUP('Données projet'!$B$12,Paramètres!$A$1:$I$89,5,0)</f>
        <v>-1.69961822393816E-13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179.32848817523677</v>
      </c>
      <c r="CE85" s="59">
        <f t="shared" si="94"/>
        <v>131.3292389103035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3.117278509529414</v>
      </c>
      <c r="CM85" s="21">
        <f>EXP(-LN(2)/2)*CM84+(1-EXP(-LN(2)/2))/(LN(2)/2)*CG85*CJ85*VLOOKUP('Données projet'!$B$12,Paramètres!$A$1:$I$89,3,0)*0.475*44/12</f>
        <v>7.8422864932498939E-8</v>
      </c>
      <c r="CN85" s="22">
        <f t="shared" si="66"/>
        <v>3.1172785879522791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>
        <f>VLOOKUP(A85,'Données projet'!$A$139:$I$159,2,0)</f>
        <v>302.31410256410254</v>
      </c>
      <c r="CR85" s="12">
        <f>VLOOKUP(A85,'Données projet'!$A$139:$I$159,9,0)</f>
        <v>8.1746794871794854</v>
      </c>
      <c r="CS85" s="12">
        <f t="array" ref="CS85">INDEX(CR:CR,MIN(IF(ISNUMBER(CR85:CR281),ROW(CR85:CR281),"")))</f>
        <v>8.1746794871794854</v>
      </c>
      <c r="CT85" s="12">
        <f>IF('Données projet'!$A$140&gt;35,CT84+CS85-DB84,IF(A85&lt;'Données projet'!$A$140,$CQ$205^A85,IF(A85='Données projet'!$A$140,'Données projet'!$B$140,CT84+CS85-DB84)))</f>
        <v>302.31410256410254</v>
      </c>
      <c r="CU85" s="17">
        <f>CT85*VLOOKUP('Données projet'!$B$13,Paramètres!$A$1:$I$89,3,0)*VLOOKUP('Données projet'!$B$13,Paramètres!$A$1:$I$89,5,0)</f>
        <v>273.53379999999999</v>
      </c>
      <c r="CV85" s="13">
        <f t="shared" si="95"/>
        <v>65.598662329861284</v>
      </c>
      <c r="CW85" s="20">
        <f t="shared" si="67"/>
        <v>590.65570522450832</v>
      </c>
      <c r="CX85" s="59">
        <f t="shared" si="68"/>
        <v>883.9890385578417</v>
      </c>
      <c r="CY85" s="59">
        <f ca="1">AVERAGE(OFFSET($CX$3,0,0,'Données projet'!$E$13+1,1))-AVERAGE(OFFSET($H$3,0,0,'Données projet'!$E$13+1,1))</f>
        <v>309.07357540707869</v>
      </c>
      <c r="CZ85" s="59">
        <f t="shared" si="96"/>
        <v>155.9593924683299</v>
      </c>
      <c r="DA85" s="15">
        <f>IF(ISNA(VLOOKUP(A85,'Données projet'!$A$139:$I$159,3,0)),0,VLOOKUP(A85,'Données projet'!$A$139:$I$159,3,0))</f>
        <v>7</v>
      </c>
      <c r="DB85" s="15">
        <f>IF(ISNA(VLOOKUP(A85,'Données projet'!$A$139:$I$159,4,0)),0,VLOOKUP(A85,'Données projet'!$A$139:$I$159,4,0))</f>
        <v>40.371794871794869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3.1</v>
      </c>
      <c r="DO85" s="12">
        <f>IF('Données projet'!$A$166&gt;35,DO84+DN85-DW84,IF(A85&lt;'Données projet'!$A$166,$DL$205^A85,IF(A85='Données projet'!$A$166,'Données projet'!$B$166,DO84+DN85-DW84)))</f>
        <v>220.19999999999985</v>
      </c>
      <c r="DP85" s="17">
        <f>DO85*VLOOKUP('Données projet'!$B$14,Paramètres!$A$1:$I$89,3,0)*VLOOKUP('Données projet'!$B$14,Paramètres!$A$1:$I$89,5,0)</f>
        <v>192.3667199999999</v>
      </c>
      <c r="DQ85" s="13">
        <f t="shared" si="97"/>
        <v>48.062823450978094</v>
      </c>
      <c r="DR85" s="20">
        <f t="shared" si="70"/>
        <v>418.7481215104533</v>
      </c>
      <c r="DS85" s="59">
        <f t="shared" si="71"/>
        <v>712.08145484378656</v>
      </c>
      <c r="DT85" s="59">
        <f ca="1">AVERAGE(OFFSET($DS$3,0,0,'Données projet'!$E$14+1,1))-AVERAGE(OFFSET($H$3,0,0,'Données projet'!$E$14+1,1))</f>
        <v>210.07838338464626</v>
      </c>
      <c r="DU85" s="59">
        <f t="shared" si="98"/>
        <v>241.76003724236273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1.8925578102564444</v>
      </c>
      <c r="EB85" s="21">
        <f>EXP(-LN(2)/25)*EB84+(1-EXP(-LN(2)/25))/(LN(2)/25)*Calculateur!DW85*Calculateur!DY85*VLOOKUP('Données projet'!$B$14,Paramètres!$A$1:$I$89,3,0)*0.475*44/12</f>
        <v>3.2071134097107303</v>
      </c>
      <c r="EC85" s="21">
        <f>EXP(-LN(2)/2)*EC84+(1-EXP(-LN(2)/2))/(LN(2)/2)*DW85*DZ85*VLOOKUP('Données projet'!$B$14,Paramètres!$A$1:$I$89,3,0)*0.475*44/12</f>
        <v>2.3799277053548845E-7</v>
      </c>
      <c r="ED85" s="22">
        <f t="shared" si="72"/>
        <v>5.0996714579599454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6.2527760746888816E-13</v>
      </c>
      <c r="EK85" s="17">
        <f>EJ85*VLOOKUP('Données projet'!$B$15,Paramètres!$A$1:$I$89,3,0)*VLOOKUP('Données projet'!$B$15,Paramètres!$A$1:$I$89,5,0)</f>
        <v>3.9017322706058616E-13</v>
      </c>
      <c r="EL85" s="13">
        <f t="shared" si="99"/>
        <v>5.0025007393608908E-12</v>
      </c>
      <c r="EM85" s="20">
        <f t="shared" si="73"/>
        <v>9.3922404915174053E-12</v>
      </c>
      <c r="EN85" s="59">
        <f t="shared" si="74"/>
        <v>293.33333333334269</v>
      </c>
      <c r="EO85" s="59">
        <f ca="1">AVERAGE(OFFSET($EN$3,0,0,'Données projet'!$E$15+1,1))-AVERAGE(OFFSET($H$3,0,0,'Données projet'!$E$15+1,1))</f>
        <v>209.93608079129638</v>
      </c>
      <c r="EP85" s="59">
        <f t="shared" si="100"/>
        <v>240.15652428700969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2.4828339039588885</v>
      </c>
      <c r="EW85" s="21">
        <f>EXP(-LN(2)/25)*EW84+(1-EXP(-LN(2)/25))/(LN(2)/25)*Calculateur!ER85*Calculateur!ET85*VLOOKUP('Données projet'!$B$15,Paramètres!$A$1:$I$89,3,0)*0.475*44/12</f>
        <v>4.9166399389930167</v>
      </c>
      <c r="EX85" s="21">
        <f>EXP(-LN(2)/2)*EX84+(1-EXP(-LN(2)/2))/(LN(2)/2)*ER85*EU85*VLOOKUP('Données projet'!$B$15,Paramètres!$A$1:$I$89,3,0)*0.475*44/12</f>
        <v>3.0086659645609713E-7</v>
      </c>
      <c r="EY85" s="22">
        <f t="shared" si="75"/>
        <v>7.3994741438185017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5.6843418860808015E-14</v>
      </c>
      <c r="O86" s="13">
        <f>N86*VLOOKUP('Données projet'!$B$9,Paramètres!$A$1:$I$89,3,0)*VLOOKUP('Données projet'!$B$9,Paramètres!$A$1:$I$89,5,0)</f>
        <v>4.5224624045658861E-14</v>
      </c>
      <c r="P86" s="13">
        <f t="shared" si="87"/>
        <v>7.4514601661523691E-13</v>
      </c>
      <c r="Q86" s="20">
        <f t="shared" si="54"/>
        <v>1.3765621991510601E-12</v>
      </c>
      <c r="R86" s="59">
        <f t="shared" si="55"/>
        <v>293.33333333333468</v>
      </c>
      <c r="S86" s="59">
        <f ca="1">AVERAGE(OFFSET($R$3,0,0,'Données projet'!$E$9+1,1))-AVERAGE(OFFSET($H$3,0,0,'Données projet'!$E$9+1,1))</f>
        <v>199.58763537752952</v>
      </c>
      <c r="T86" s="59">
        <f t="shared" si="88"/>
        <v>242.62852778451929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</v>
      </c>
      <c r="AA86" s="21">
        <f>EXP(-LN(2)/25)*AA85+(1-EXP(-LN(2)/25))/(LN(2)/25)*Calculateur!V86*Calculateur!X86*VLOOKUP('Données projet'!$B$9,Paramètres!$A$1:$I$89,3,0)*0.475*44/12</f>
        <v>2.3655669897047344</v>
      </c>
      <c r="AB86" s="21">
        <f>EXP(-LN(2)/2)*AB85+(1-EXP(-LN(2)/2))/(LN(2)/2)*V86*Y86*VLOOKUP('Données projet'!$B$9,Paramètres!$A$1:$I$89,3,0)*0.475*44/12</f>
        <v>1.133914428350482E-7</v>
      </c>
      <c r="AC86" s="22">
        <f t="shared" si="57"/>
        <v>2.3655671030961773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14.7</v>
      </c>
      <c r="AI86" s="13">
        <f>IF('Données projet'!$A$62&gt;35,AI85+AH86-AQ85,IF(A86&lt;'Données projet'!$A$62,$AF$205^A86,IF(A86='Données projet'!$A$62,'Données projet'!$B$62,AI85+AH86-AQ85)))</f>
        <v>509.09999999999991</v>
      </c>
      <c r="AJ86" s="13">
        <f>AI86*VLOOKUP('Données projet'!$B$10,Paramètres!$A$1:$I$89,3,0)*VLOOKUP('Données projet'!$B$10,Paramètres!$A$1:$I$89,5,0)</f>
        <v>304.4418</v>
      </c>
      <c r="AK86" s="13">
        <f t="shared" si="89"/>
        <v>72.106837354470258</v>
      </c>
      <c r="AL86" s="20">
        <f t="shared" si="58"/>
        <v>655.82221005903568</v>
      </c>
      <c r="AM86" s="59">
        <f t="shared" si="59"/>
        <v>949.15554339236905</v>
      </c>
      <c r="AN86" s="59">
        <f ca="1">AVERAGE(OFFSET($AM$3,0,0,'Données projet'!$E$10+1,1))-AVERAGE(OFFSET($H$3,0,0,'Données projet'!$E$10+1,1))</f>
        <v>287.78657453117694</v>
      </c>
      <c r="AO86" s="59">
        <f t="shared" si="90"/>
        <v>153.31562485362252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1.0247324392361452</v>
      </c>
      <c r="AV86" s="21">
        <f>EXP(-LN(2)/25)*AV85+(1-EXP(-LN(2)/25))/(LN(2)/25)*Calculateur!AQ86*Calculateur!AS86*VLOOKUP('Données projet'!$B$10,Paramètres!$A$1:$I$89,3,0)*0.475*44/12</f>
        <v>1.3414946756105728</v>
      </c>
      <c r="AW86" s="21">
        <f>EXP(-LN(2)/2)*AW85+(1-EXP(-LN(2)/2))/(LN(2)/2)*AQ86*AT86*VLOOKUP('Données projet'!$B$10,Paramètres!$A$1:$I$89,3,0)*0.475*44/12</f>
        <v>1.1699995269294606E-7</v>
      </c>
      <c r="AX86" s="21">
        <f t="shared" si="60"/>
        <v>2.3662272318466711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-1.1368683772161603E-13</v>
      </c>
      <c r="BE86" s="13">
        <f>BD86*VLOOKUP('Données projet'!$B$11,Paramètres!$A$1:$I$89,3,0)*VLOOKUP('Données projet'!$B$11,Paramètres!$A$1:$I$89,5,0)</f>
        <v>-6.7984728957526396E-14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250.93905519128998</v>
      </c>
      <c r="BJ86" s="59">
        <f t="shared" si="92"/>
        <v>222.32879462265032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0.44847496663021735</v>
      </c>
      <c r="BQ86" s="21">
        <f>EXP(-LN(2)/25)*BQ85+(1-EXP(-LN(2)/25))/(LN(2)/25)*Calculateur!BL86*Calculateur!BN86*VLOOKUP('Données projet'!$B$11,Paramètres!$A$1:$I$89,3,0)*0.475*44/12</f>
        <v>2.6627235529738731</v>
      </c>
      <c r="BR86" s="21">
        <f>EXP(-LN(2)/2)*BR85+(1-EXP(-LN(2)/2))/(LN(2)/2)*BL86*BO86*VLOOKUP('Données projet'!$B$11,Paramètres!$A$1:$I$89,3,0)*0.475*44/12</f>
        <v>1.9886764466309245E-8</v>
      </c>
      <c r="BS86" s="22">
        <f t="shared" si="63"/>
        <v>3.111198539490855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-2.8421709430404007E-13</v>
      </c>
      <c r="BZ86" s="13">
        <f>BY86*VLOOKUP('Données projet'!$B$12,Paramètres!$A$1:$I$89,3,0)*VLOOKUP('Données projet'!$B$12,Paramètres!$A$1:$I$89,5,0)</f>
        <v>-1.69961822393816E-13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179.32848817523677</v>
      </c>
      <c r="CE86" s="59">
        <f t="shared" si="94"/>
        <v>131.3292389103035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3.03203636475578</v>
      </c>
      <c r="CM86" s="21">
        <f>EXP(-LN(2)/2)*CM85+(1-EXP(-LN(2)/2))/(LN(2)/2)*CG86*CJ86*VLOOKUP('Données projet'!$B$12,Paramètres!$A$1:$I$89,3,0)*0.475*44/12</f>
        <v>5.5453339593846699E-8</v>
      </c>
      <c r="CN86" s="22">
        <f t="shared" si="66"/>
        <v>3.0320364202091197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7.8677884615384599</v>
      </c>
      <c r="CT86" s="12">
        <f>IF('Données projet'!$A$140&gt;35,CT85+CS86-DB85,IF(A86&lt;'Données projet'!$A$140,$CQ$205^A86,IF(A86='Données projet'!$A$140,'Données projet'!$B$140,CT85+CS86-DB85)))</f>
        <v>269.81009615384613</v>
      </c>
      <c r="CU86" s="17">
        <f>CT86*VLOOKUP('Données projet'!$B$13,Paramètres!$A$1:$I$89,3,0)*VLOOKUP('Données projet'!$B$13,Paramètres!$A$1:$I$89,5,0)</f>
        <v>244.12417499999998</v>
      </c>
      <c r="CV86" s="13">
        <f t="shared" si="95"/>
        <v>59.325985011718309</v>
      </c>
      <c r="CW86" s="20">
        <f t="shared" si="67"/>
        <v>528.50902868707601</v>
      </c>
      <c r="CX86" s="59">
        <f t="shared" si="68"/>
        <v>821.84236202040938</v>
      </c>
      <c r="CY86" s="59">
        <f ca="1">AVERAGE(OFFSET($CX$3,0,0,'Données projet'!$E$13+1,1))-AVERAGE(OFFSET($H$3,0,0,'Données projet'!$E$13+1,1))</f>
        <v>309.07357540707869</v>
      </c>
      <c r="CZ86" s="59">
        <f t="shared" si="96"/>
        <v>155.9593924683299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3.1</v>
      </c>
      <c r="DO86" s="12">
        <f>IF('Données projet'!$A$166&gt;35,DO85+DN86-DW85,IF(A86&lt;'Données projet'!$A$166,$DL$205^A86,IF(A86='Données projet'!$A$166,'Données projet'!$B$166,DO85+DN86-DW85)))</f>
        <v>223.29999999999984</v>
      </c>
      <c r="DP86" s="17">
        <f>DO86*VLOOKUP('Données projet'!$B$14,Paramètres!$A$1:$I$89,3,0)*VLOOKUP('Données projet'!$B$14,Paramètres!$A$1:$I$89,5,0)</f>
        <v>195.07487999999987</v>
      </c>
      <c r="DQ86" s="13">
        <f t="shared" si="97"/>
        <v>48.66020971834471</v>
      </c>
      <c r="DR86" s="20">
        <f t="shared" si="70"/>
        <v>424.5052812594501</v>
      </c>
      <c r="DS86" s="59">
        <f t="shared" si="71"/>
        <v>717.83861459278341</v>
      </c>
      <c r="DT86" s="59">
        <f ca="1">AVERAGE(OFFSET($DS$3,0,0,'Données projet'!$E$14+1,1))-AVERAGE(OFFSET($H$3,0,0,'Données projet'!$E$14+1,1))</f>
        <v>210.07838338464626</v>
      </c>
      <c r="DU86" s="59">
        <f t="shared" si="98"/>
        <v>241.76003724236273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1.8554459059435975</v>
      </c>
      <c r="EB86" s="21">
        <f>EXP(-LN(2)/25)*EB85+(1-EXP(-LN(2)/25))/(LN(2)/25)*Calculateur!DW86*Calculateur!DY86*VLOOKUP('Données projet'!$B$14,Paramètres!$A$1:$I$89,3,0)*0.475*44/12</f>
        <v>3.119414724867426</v>
      </c>
      <c r="EC86" s="21">
        <f>EXP(-LN(2)/2)*EC85+(1-EXP(-LN(2)/2))/(LN(2)/2)*DW86*DZ86*VLOOKUP('Données projet'!$B$14,Paramètres!$A$1:$I$89,3,0)*0.475*44/12</f>
        <v>1.6828630191901787E-7</v>
      </c>
      <c r="ED86" s="22">
        <f t="shared" si="72"/>
        <v>4.9748607990973257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6.2527760746888816E-13</v>
      </c>
      <c r="EK86" s="17">
        <f>EJ86*VLOOKUP('Données projet'!$B$15,Paramètres!$A$1:$I$89,3,0)*VLOOKUP('Données projet'!$B$15,Paramètres!$A$1:$I$89,5,0)</f>
        <v>3.9017322706058616E-13</v>
      </c>
      <c r="EL86" s="13">
        <f t="shared" si="99"/>
        <v>5.0025007393608908E-12</v>
      </c>
      <c r="EM86" s="20">
        <f t="shared" si="73"/>
        <v>9.3922404915174053E-12</v>
      </c>
      <c r="EN86" s="59">
        <f t="shared" si="74"/>
        <v>293.33333333334269</v>
      </c>
      <c r="EO86" s="59">
        <f ca="1">AVERAGE(OFFSET($EN$3,0,0,'Données projet'!$E$15+1,1))-AVERAGE(OFFSET($H$3,0,0,'Données projet'!$E$15+1,1))</f>
        <v>209.93608079129638</v>
      </c>
      <c r="EP86" s="59">
        <f t="shared" si="100"/>
        <v>240.15652428700969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2.4341470454814034</v>
      </c>
      <c r="EW86" s="21">
        <f>EXP(-LN(2)/25)*EW85+(1-EXP(-LN(2)/25))/(LN(2)/25)*Calculateur!ER86*Calculateur!ET86*VLOOKUP('Données projet'!$B$15,Paramètres!$A$1:$I$89,3,0)*0.475*44/12</f>
        <v>4.7821941613063954</v>
      </c>
      <c r="EX86" s="21">
        <f>EXP(-LN(2)/2)*EX85+(1-EXP(-LN(2)/2))/(LN(2)/2)*ER86*EU86*VLOOKUP('Données projet'!$B$15,Paramètres!$A$1:$I$89,3,0)*0.475*44/12</f>
        <v>2.1274481058662277E-7</v>
      </c>
      <c r="EY86" s="22">
        <f t="shared" si="75"/>
        <v>7.2163414195326094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5.6843418860808015E-14</v>
      </c>
      <c r="O87" s="13">
        <f>N87*VLOOKUP('Données projet'!$B$9,Paramètres!$A$1:$I$89,3,0)*VLOOKUP('Données projet'!$B$9,Paramètres!$A$1:$I$89,5,0)</f>
        <v>4.5224624045658861E-14</v>
      </c>
      <c r="P87" s="13">
        <f t="shared" si="87"/>
        <v>7.4514601661523691E-13</v>
      </c>
      <c r="Q87" s="20">
        <f t="shared" si="54"/>
        <v>1.3765621991510601E-12</v>
      </c>
      <c r="R87" s="59">
        <f t="shared" si="55"/>
        <v>293.33333333333468</v>
      </c>
      <c r="S87" s="59">
        <f ca="1">AVERAGE(OFFSET($R$3,0,0,'Données projet'!$E$9+1,1))-AVERAGE(OFFSET($H$3,0,0,'Données projet'!$E$9+1,1))</f>
        <v>199.58763537752952</v>
      </c>
      <c r="T87" s="59">
        <f t="shared" si="88"/>
        <v>242.62852778451929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</v>
      </c>
      <c r="AA87" s="21">
        <f>EXP(-LN(2)/25)*AA86+(1-EXP(-LN(2)/25))/(LN(2)/25)*Calculateur!V87*Calculateur!X87*VLOOKUP('Données projet'!$B$9,Paramètres!$A$1:$I$89,3,0)*0.475*44/12</f>
        <v>2.3008804359714969</v>
      </c>
      <c r="AB87" s="21">
        <f>EXP(-LN(2)/2)*AB86+(1-EXP(-LN(2)/2))/(LN(2)/2)*V87*Y87*VLOOKUP('Données projet'!$B$9,Paramètres!$A$1:$I$89,3,0)*0.475*44/12</f>
        <v>8.0179858157189339E-8</v>
      </c>
      <c r="AC87" s="22">
        <f t="shared" si="57"/>
        <v>2.3008805161513552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14.7</v>
      </c>
      <c r="AI87" s="13">
        <f>IF('Données projet'!$A$62&gt;35,AI86+AH87-AQ86,IF(A87&lt;'Données projet'!$A$62,$AF$205^A87,IF(A87='Données projet'!$A$62,'Données projet'!$B$62,AI86+AH87-AQ86)))</f>
        <v>523.79999999999995</v>
      </c>
      <c r="AJ87" s="13">
        <f>AI87*VLOOKUP('Données projet'!$B$10,Paramètres!$A$1:$I$89,3,0)*VLOOKUP('Données projet'!$B$10,Paramètres!$A$1:$I$89,5,0)</f>
        <v>313.23239999999998</v>
      </c>
      <c r="AK87" s="13">
        <f t="shared" si="89"/>
        <v>73.943475864597133</v>
      </c>
      <c r="AL87" s="20">
        <f t="shared" si="58"/>
        <v>674.33131713083992</v>
      </c>
      <c r="AM87" s="59">
        <f t="shared" si="59"/>
        <v>967.66465046417329</v>
      </c>
      <c r="AN87" s="59">
        <f ca="1">AVERAGE(OFFSET($AM$3,0,0,'Données projet'!$E$10+1,1))-AVERAGE(OFFSET($H$3,0,0,'Données projet'!$E$10+1,1))</f>
        <v>287.78657453117694</v>
      </c>
      <c r="AO87" s="59">
        <f t="shared" si="90"/>
        <v>153.31562485362252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1.0046380611277963</v>
      </c>
      <c r="AV87" s="21">
        <f>EXP(-LN(2)/25)*AV86+(1-EXP(-LN(2)/25))/(LN(2)/25)*Calculateur!AQ87*Calculateur!AS87*VLOOKUP('Données projet'!$B$10,Paramètres!$A$1:$I$89,3,0)*0.475*44/12</f>
        <v>1.3048114331598628</v>
      </c>
      <c r="AW87" s="21">
        <f>EXP(-LN(2)/2)*AW86+(1-EXP(-LN(2)/2))/(LN(2)/2)*AQ87*AT87*VLOOKUP('Données projet'!$B$10,Paramètres!$A$1:$I$89,3,0)*0.475*44/12</f>
        <v>8.2731459947687433E-8</v>
      </c>
      <c r="AX87" s="21">
        <f t="shared" si="60"/>
        <v>2.309449577019119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-1.1368683772161603E-13</v>
      </c>
      <c r="BE87" s="13">
        <f>BD87*VLOOKUP('Données projet'!$B$11,Paramètres!$A$1:$I$89,3,0)*VLOOKUP('Données projet'!$B$11,Paramètres!$A$1:$I$89,5,0)</f>
        <v>-6.7984728957526396E-14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250.93905519128998</v>
      </c>
      <c r="BJ87" s="59">
        <f t="shared" si="92"/>
        <v>222.32879462265032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0.43968064607731833</v>
      </c>
      <c r="BQ87" s="21">
        <f>EXP(-LN(2)/25)*BQ86+(1-EXP(-LN(2)/25))/(LN(2)/25)*Calculateur!BL87*Calculateur!BN87*VLOOKUP('Données projet'!$B$11,Paramètres!$A$1:$I$89,3,0)*0.475*44/12</f>
        <v>2.5899112373912567</v>
      </c>
      <c r="BR87" s="21">
        <f>EXP(-LN(2)/2)*BR86+(1-EXP(-LN(2)/2))/(LN(2)/2)*BL87*BO87*VLOOKUP('Données projet'!$B$11,Paramètres!$A$1:$I$89,3,0)*0.475*44/12</f>
        <v>1.406206600998694E-8</v>
      </c>
      <c r="BS87" s="22">
        <f t="shared" si="63"/>
        <v>3.0295918975306413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-2.8421709430404007E-13</v>
      </c>
      <c r="BZ87" s="13">
        <f>BY87*VLOOKUP('Données projet'!$B$12,Paramètres!$A$1:$I$89,3,0)*VLOOKUP('Données projet'!$B$12,Paramètres!$A$1:$I$89,5,0)</f>
        <v>-1.69961822393816E-13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179.32848817523677</v>
      </c>
      <c r="CE87" s="59">
        <f t="shared" si="94"/>
        <v>131.3292389103035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2.9491251709136708</v>
      </c>
      <c r="CM87" s="21">
        <f>EXP(-LN(2)/2)*CM86+(1-EXP(-LN(2)/2))/(LN(2)/2)*CG87*CJ87*VLOOKUP('Données projet'!$B$12,Paramètres!$A$1:$I$89,3,0)*0.475*44/12</f>
        <v>3.9211432466249469E-8</v>
      </c>
      <c r="CN87" s="22">
        <f t="shared" si="66"/>
        <v>2.9491252101251031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7.8677884615384599</v>
      </c>
      <c r="CT87" s="12">
        <f>IF('Données projet'!$A$140&gt;35,CT86+CS87-DB86,IF(A87&lt;'Données projet'!$A$140,$CQ$205^A87,IF(A87='Données projet'!$A$140,'Données projet'!$B$140,CT86+CS87-DB86)))</f>
        <v>277.67788461538458</v>
      </c>
      <c r="CU87" s="17">
        <f>CT87*VLOOKUP('Données projet'!$B$13,Paramètres!$A$1:$I$89,3,0)*VLOOKUP('Données projet'!$B$13,Paramètres!$A$1:$I$89,5,0)</f>
        <v>251.24294999999998</v>
      </c>
      <c r="CV87" s="13">
        <f t="shared" si="95"/>
        <v>60.852023014307242</v>
      </c>
      <c r="CW87" s="20">
        <f t="shared" si="67"/>
        <v>543.56541133325175</v>
      </c>
      <c r="CX87" s="59">
        <f t="shared" si="68"/>
        <v>836.89874466658512</v>
      </c>
      <c r="CY87" s="59">
        <f ca="1">AVERAGE(OFFSET($CX$3,0,0,'Données projet'!$E$13+1,1))-AVERAGE(OFFSET($H$3,0,0,'Données projet'!$E$13+1,1))</f>
        <v>309.07357540707869</v>
      </c>
      <c r="CZ87" s="59">
        <f t="shared" si="96"/>
        <v>155.9593924683299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3.1</v>
      </c>
      <c r="DO87" s="12">
        <f>IF('Données projet'!$A$166&gt;35,DO86+DN87-DW86,IF(A87&lt;'Données projet'!$A$166,$DL$205^A87,IF(A87='Données projet'!$A$166,'Données projet'!$B$166,DO86+DN87-DW86)))</f>
        <v>226.39999999999984</v>
      </c>
      <c r="DP87" s="17">
        <f>DO87*VLOOKUP('Données projet'!$B$14,Paramètres!$A$1:$I$89,3,0)*VLOOKUP('Données projet'!$B$14,Paramètres!$A$1:$I$89,5,0)</f>
        <v>197.78303999999989</v>
      </c>
      <c r="DQ87" s="13">
        <f t="shared" si="97"/>
        <v>49.256631390532817</v>
      </c>
      <c r="DR87" s="20">
        <f t="shared" si="70"/>
        <v>430.26076100517776</v>
      </c>
      <c r="DS87" s="59">
        <f t="shared" si="71"/>
        <v>723.59409433851101</v>
      </c>
      <c r="DT87" s="59">
        <f ca="1">AVERAGE(OFFSET($DS$3,0,0,'Données projet'!$E$14+1,1))-AVERAGE(OFFSET($H$3,0,0,'Données projet'!$E$14+1,1))</f>
        <v>210.07838338464626</v>
      </c>
      <c r="DU87" s="59">
        <f t="shared" si="98"/>
        <v>241.76003724236273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1.819061743438299</v>
      </c>
      <c r="EB87" s="21">
        <f>EXP(-LN(2)/25)*EB86+(1-EXP(-LN(2)/25))/(LN(2)/25)*Calculateur!DW87*Calculateur!DY87*VLOOKUP('Données projet'!$B$14,Paramètres!$A$1:$I$89,3,0)*0.475*44/12</f>
        <v>3.0341141651730354</v>
      </c>
      <c r="EC87" s="21">
        <f>EXP(-LN(2)/2)*EC86+(1-EXP(-LN(2)/2))/(LN(2)/2)*DW87*DZ87*VLOOKUP('Données projet'!$B$14,Paramètres!$A$1:$I$89,3,0)*0.475*44/12</f>
        <v>1.1899638526774425E-7</v>
      </c>
      <c r="ED87" s="22">
        <f t="shared" si="72"/>
        <v>4.8531760276077192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6.2527760746888816E-13</v>
      </c>
      <c r="EK87" s="17">
        <f>EJ87*VLOOKUP('Données projet'!$B$15,Paramètres!$A$1:$I$89,3,0)*VLOOKUP('Données projet'!$B$15,Paramètres!$A$1:$I$89,5,0)</f>
        <v>3.9017322706058616E-13</v>
      </c>
      <c r="EL87" s="13">
        <f t="shared" si="99"/>
        <v>5.0025007393608908E-12</v>
      </c>
      <c r="EM87" s="20">
        <f t="shared" si="73"/>
        <v>9.3922404915174053E-12</v>
      </c>
      <c r="EN87" s="59">
        <f t="shared" si="74"/>
        <v>293.33333333334269</v>
      </c>
      <c r="EO87" s="59">
        <f ca="1">AVERAGE(OFFSET($EN$3,0,0,'Données projet'!$E$15+1,1))-AVERAGE(OFFSET($H$3,0,0,'Données projet'!$E$15+1,1))</f>
        <v>209.93608079129638</v>
      </c>
      <c r="EP87" s="59">
        <f t="shared" si="100"/>
        <v>240.15652428700969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2.3864149066026106</v>
      </c>
      <c r="EW87" s="21">
        <f>EXP(-LN(2)/25)*EW86+(1-EXP(-LN(2)/25))/(LN(2)/25)*Calculateur!ER87*Calculateur!ET87*VLOOKUP('Données projet'!$B$15,Paramètres!$A$1:$I$89,3,0)*0.475*44/12</f>
        <v>4.6514248104808109</v>
      </c>
      <c r="EX87" s="21">
        <f>EXP(-LN(2)/2)*EX86+(1-EXP(-LN(2)/2))/(LN(2)/2)*ER87*EU87*VLOOKUP('Données projet'!$B$15,Paramètres!$A$1:$I$89,3,0)*0.475*44/12</f>
        <v>1.5043329822804856E-7</v>
      </c>
      <c r="EY87" s="22">
        <f t="shared" si="75"/>
        <v>7.0378398675167197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5.6843418860808015E-14</v>
      </c>
      <c r="O88" s="13">
        <f>N88*VLOOKUP('Données projet'!$B$9,Paramètres!$A$1:$I$89,3,0)*VLOOKUP('Données projet'!$B$9,Paramètres!$A$1:$I$89,5,0)</f>
        <v>4.5224624045658861E-14</v>
      </c>
      <c r="P88" s="13">
        <f t="shared" si="87"/>
        <v>7.4514601661523691E-13</v>
      </c>
      <c r="Q88" s="20">
        <f t="shared" si="54"/>
        <v>1.3765621991510601E-12</v>
      </c>
      <c r="R88" s="59">
        <f t="shared" si="55"/>
        <v>293.33333333333468</v>
      </c>
      <c r="S88" s="59">
        <f ca="1">AVERAGE(OFFSET($R$3,0,0,'Données projet'!$E$9+1,1))-AVERAGE(OFFSET($H$3,0,0,'Données projet'!$E$9+1,1))</f>
        <v>199.58763537752952</v>
      </c>
      <c r="T88" s="59">
        <f t="shared" si="88"/>
        <v>242.62852778451929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</v>
      </c>
      <c r="AA88" s="21">
        <f>EXP(-LN(2)/25)*AA87+(1-EXP(-LN(2)/25))/(LN(2)/25)*Calculateur!V88*Calculateur!X88*VLOOKUP('Données projet'!$B$9,Paramètres!$A$1:$I$89,3,0)*0.475*44/12</f>
        <v>2.2379627394518131</v>
      </c>
      <c r="AB88" s="21">
        <f>EXP(-LN(2)/2)*AB87+(1-EXP(-LN(2)/2))/(LN(2)/2)*V88*Y88*VLOOKUP('Données projet'!$B$9,Paramètres!$A$1:$I$89,3,0)*0.475*44/12</f>
        <v>5.66957214175241E-8</v>
      </c>
      <c r="AC88" s="22">
        <f t="shared" si="57"/>
        <v>2.2379627961475346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14.7</v>
      </c>
      <c r="AI88" s="13">
        <f>IF('Données projet'!$A$62&gt;35,AI87+AH88-AQ87,IF(A88&lt;'Données projet'!$A$62,$AF$205^A88,IF(A88='Données projet'!$A$62,'Données projet'!$B$62,AI87+AH88-AQ87)))</f>
        <v>538.5</v>
      </c>
      <c r="AJ88" s="13">
        <f>AI88*VLOOKUP('Données projet'!$B$10,Paramètres!$A$1:$I$89,3,0)*VLOOKUP('Données projet'!$B$10,Paramètres!$A$1:$I$89,5,0)</f>
        <v>322.02300000000002</v>
      </c>
      <c r="AK88" s="13">
        <f t="shared" si="89"/>
        <v>75.774123646802522</v>
      </c>
      <c r="AL88" s="20">
        <f t="shared" si="58"/>
        <v>692.82999035151443</v>
      </c>
      <c r="AM88" s="59">
        <f t="shared" si="59"/>
        <v>986.16332368484768</v>
      </c>
      <c r="AN88" s="59">
        <f ca="1">AVERAGE(OFFSET($AM$3,0,0,'Données projet'!$E$10+1,1))-AVERAGE(OFFSET($H$3,0,0,'Données projet'!$E$10+1,1))</f>
        <v>287.78657453117694</v>
      </c>
      <c r="AO88" s="59">
        <f t="shared" si="90"/>
        <v>153.31562485362252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0.98493772151779158</v>
      </c>
      <c r="AV88" s="21">
        <f>EXP(-LN(2)/25)*AV87+(1-EXP(-LN(2)/25))/(LN(2)/25)*Calculateur!AQ88*Calculateur!AS88*VLOOKUP('Données projet'!$B$10,Paramètres!$A$1:$I$89,3,0)*0.475*44/12</f>
        <v>1.2691312959030552</v>
      </c>
      <c r="AW88" s="21">
        <f>EXP(-LN(2)/2)*AW87+(1-EXP(-LN(2)/2))/(LN(2)/2)*AQ88*AT88*VLOOKUP('Données projet'!$B$10,Paramètres!$A$1:$I$89,3,0)*0.475*44/12</f>
        <v>5.8499976346473043E-8</v>
      </c>
      <c r="AX88" s="21">
        <f t="shared" si="60"/>
        <v>2.2540690759208233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-1.1368683772161603E-13</v>
      </c>
      <c r="BE88" s="13">
        <f>BD88*VLOOKUP('Données projet'!$B$11,Paramètres!$A$1:$I$89,3,0)*VLOOKUP('Données projet'!$B$11,Paramètres!$A$1:$I$89,5,0)</f>
        <v>-6.7984728957526396E-14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250.93905519128998</v>
      </c>
      <c r="BJ88" s="59">
        <f t="shared" si="92"/>
        <v>222.32879462265032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0.43105877678645577</v>
      </c>
      <c r="BQ88" s="21">
        <f>EXP(-LN(2)/25)*BQ87+(1-EXP(-LN(2)/25))/(LN(2)/25)*Calculateur!BL88*Calculateur!BN88*VLOOKUP('Données projet'!$B$11,Paramètres!$A$1:$I$89,3,0)*0.475*44/12</f>
        <v>2.5190899784072802</v>
      </c>
      <c r="BR88" s="21">
        <f>EXP(-LN(2)/2)*BR87+(1-EXP(-LN(2)/2))/(LN(2)/2)*BL88*BO88*VLOOKUP('Données projet'!$B$11,Paramètres!$A$1:$I$89,3,0)*0.475*44/12</f>
        <v>9.9433822331546227E-9</v>
      </c>
      <c r="BS88" s="22">
        <f t="shared" si="63"/>
        <v>2.9501487651371181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-2.8421709430404007E-13</v>
      </c>
      <c r="BZ88" s="13">
        <f>BY88*VLOOKUP('Données projet'!$B$12,Paramètres!$A$1:$I$89,3,0)*VLOOKUP('Données projet'!$B$12,Paramètres!$A$1:$I$89,5,0)</f>
        <v>-1.69961822393816E-13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179.32848817523677</v>
      </c>
      <c r="CE88" s="59">
        <f t="shared" si="94"/>
        <v>131.3292389103035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2.868481188027284</v>
      </c>
      <c r="CM88" s="21">
        <f>EXP(-LN(2)/2)*CM87+(1-EXP(-LN(2)/2))/(LN(2)/2)*CG88*CJ88*VLOOKUP('Données projet'!$B$12,Paramètres!$A$1:$I$89,3,0)*0.475*44/12</f>
        <v>2.7726669796923349E-8</v>
      </c>
      <c r="CN88" s="22">
        <f t="shared" si="66"/>
        <v>2.8684812157539539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7.8677884615384599</v>
      </c>
      <c r="CT88" s="12">
        <f>IF('Données projet'!$A$140&gt;35,CT87+CS88-DB87,IF(A88&lt;'Données projet'!$A$140,$CQ$205^A88,IF(A88='Données projet'!$A$140,'Données projet'!$B$140,CT87+CS88-DB87)))</f>
        <v>285.54567307692304</v>
      </c>
      <c r="CU88" s="17">
        <f>CT88*VLOOKUP('Données projet'!$B$13,Paramètres!$A$1:$I$89,3,0)*VLOOKUP('Données projet'!$B$13,Paramètres!$A$1:$I$89,5,0)</f>
        <v>258.36172499999998</v>
      </c>
      <c r="CV88" s="13">
        <f t="shared" si="95"/>
        <v>62.373035564748605</v>
      </c>
      <c r="CW88" s="20">
        <f t="shared" si="67"/>
        <v>558.61304131693703</v>
      </c>
      <c r="CX88" s="59">
        <f t="shared" si="68"/>
        <v>851.9463746502704</v>
      </c>
      <c r="CY88" s="59">
        <f ca="1">AVERAGE(OFFSET($CX$3,0,0,'Données projet'!$E$13+1,1))-AVERAGE(OFFSET($H$3,0,0,'Données projet'!$E$13+1,1))</f>
        <v>309.07357540707869</v>
      </c>
      <c r="CZ88" s="59">
        <f t="shared" si="96"/>
        <v>155.9593924683299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3.1</v>
      </c>
      <c r="DO88" s="12">
        <f>IF('Données projet'!$A$166&gt;35,DO87+DN88-DW87,IF(A88&lt;'Données projet'!$A$166,$DL$205^A88,IF(A88='Données projet'!$A$166,'Données projet'!$B$166,DO87+DN88-DW87)))</f>
        <v>229.49999999999983</v>
      </c>
      <c r="DP88" s="17">
        <f>DO88*VLOOKUP('Données projet'!$B$14,Paramètres!$A$1:$I$89,3,0)*VLOOKUP('Données projet'!$B$14,Paramètres!$A$1:$I$89,5,0)</f>
        <v>200.49119999999988</v>
      </c>
      <c r="DQ88" s="13">
        <f t="shared" si="97"/>
        <v>49.85210320190825</v>
      </c>
      <c r="DR88" s="20">
        <f t="shared" si="70"/>
        <v>436.01458640998993</v>
      </c>
      <c r="DS88" s="59">
        <f t="shared" si="71"/>
        <v>729.34791974332325</v>
      </c>
      <c r="DT88" s="59">
        <f ca="1">AVERAGE(OFFSET($DS$3,0,0,'Données projet'!$E$14+1,1))-AVERAGE(OFFSET($H$3,0,0,'Données projet'!$E$14+1,1))</f>
        <v>210.07838338464626</v>
      </c>
      <c r="DU88" s="59">
        <f t="shared" si="98"/>
        <v>241.76003724236273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1.7833910521675815</v>
      </c>
      <c r="EB88" s="21">
        <f>EXP(-LN(2)/25)*EB87+(1-EXP(-LN(2)/25))/(LN(2)/25)*Calculateur!DW88*Calculateur!DY88*VLOOKUP('Données projet'!$B$14,Paramètres!$A$1:$I$89,3,0)*0.475*44/12</f>
        <v>2.9511461537692494</v>
      </c>
      <c r="EC88" s="21">
        <f>EXP(-LN(2)/2)*EC87+(1-EXP(-LN(2)/2))/(LN(2)/2)*DW88*DZ88*VLOOKUP('Données projet'!$B$14,Paramètres!$A$1:$I$89,3,0)*0.475*44/12</f>
        <v>8.4143150959508946E-8</v>
      </c>
      <c r="ED88" s="22">
        <f t="shared" si="72"/>
        <v>4.7345372900799818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6.2527760746888816E-13</v>
      </c>
      <c r="EK88" s="17">
        <f>EJ88*VLOOKUP('Données projet'!$B$15,Paramètres!$A$1:$I$89,3,0)*VLOOKUP('Données projet'!$B$15,Paramètres!$A$1:$I$89,5,0)</f>
        <v>3.9017322706058616E-13</v>
      </c>
      <c r="EL88" s="13">
        <f t="shared" si="99"/>
        <v>5.0025007393608908E-12</v>
      </c>
      <c r="EM88" s="20">
        <f t="shared" si="73"/>
        <v>9.3922404915174053E-12</v>
      </c>
      <c r="EN88" s="59">
        <f t="shared" si="74"/>
        <v>293.33333333334269</v>
      </c>
      <c r="EO88" s="59">
        <f ca="1">AVERAGE(OFFSET($EN$3,0,0,'Données projet'!$E$15+1,1))-AVERAGE(OFFSET($H$3,0,0,'Données projet'!$E$15+1,1))</f>
        <v>209.93608079129638</v>
      </c>
      <c r="EP88" s="59">
        <f t="shared" si="100"/>
        <v>240.15652428700969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2.3396187658535008</v>
      </c>
      <c r="EW88" s="21">
        <f>EXP(-LN(2)/25)*EW87+(1-EXP(-LN(2)/25))/(LN(2)/25)*Calculateur!ER88*Calculateur!ET88*VLOOKUP('Données projet'!$B$15,Paramètres!$A$1:$I$89,3,0)*0.475*44/12</f>
        <v>4.5242313544304134</v>
      </c>
      <c r="EX88" s="21">
        <f>EXP(-LN(2)/2)*EX87+(1-EXP(-LN(2)/2))/(LN(2)/2)*ER88*EU88*VLOOKUP('Données projet'!$B$15,Paramètres!$A$1:$I$89,3,0)*0.475*44/12</f>
        <v>1.0637240529331138E-7</v>
      </c>
      <c r="EY88" s="22">
        <f t="shared" si="75"/>
        <v>6.8638502266563188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5.6843418860808015E-14</v>
      </c>
      <c r="O89" s="13">
        <f>N89*VLOOKUP('Données projet'!$B$9,Paramètres!$A$1:$I$89,3,0)*VLOOKUP('Données projet'!$B$9,Paramètres!$A$1:$I$89,5,0)</f>
        <v>4.5224624045658861E-14</v>
      </c>
      <c r="P89" s="13">
        <f t="shared" si="87"/>
        <v>7.4514601661523691E-13</v>
      </c>
      <c r="Q89" s="20">
        <f t="shared" si="54"/>
        <v>1.3765621991510601E-12</v>
      </c>
      <c r="R89" s="59">
        <f t="shared" si="55"/>
        <v>293.33333333333468</v>
      </c>
      <c r="S89" s="59">
        <f ca="1">AVERAGE(OFFSET($R$3,0,0,'Données projet'!$E$9+1,1))-AVERAGE(OFFSET($H$3,0,0,'Données projet'!$E$9+1,1))</f>
        <v>199.58763537752952</v>
      </c>
      <c r="T89" s="59">
        <f t="shared" si="88"/>
        <v>242.62852778451929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</v>
      </c>
      <c r="AA89" s="21">
        <f>EXP(-LN(2)/25)*AA88+(1-EXP(-LN(2)/25))/(LN(2)/25)*Calculateur!V89*Calculateur!X89*VLOOKUP('Données projet'!$B$9,Paramètres!$A$1:$I$89,3,0)*0.475*44/12</f>
        <v>2.1767655306521578</v>
      </c>
      <c r="AB89" s="21">
        <f>EXP(-LN(2)/2)*AB88+(1-EXP(-LN(2)/2))/(LN(2)/2)*V89*Y89*VLOOKUP('Données projet'!$B$9,Paramètres!$A$1:$I$89,3,0)*0.475*44/12</f>
        <v>4.0089929078594669E-8</v>
      </c>
      <c r="AC89" s="22">
        <f t="shared" si="57"/>
        <v>2.176765570742087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14.7</v>
      </c>
      <c r="AI89" s="13">
        <f>IF('Données projet'!$A$62&gt;35,AI88+AH89-AQ88,IF(A89&lt;'Données projet'!$A$62,$AF$205^A89,IF(A89='Données projet'!$A$62,'Données projet'!$B$62,AI88+AH89-AQ88)))</f>
        <v>553.20000000000005</v>
      </c>
      <c r="AJ89" s="13">
        <f>AI89*VLOOKUP('Données projet'!$B$10,Paramètres!$A$1:$I$89,3,0)*VLOOKUP('Données projet'!$B$10,Paramètres!$A$1:$I$89,5,0)</f>
        <v>330.81360000000006</v>
      </c>
      <c r="AK89" s="13">
        <f t="shared" si="89"/>
        <v>77.598963027882789</v>
      </c>
      <c r="AL89" s="20">
        <f t="shared" si="58"/>
        <v>711.31854727356267</v>
      </c>
      <c r="AM89" s="59">
        <f t="shared" si="59"/>
        <v>1004.6518806068959</v>
      </c>
      <c r="AN89" s="59">
        <f ca="1">AVERAGE(OFFSET($AM$3,0,0,'Données projet'!$E$10+1,1))-AVERAGE(OFFSET($H$3,0,0,'Données projet'!$E$10+1,1))</f>
        <v>287.78657453117694</v>
      </c>
      <c r="AO89" s="59">
        <f t="shared" si="90"/>
        <v>153.31562485362252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0.96562369355151845</v>
      </c>
      <c r="AV89" s="21">
        <f>EXP(-LN(2)/25)*AV88+(1-EXP(-LN(2)/25))/(LN(2)/25)*Calculateur!AQ89*Calculateur!AS89*VLOOKUP('Données projet'!$B$10,Paramètres!$A$1:$I$89,3,0)*0.475*44/12</f>
        <v>1.2344268338758719</v>
      </c>
      <c r="AW89" s="21">
        <f>EXP(-LN(2)/2)*AW88+(1-EXP(-LN(2)/2))/(LN(2)/2)*AQ89*AT89*VLOOKUP('Données projet'!$B$10,Paramètres!$A$1:$I$89,3,0)*0.475*44/12</f>
        <v>4.1365729973843723E-8</v>
      </c>
      <c r="AX89" s="21">
        <f t="shared" si="60"/>
        <v>2.2000505687931202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-1.1368683772161603E-13</v>
      </c>
      <c r="BE89" s="13">
        <f>BD89*VLOOKUP('Données projet'!$B$11,Paramètres!$A$1:$I$89,3,0)*VLOOKUP('Données projet'!$B$11,Paramètres!$A$1:$I$89,5,0)</f>
        <v>-6.7984728957526396E-14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250.93905519128998</v>
      </c>
      <c r="BJ89" s="59">
        <f t="shared" si="92"/>
        <v>222.32879462265032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0.42260597709356601</v>
      </c>
      <c r="BQ89" s="21">
        <f>EXP(-LN(2)/25)*BQ88+(1-EXP(-LN(2)/25))/(LN(2)/25)*Calculateur!BL89*Calculateur!BN89*VLOOKUP('Données projet'!$B$11,Paramètres!$A$1:$I$89,3,0)*0.475*44/12</f>
        <v>2.4502053304745486</v>
      </c>
      <c r="BR89" s="21">
        <f>EXP(-LN(2)/2)*BR88+(1-EXP(-LN(2)/2))/(LN(2)/2)*BL89*BO89*VLOOKUP('Données projet'!$B$11,Paramètres!$A$1:$I$89,3,0)*0.475*44/12</f>
        <v>7.0310330049934701E-9</v>
      </c>
      <c r="BS89" s="22">
        <f t="shared" si="63"/>
        <v>2.8728113145991476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-2.8421709430404007E-13</v>
      </c>
      <c r="BZ89" s="13">
        <f>BY89*VLOOKUP('Données projet'!$B$12,Paramètres!$A$1:$I$89,3,0)*VLOOKUP('Données projet'!$B$12,Paramètres!$A$1:$I$89,5,0)</f>
        <v>-1.69961822393816E-13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179.32848817523677</v>
      </c>
      <c r="CE89" s="59">
        <f t="shared" si="94"/>
        <v>131.3292389103035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2.7900424190938082</v>
      </c>
      <c r="CM89" s="21">
        <f>EXP(-LN(2)/2)*CM88+(1-EXP(-LN(2)/2))/(LN(2)/2)*CG89*CJ89*VLOOKUP('Données projet'!$B$12,Paramètres!$A$1:$I$89,3,0)*0.475*44/12</f>
        <v>1.9605716233124735E-8</v>
      </c>
      <c r="CN89" s="22">
        <f t="shared" si="66"/>
        <v>2.7900424386995244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7.8677884615384599</v>
      </c>
      <c r="CT89" s="12">
        <f>IF('Données projet'!$A$140&gt;35,CT88+CS89-DB88,IF(A89&lt;'Données projet'!$A$140,$CQ$205^A89,IF(A89='Données projet'!$A$140,'Données projet'!$B$140,CT88+CS89-DB88)))</f>
        <v>293.41346153846149</v>
      </c>
      <c r="CU89" s="17">
        <f>CT89*VLOOKUP('Données projet'!$B$13,Paramètres!$A$1:$I$89,3,0)*VLOOKUP('Données projet'!$B$13,Paramètres!$A$1:$I$89,5,0)</f>
        <v>265.48049999999995</v>
      </c>
      <c r="CV89" s="13">
        <f t="shared" si="95"/>
        <v>63.88917704165199</v>
      </c>
      <c r="CW89" s="20">
        <f t="shared" si="67"/>
        <v>573.65218751421037</v>
      </c>
      <c r="CX89" s="59">
        <f t="shared" si="68"/>
        <v>866.98552084754374</v>
      </c>
      <c r="CY89" s="59">
        <f ca="1">AVERAGE(OFFSET($CX$3,0,0,'Données projet'!$E$13+1,1))-AVERAGE(OFFSET($H$3,0,0,'Données projet'!$E$13+1,1))</f>
        <v>309.07357540707869</v>
      </c>
      <c r="CZ89" s="59">
        <f t="shared" si="96"/>
        <v>155.9593924683299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3.1</v>
      </c>
      <c r="DO89" s="12">
        <f>IF('Données projet'!$A$166&gt;35,DO88+DN89-DW88,IF(A89&lt;'Données projet'!$A$166,$DL$205^A89,IF(A89='Données projet'!$A$166,'Données projet'!$B$166,DO88+DN89-DW88)))</f>
        <v>232.59999999999982</v>
      </c>
      <c r="DP89" s="17">
        <f>DO89*VLOOKUP('Données projet'!$B$14,Paramètres!$A$1:$I$89,3,0)*VLOOKUP('Données projet'!$B$14,Paramètres!$A$1:$I$89,5,0)</f>
        <v>203.19935999999987</v>
      </c>
      <c r="DQ89" s="13">
        <f t="shared" si="97"/>
        <v>50.446639465910458</v>
      </c>
      <c r="DR89" s="20">
        <f t="shared" si="70"/>
        <v>441.76678240312714</v>
      </c>
      <c r="DS89" s="59">
        <f t="shared" si="71"/>
        <v>735.10011573646045</v>
      </c>
      <c r="DT89" s="59">
        <f ca="1">AVERAGE(OFFSET($DS$3,0,0,'Données projet'!$E$14+1,1))-AVERAGE(OFFSET($H$3,0,0,'Données projet'!$E$14+1,1))</f>
        <v>210.07838338464626</v>
      </c>
      <c r="DU89" s="59">
        <f t="shared" si="98"/>
        <v>241.76003724236273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1.7484198413957095</v>
      </c>
      <c r="EB89" s="21">
        <f>EXP(-LN(2)/25)*EB88+(1-EXP(-LN(2)/25))/(LN(2)/25)*Calculateur!DW89*Calculateur!DY89*VLOOKUP('Données projet'!$B$14,Paramètres!$A$1:$I$89,3,0)*0.475*44/12</f>
        <v>2.8704469070003982</v>
      </c>
      <c r="EC89" s="21">
        <f>EXP(-LN(2)/2)*EC88+(1-EXP(-LN(2)/2))/(LN(2)/2)*DW89*DZ89*VLOOKUP('Données projet'!$B$14,Paramètres!$A$1:$I$89,3,0)*0.475*44/12</f>
        <v>5.9498192633872133E-8</v>
      </c>
      <c r="ED89" s="22">
        <f t="shared" si="72"/>
        <v>4.6188668078943005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6.2527760746888816E-13</v>
      </c>
      <c r="EK89" s="17">
        <f>EJ89*VLOOKUP('Données projet'!$B$15,Paramètres!$A$1:$I$89,3,0)*VLOOKUP('Données projet'!$B$15,Paramètres!$A$1:$I$89,5,0)</f>
        <v>3.9017322706058616E-13</v>
      </c>
      <c r="EL89" s="13">
        <f t="shared" si="99"/>
        <v>5.0025007393608908E-12</v>
      </c>
      <c r="EM89" s="20">
        <f t="shared" si="73"/>
        <v>9.3922404915174053E-12</v>
      </c>
      <c r="EN89" s="59">
        <f t="shared" si="74"/>
        <v>293.33333333334269</v>
      </c>
      <c r="EO89" s="59">
        <f ca="1">AVERAGE(OFFSET($EN$3,0,0,'Données projet'!$E$15+1,1))-AVERAGE(OFFSET($H$3,0,0,'Données projet'!$E$15+1,1))</f>
        <v>209.93608079129638</v>
      </c>
      <c r="EP89" s="59">
        <f t="shared" si="100"/>
        <v>240.15652428700969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2.2937402688816535</v>
      </c>
      <c r="EW89" s="21">
        <f>EXP(-LN(2)/25)*EW88+(1-EXP(-LN(2)/25))/(LN(2)/25)*Calculateur!ER89*Calculateur!ET89*VLOOKUP('Données projet'!$B$15,Paramètres!$A$1:$I$89,3,0)*0.475*44/12</f>
        <v>4.4005160101245266</v>
      </c>
      <c r="EX89" s="21">
        <f>EXP(-LN(2)/2)*EX88+(1-EXP(-LN(2)/2))/(LN(2)/2)*ER89*EU89*VLOOKUP('Données projet'!$B$15,Paramètres!$A$1:$I$89,3,0)*0.475*44/12</f>
        <v>7.5216649114024282E-8</v>
      </c>
      <c r="EY89" s="22">
        <f t="shared" si="75"/>
        <v>6.6942563542228291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5.6843418860808015E-14</v>
      </c>
      <c r="O90" s="13">
        <f>N90*VLOOKUP('Données projet'!$B$9,Paramètres!$A$1:$I$89,3,0)*VLOOKUP('Données projet'!$B$9,Paramètres!$A$1:$I$89,5,0)</f>
        <v>4.5224624045658861E-14</v>
      </c>
      <c r="P90" s="13">
        <f t="shared" si="87"/>
        <v>7.4514601661523691E-13</v>
      </c>
      <c r="Q90" s="20">
        <f t="shared" si="54"/>
        <v>1.3765621991510601E-12</v>
      </c>
      <c r="R90" s="59">
        <f t="shared" si="55"/>
        <v>293.33333333333468</v>
      </c>
      <c r="S90" s="59">
        <f ca="1">AVERAGE(OFFSET($R$3,0,0,'Données projet'!$E$9+1,1))-AVERAGE(OFFSET($H$3,0,0,'Données projet'!$E$9+1,1))</f>
        <v>199.58763537752952</v>
      </c>
      <c r="T90" s="59">
        <f t="shared" si="88"/>
        <v>242.62852778451929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</v>
      </c>
      <c r="AA90" s="21">
        <f>EXP(-LN(2)/25)*AA89+(1-EXP(-LN(2)/25))/(LN(2)/25)*Calculateur!V90*Calculateur!X90*VLOOKUP('Données projet'!$B$9,Paramètres!$A$1:$I$89,3,0)*0.475*44/12</f>
        <v>2.1172417627453504</v>
      </c>
      <c r="AB90" s="21">
        <f>EXP(-LN(2)/2)*AB89+(1-EXP(-LN(2)/2))/(LN(2)/2)*V90*Y90*VLOOKUP('Données projet'!$B$9,Paramètres!$A$1:$I$89,3,0)*0.475*44/12</f>
        <v>2.834786070876205E-8</v>
      </c>
      <c r="AC90" s="22">
        <f t="shared" si="57"/>
        <v>2.1172417910932109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14.7</v>
      </c>
      <c r="AI90" s="13">
        <f>IF('Données projet'!$A$62&gt;35,AI89+AH90-AQ89,IF(A90&lt;'Données projet'!$A$62,$AF$205^A90,IF(A90='Données projet'!$A$62,'Données projet'!$B$62,AI89+AH90-AQ89)))</f>
        <v>567.90000000000009</v>
      </c>
      <c r="AJ90" s="13">
        <f>AI90*VLOOKUP('Données projet'!$B$10,Paramètres!$A$1:$I$89,3,0)*VLOOKUP('Données projet'!$B$10,Paramètres!$A$1:$I$89,5,0)</f>
        <v>339.60420000000005</v>
      </c>
      <c r="AK90" s="13">
        <f t="shared" si="89"/>
        <v>79.418166093069885</v>
      </c>
      <c r="AL90" s="20">
        <f t="shared" si="58"/>
        <v>729.79728761209674</v>
      </c>
      <c r="AM90" s="59">
        <f t="shared" si="59"/>
        <v>1023.1306209454301</v>
      </c>
      <c r="AN90" s="59">
        <f ca="1">AVERAGE(OFFSET($AM$3,0,0,'Données projet'!$E$10+1,1))-AVERAGE(OFFSET($H$3,0,0,'Données projet'!$E$10+1,1))</f>
        <v>287.78657453117694</v>
      </c>
      <c r="AO90" s="59">
        <f t="shared" si="90"/>
        <v>153.31562485362252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0.94668840189327008</v>
      </c>
      <c r="AV90" s="21">
        <f>EXP(-LN(2)/25)*AV89+(1-EXP(-LN(2)/25))/(LN(2)/25)*Calculateur!AQ90*Calculateur!AS90*VLOOKUP('Données projet'!$B$10,Paramètres!$A$1:$I$89,3,0)*0.475*44/12</f>
        <v>1.2006713671878504</v>
      </c>
      <c r="AW90" s="21">
        <f>EXP(-LN(2)/2)*AW89+(1-EXP(-LN(2)/2))/(LN(2)/2)*AQ90*AT90*VLOOKUP('Données projet'!$B$10,Paramètres!$A$1:$I$89,3,0)*0.475*44/12</f>
        <v>2.9249988173236525E-8</v>
      </c>
      <c r="AX90" s="21">
        <f t="shared" si="60"/>
        <v>2.1473597983311086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-1.1368683772161603E-13</v>
      </c>
      <c r="BE90" s="13">
        <f>BD90*VLOOKUP('Données projet'!$B$11,Paramètres!$A$1:$I$89,3,0)*VLOOKUP('Données projet'!$B$11,Paramètres!$A$1:$I$89,5,0)</f>
        <v>-6.7984728957526396E-14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250.93905519128998</v>
      </c>
      <c r="BJ90" s="59">
        <f t="shared" si="92"/>
        <v>222.32879462265032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0.4143189316469551</v>
      </c>
      <c r="BQ90" s="21">
        <f>EXP(-LN(2)/25)*BQ89+(1-EXP(-LN(2)/25))/(LN(2)/25)*Calculateur!BL90*Calculateur!BN90*VLOOKUP('Données projet'!$B$11,Paramètres!$A$1:$I$89,3,0)*0.475*44/12</f>
        <v>2.3832043368620237</v>
      </c>
      <c r="BR90" s="21">
        <f>EXP(-LN(2)/2)*BR89+(1-EXP(-LN(2)/2))/(LN(2)/2)*BL90*BO90*VLOOKUP('Données projet'!$B$11,Paramètres!$A$1:$I$89,3,0)*0.475*44/12</f>
        <v>4.9716911165773113E-9</v>
      </c>
      <c r="BS90" s="22">
        <f t="shared" si="63"/>
        <v>2.7975232734806696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-2.8421709430404007E-13</v>
      </c>
      <c r="BZ90" s="13">
        <f>BY90*VLOOKUP('Données projet'!$B$12,Paramètres!$A$1:$I$89,3,0)*VLOOKUP('Données projet'!$B$12,Paramètres!$A$1:$I$89,5,0)</f>
        <v>-1.69961822393816E-13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179.32848817523677</v>
      </c>
      <c r="CE90" s="59">
        <f t="shared" si="94"/>
        <v>131.3292389103035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2.7137485624217339</v>
      </c>
      <c r="CM90" s="21">
        <f>EXP(-LN(2)/2)*CM89+(1-EXP(-LN(2)/2))/(LN(2)/2)*CG90*CJ90*VLOOKUP('Données projet'!$B$12,Paramètres!$A$1:$I$89,3,0)*0.475*44/12</f>
        <v>1.3863334898461675E-8</v>
      </c>
      <c r="CN90" s="22">
        <f t="shared" si="66"/>
        <v>2.7137485762850688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7.8677884615384599</v>
      </c>
      <c r="CT90" s="12">
        <f>IF('Données projet'!$A$140&gt;35,CT89+CS90-DB89,IF(A90&lt;'Données projet'!$A$140,$CQ$205^A90,IF(A90='Données projet'!$A$140,'Données projet'!$B$140,CT89+CS90-DB89)))</f>
        <v>301.28124999999994</v>
      </c>
      <c r="CU90" s="17">
        <f>CT90*VLOOKUP('Données projet'!$B$13,Paramètres!$A$1:$I$89,3,0)*VLOOKUP('Données projet'!$B$13,Paramètres!$A$1:$I$89,5,0)</f>
        <v>272.59927499999998</v>
      </c>
      <c r="CV90" s="13">
        <f t="shared" si="95"/>
        <v>65.400593073041165</v>
      </c>
      <c r="CW90" s="20">
        <f t="shared" si="67"/>
        <v>588.68310356054678</v>
      </c>
      <c r="CX90" s="59">
        <f t="shared" si="68"/>
        <v>882.01643689388015</v>
      </c>
      <c r="CY90" s="59">
        <f ca="1">AVERAGE(OFFSET($CX$3,0,0,'Données projet'!$E$13+1,1))-AVERAGE(OFFSET($H$3,0,0,'Données projet'!$E$13+1,1))</f>
        <v>309.07357540707869</v>
      </c>
      <c r="CZ90" s="59">
        <f t="shared" si="96"/>
        <v>155.9593924683299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3.1</v>
      </c>
      <c r="DO90" s="12">
        <f>IF('Données projet'!$A$166&gt;35,DO89+DN90-DW89,IF(A90&lt;'Données projet'!$A$166,$DL$205^A90,IF(A90='Données projet'!$A$166,'Données projet'!$B$166,DO89+DN90-DW89)))</f>
        <v>235.69999999999982</v>
      </c>
      <c r="DP90" s="17">
        <f>DO90*VLOOKUP('Données projet'!$B$14,Paramètres!$A$1:$I$89,3,0)*VLOOKUP('Données projet'!$B$14,Paramètres!$A$1:$I$89,5,0)</f>
        <v>205.90751999999986</v>
      </c>
      <c r="DQ90" s="13">
        <f t="shared" si="97"/>
        <v>51.040254092523767</v>
      </c>
      <c r="DR90" s="20">
        <f t="shared" si="70"/>
        <v>447.5173732111453</v>
      </c>
      <c r="DS90" s="59">
        <f t="shared" si="71"/>
        <v>740.85070654447861</v>
      </c>
      <c r="DT90" s="59">
        <f ca="1">AVERAGE(OFFSET($DS$3,0,0,'Données projet'!$E$14+1,1))-AVERAGE(OFFSET($H$3,0,0,'Données projet'!$E$14+1,1))</f>
        <v>210.07838338464626</v>
      </c>
      <c r="DU90" s="59">
        <f t="shared" si="98"/>
        <v>241.76003724236273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1.7141343947367416</v>
      </c>
      <c r="EB90" s="21">
        <f>EXP(-LN(2)/25)*EB89+(1-EXP(-LN(2)/25))/(LN(2)/25)*Calculateur!DW90*Calculateur!DY90*VLOOKUP('Données projet'!$B$14,Paramètres!$A$1:$I$89,3,0)*0.475*44/12</f>
        <v>2.7919543853782298</v>
      </c>
      <c r="EC90" s="21">
        <f>EXP(-LN(2)/2)*EC89+(1-EXP(-LN(2)/2))/(LN(2)/2)*DW90*DZ90*VLOOKUP('Données projet'!$B$14,Paramètres!$A$1:$I$89,3,0)*0.475*44/12</f>
        <v>4.207157547975448E-8</v>
      </c>
      <c r="ED90" s="22">
        <f t="shared" si="72"/>
        <v>4.5060888221865474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6.2527760746888816E-13</v>
      </c>
      <c r="EK90" s="17">
        <f>EJ90*VLOOKUP('Données projet'!$B$15,Paramètres!$A$1:$I$89,3,0)*VLOOKUP('Données projet'!$B$15,Paramètres!$A$1:$I$89,5,0)</f>
        <v>3.9017322706058616E-13</v>
      </c>
      <c r="EL90" s="13">
        <f t="shared" si="99"/>
        <v>5.0025007393608908E-12</v>
      </c>
      <c r="EM90" s="20">
        <f t="shared" si="73"/>
        <v>9.3922404915174053E-12</v>
      </c>
      <c r="EN90" s="59">
        <f t="shared" si="74"/>
        <v>293.33333333334269</v>
      </c>
      <c r="EO90" s="59">
        <f ca="1">AVERAGE(OFFSET($EN$3,0,0,'Données projet'!$E$15+1,1))-AVERAGE(OFFSET($H$3,0,0,'Données projet'!$E$15+1,1))</f>
        <v>209.93608079129638</v>
      </c>
      <c r="EP90" s="59">
        <f t="shared" si="100"/>
        <v>240.15652428700969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2.2487614212523042</v>
      </c>
      <c r="EW90" s="21">
        <f>EXP(-LN(2)/25)*EW89+(1-EXP(-LN(2)/25))/(LN(2)/25)*Calculateur!ER90*Calculateur!ET90*VLOOKUP('Données projet'!$B$15,Paramètres!$A$1:$I$89,3,0)*0.475*44/12</f>
        <v>4.2801836684145922</v>
      </c>
      <c r="EX90" s="21">
        <f>EXP(-LN(2)/2)*EX89+(1-EXP(-LN(2)/2))/(LN(2)/2)*ER90*EU90*VLOOKUP('Données projet'!$B$15,Paramètres!$A$1:$I$89,3,0)*0.475*44/12</f>
        <v>5.3186202646655692E-8</v>
      </c>
      <c r="EY90" s="22">
        <f t="shared" si="75"/>
        <v>6.5289451428530993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5.6843418860808015E-14</v>
      </c>
      <c r="O91" s="13">
        <f>N91*VLOOKUP('Données projet'!$B$9,Paramètres!$A$1:$I$89,3,0)*VLOOKUP('Données projet'!$B$9,Paramètres!$A$1:$I$89,5,0)</f>
        <v>4.5224624045658861E-14</v>
      </c>
      <c r="P91" s="13">
        <f t="shared" si="87"/>
        <v>7.4514601661523691E-13</v>
      </c>
      <c r="Q91" s="20">
        <f t="shared" si="54"/>
        <v>1.3765621991510601E-12</v>
      </c>
      <c r="R91" s="59">
        <f t="shared" si="55"/>
        <v>293.33333333333468</v>
      </c>
      <c r="S91" s="59">
        <f ca="1">AVERAGE(OFFSET($R$3,0,0,'Données projet'!$E$9+1,1))-AVERAGE(OFFSET($H$3,0,0,'Données projet'!$E$9+1,1))</f>
        <v>199.58763537752952</v>
      </c>
      <c r="T91" s="59">
        <f t="shared" si="88"/>
        <v>242.62852778451929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</v>
      </c>
      <c r="AA91" s="21">
        <f>EXP(-LN(2)/25)*AA90+(1-EXP(-LN(2)/25))/(LN(2)/25)*Calculateur!V91*Calculateur!X91*VLOOKUP('Données projet'!$B$9,Paramètres!$A$1:$I$89,3,0)*0.475*44/12</f>
        <v>2.0593456754021733</v>
      </c>
      <c r="AB91" s="21">
        <f>EXP(-LN(2)/2)*AB90+(1-EXP(-LN(2)/2))/(LN(2)/2)*V91*Y91*VLOOKUP('Données projet'!$B$9,Paramètres!$A$1:$I$89,3,0)*0.475*44/12</f>
        <v>2.0044964539297335E-8</v>
      </c>
      <c r="AC91" s="22">
        <f t="shared" si="57"/>
        <v>2.0593456954471376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14.7</v>
      </c>
      <c r="AI91" s="13">
        <f>IF('Données projet'!$A$62&gt;35,AI90+AH91-AQ90,IF(A91&lt;'Données projet'!$A$62,$AF$205^A91,IF(A91='Données projet'!$A$62,'Données projet'!$B$62,AI90+AH91-AQ90)))</f>
        <v>582.60000000000014</v>
      </c>
      <c r="AJ91" s="13">
        <f>AI91*VLOOKUP('Données projet'!$B$10,Paramètres!$A$1:$I$89,3,0)*VLOOKUP('Données projet'!$B$10,Paramètres!$A$1:$I$89,5,0)</f>
        <v>348.39480000000015</v>
      </c>
      <c r="AK91" s="13">
        <f t="shared" si="89"/>
        <v>81.231895511321952</v>
      </c>
      <c r="AL91" s="20">
        <f t="shared" si="58"/>
        <v>748.26649468221933</v>
      </c>
      <c r="AM91" s="59">
        <f t="shared" si="59"/>
        <v>1041.5998280155527</v>
      </c>
      <c r="AN91" s="59">
        <f ca="1">AVERAGE(OFFSET($AM$3,0,0,'Données projet'!$E$10+1,1))-AVERAGE(OFFSET($H$3,0,0,'Données projet'!$E$10+1,1))</f>
        <v>287.78657453117694</v>
      </c>
      <c r="AO91" s="59">
        <f t="shared" si="90"/>
        <v>153.31562485362252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0.92812441975505244</v>
      </c>
      <c r="AV91" s="21">
        <f>EXP(-LN(2)/25)*AV90+(1-EXP(-LN(2)/25))/(LN(2)/25)*Calculateur!AQ91*Calculateur!AS91*VLOOKUP('Données projet'!$B$10,Paramètres!$A$1:$I$89,3,0)*0.475*44/12</f>
        <v>1.1678389455115357</v>
      </c>
      <c r="AW91" s="21">
        <f>EXP(-LN(2)/2)*AW90+(1-EXP(-LN(2)/2))/(LN(2)/2)*AQ91*AT91*VLOOKUP('Données projet'!$B$10,Paramètres!$A$1:$I$89,3,0)*0.475*44/12</f>
        <v>2.0682864986921865E-8</v>
      </c>
      <c r="AX91" s="21">
        <f t="shared" si="60"/>
        <v>2.0959633859494531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-1.1368683772161603E-13</v>
      </c>
      <c r="BE91" s="13">
        <f>BD91*VLOOKUP('Données projet'!$B$11,Paramètres!$A$1:$I$89,3,0)*VLOOKUP('Données projet'!$B$11,Paramètres!$A$1:$I$89,5,0)</f>
        <v>-6.7984728957526396E-14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250.93905519128998</v>
      </c>
      <c r="BJ91" s="59">
        <f t="shared" si="92"/>
        <v>222.32879462265032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0.40619439010695363</v>
      </c>
      <c r="BQ91" s="21">
        <f>EXP(-LN(2)/25)*BQ90+(1-EXP(-LN(2)/25))/(LN(2)/25)*Calculateur!BL91*Calculateur!BN91*VLOOKUP('Données projet'!$B$11,Paramètres!$A$1:$I$89,3,0)*0.475*44/12</f>
        <v>2.3180354889432624</v>
      </c>
      <c r="BR91" s="21">
        <f>EXP(-LN(2)/2)*BR90+(1-EXP(-LN(2)/2))/(LN(2)/2)*BL91*BO91*VLOOKUP('Données projet'!$B$11,Paramètres!$A$1:$I$89,3,0)*0.475*44/12</f>
        <v>3.5155165024967351E-9</v>
      </c>
      <c r="BS91" s="22">
        <f t="shared" si="63"/>
        <v>2.7242298825657323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-2.8421709430404007E-13</v>
      </c>
      <c r="BZ91" s="13">
        <f>BY91*VLOOKUP('Données projet'!$B$12,Paramètres!$A$1:$I$89,3,0)*VLOOKUP('Données projet'!$B$12,Paramètres!$A$1:$I$89,5,0)</f>
        <v>-1.69961822393816E-13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179.32848817523677</v>
      </c>
      <c r="CE91" s="59">
        <f t="shared" si="94"/>
        <v>131.3292389103035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2.6395409652724768</v>
      </c>
      <c r="CM91" s="21">
        <f>EXP(-LN(2)/2)*CM90+(1-EXP(-LN(2)/2))/(LN(2)/2)*CG91*CJ91*VLOOKUP('Données projet'!$B$12,Paramètres!$A$1:$I$89,3,0)*0.475*44/12</f>
        <v>9.8028581165623673E-9</v>
      </c>
      <c r="CN91" s="22">
        <f t="shared" si="66"/>
        <v>2.6395409750753349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7.8677884615384599</v>
      </c>
      <c r="CT91" s="12">
        <f>IF('Données projet'!$A$140&gt;35,CT90+CS91-DB90,IF(A91&lt;'Données projet'!$A$140,$CQ$205^A91,IF(A91='Données projet'!$A$140,'Données projet'!$B$140,CT90+CS91-DB90)))</f>
        <v>309.1490384615384</v>
      </c>
      <c r="CU91" s="17">
        <f>CT91*VLOOKUP('Données projet'!$B$13,Paramètres!$A$1:$I$89,3,0)*VLOOKUP('Données projet'!$B$13,Paramètres!$A$1:$I$89,5,0)</f>
        <v>279.71804999999995</v>
      </c>
      <c r="CV91" s="13">
        <f t="shared" si="95"/>
        <v>66.907421247747862</v>
      </c>
      <c r="CW91" s="20">
        <f t="shared" si="67"/>
        <v>603.70602908982733</v>
      </c>
      <c r="CX91" s="59">
        <f t="shared" si="68"/>
        <v>897.03936242316058</v>
      </c>
      <c r="CY91" s="59">
        <f ca="1">AVERAGE(OFFSET($CX$3,0,0,'Données projet'!$E$13+1,1))-AVERAGE(OFFSET($H$3,0,0,'Données projet'!$E$13+1,1))</f>
        <v>309.07357540707869</v>
      </c>
      <c r="CZ91" s="59">
        <f t="shared" si="96"/>
        <v>155.9593924683299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3.1</v>
      </c>
      <c r="DO91" s="12">
        <f>IF('Données projet'!$A$166&gt;35,DO90+DN91-DW90,IF(A91&lt;'Données projet'!$A$166,$DL$205^A91,IF(A91='Données projet'!$A$166,'Données projet'!$B$166,DO90+DN91-DW90)))</f>
        <v>238.79999999999981</v>
      </c>
      <c r="DP91" s="17">
        <f>DO91*VLOOKUP('Données projet'!$B$14,Paramètres!$A$1:$I$89,3,0)*VLOOKUP('Données projet'!$B$14,Paramètres!$A$1:$I$89,5,0)</f>
        <v>208.61567999999986</v>
      </c>
      <c r="DQ91" s="13">
        <f t="shared" si="97"/>
        <v>51.63296060480328</v>
      </c>
      <c r="DR91" s="20">
        <f t="shared" si="70"/>
        <v>453.26638238669875</v>
      </c>
      <c r="DS91" s="59">
        <f t="shared" si="71"/>
        <v>746.59971572003201</v>
      </c>
      <c r="DT91" s="59">
        <f ca="1">AVERAGE(OFFSET($DS$3,0,0,'Données projet'!$E$14+1,1))-AVERAGE(OFFSET($H$3,0,0,'Données projet'!$E$14+1,1))</f>
        <v>210.07838338464626</v>
      </c>
      <c r="DU91" s="59">
        <f t="shared" si="98"/>
        <v>241.76003724236273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1.6805212647746985</v>
      </c>
      <c r="EB91" s="21">
        <f>EXP(-LN(2)/25)*EB90+(1-EXP(-LN(2)/25))/(LN(2)/25)*Calculateur!DW91*Calculateur!DY91*VLOOKUP('Données projet'!$B$14,Paramètres!$A$1:$I$89,3,0)*0.475*44/12</f>
        <v>2.7156082458875619</v>
      </c>
      <c r="EC91" s="21">
        <f>EXP(-LN(2)/2)*EC90+(1-EXP(-LN(2)/2))/(LN(2)/2)*DW91*DZ91*VLOOKUP('Données projet'!$B$14,Paramètres!$A$1:$I$89,3,0)*0.475*44/12</f>
        <v>2.974909631693607E-8</v>
      </c>
      <c r="ED91" s="22">
        <f t="shared" si="72"/>
        <v>4.3961295404113567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6.2527760746888816E-13</v>
      </c>
      <c r="EK91" s="17">
        <f>EJ91*VLOOKUP('Données projet'!$B$15,Paramètres!$A$1:$I$89,3,0)*VLOOKUP('Données projet'!$B$15,Paramètres!$A$1:$I$89,5,0)</f>
        <v>3.9017322706058616E-13</v>
      </c>
      <c r="EL91" s="13">
        <f t="shared" si="99"/>
        <v>5.0025007393608908E-12</v>
      </c>
      <c r="EM91" s="20">
        <f t="shared" si="73"/>
        <v>9.3922404915174053E-12</v>
      </c>
      <c r="EN91" s="59">
        <f t="shared" si="74"/>
        <v>293.33333333334269</v>
      </c>
      <c r="EO91" s="59">
        <f ca="1">AVERAGE(OFFSET($EN$3,0,0,'Données projet'!$E$15+1,1))-AVERAGE(OFFSET($H$3,0,0,'Données projet'!$E$15+1,1))</f>
        <v>209.93608079129638</v>
      </c>
      <c r="EP91" s="59">
        <f t="shared" si="100"/>
        <v>240.15652428700969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2.2046645813905781</v>
      </c>
      <c r="EW91" s="21">
        <f>EXP(-LN(2)/25)*EW90+(1-EXP(-LN(2)/25))/(LN(2)/25)*Calculateur!ER91*Calculateur!ET91*VLOOKUP('Données projet'!$B$15,Paramètres!$A$1:$I$89,3,0)*0.475*44/12</f>
        <v>4.1631418209167181</v>
      </c>
      <c r="EX91" s="21">
        <f>EXP(-LN(2)/2)*EX90+(1-EXP(-LN(2)/2))/(LN(2)/2)*ER91*EU91*VLOOKUP('Données projet'!$B$15,Paramètres!$A$1:$I$89,3,0)*0.475*44/12</f>
        <v>3.7608324557012141E-8</v>
      </c>
      <c r="EY91" s="22">
        <f t="shared" si="75"/>
        <v>6.3678064399156211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5.6843418860808015E-14</v>
      </c>
      <c r="O92" s="13">
        <f>N92*VLOOKUP('Données projet'!$B$9,Paramètres!$A$1:$I$89,3,0)*VLOOKUP('Données projet'!$B$9,Paramètres!$A$1:$I$89,5,0)</f>
        <v>4.5224624045658861E-14</v>
      </c>
      <c r="P92" s="13">
        <f t="shared" si="87"/>
        <v>7.4514601661523691E-13</v>
      </c>
      <c r="Q92" s="20">
        <f t="shared" si="54"/>
        <v>1.3765621991510601E-12</v>
      </c>
      <c r="R92" s="59">
        <f t="shared" si="55"/>
        <v>293.33333333333468</v>
      </c>
      <c r="S92" s="59">
        <f ca="1">AVERAGE(OFFSET($R$3,0,0,'Données projet'!$E$9+1,1))-AVERAGE(OFFSET($H$3,0,0,'Données projet'!$E$9+1,1))</f>
        <v>199.58763537752952</v>
      </c>
      <c r="T92" s="59">
        <f t="shared" si="88"/>
        <v>242.62852778451929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</v>
      </c>
      <c r="AA92" s="21">
        <f>EXP(-LN(2)/25)*AA91+(1-EXP(-LN(2)/25))/(LN(2)/25)*Calculateur!V92*Calculateur!X92*VLOOKUP('Données projet'!$B$9,Paramètres!$A$1:$I$89,3,0)*0.475*44/12</f>
        <v>2.0030327596120183</v>
      </c>
      <c r="AB92" s="21">
        <f>EXP(-LN(2)/2)*AB91+(1-EXP(-LN(2)/2))/(LN(2)/2)*V92*Y92*VLOOKUP('Données projet'!$B$9,Paramètres!$A$1:$I$89,3,0)*0.475*44/12</f>
        <v>1.4173930354381025E-8</v>
      </c>
      <c r="AC92" s="22">
        <f t="shared" si="57"/>
        <v>2.0030327737859488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14.7</v>
      </c>
      <c r="AI92" s="13">
        <f>IF('Données projet'!$A$62&gt;35,AI91+AH92-AQ91,IF(A92&lt;'Données projet'!$A$62,$AF$205^A92,IF(A92='Données projet'!$A$62,'Données projet'!$B$62,AI91+AH92-AQ91)))</f>
        <v>597.30000000000018</v>
      </c>
      <c r="AJ92" s="13">
        <f>AI92*VLOOKUP('Données projet'!$B$10,Paramètres!$A$1:$I$89,3,0)*VLOOKUP('Données projet'!$B$10,Paramètres!$A$1:$I$89,5,0)</f>
        <v>357.18540000000013</v>
      </c>
      <c r="AK92" s="13">
        <f t="shared" si="89"/>
        <v>83.040305274975225</v>
      </c>
      <c r="AL92" s="20">
        <f t="shared" si="58"/>
        <v>766.72643668724868</v>
      </c>
      <c r="AM92" s="59">
        <f t="shared" si="59"/>
        <v>1060.0597700205819</v>
      </c>
      <c r="AN92" s="59">
        <f ca="1">AVERAGE(OFFSET($AM$3,0,0,'Données projet'!$E$10+1,1))-AVERAGE(OFFSET($H$3,0,0,'Données projet'!$E$10+1,1))</f>
        <v>287.78657453117694</v>
      </c>
      <c r="AO92" s="59">
        <f t="shared" si="90"/>
        <v>153.31562485362252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0.90992446598365417</v>
      </c>
      <c r="AV92" s="21">
        <f>EXP(-LN(2)/25)*AV91+(1-EXP(-LN(2)/25))/(LN(2)/25)*Calculateur!AQ92*Calculateur!AS92*VLOOKUP('Données projet'!$B$10,Paramètres!$A$1:$I$89,3,0)*0.475*44/12</f>
        <v>1.1359043281325416</v>
      </c>
      <c r="AW92" s="21">
        <f>EXP(-LN(2)/2)*AW91+(1-EXP(-LN(2)/2))/(LN(2)/2)*AQ92*AT92*VLOOKUP('Données projet'!$B$10,Paramètres!$A$1:$I$89,3,0)*0.475*44/12</f>
        <v>1.4624994086618266E-8</v>
      </c>
      <c r="AX92" s="21">
        <f t="shared" si="60"/>
        <v>2.0458288087411898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-1.1368683772161603E-13</v>
      </c>
      <c r="BE92" s="13">
        <f>BD92*VLOOKUP('Données projet'!$B$11,Paramètres!$A$1:$I$89,3,0)*VLOOKUP('Données projet'!$B$11,Paramètres!$A$1:$I$89,5,0)</f>
        <v>-6.7984728957526396E-14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250.93905519128998</v>
      </c>
      <c r="BJ92" s="59">
        <f t="shared" si="92"/>
        <v>222.32879462265032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0.39822916587107055</v>
      </c>
      <c r="BQ92" s="21">
        <f>EXP(-LN(2)/25)*BQ91+(1-EXP(-LN(2)/25))/(LN(2)/25)*Calculateur!BL92*Calculateur!BN92*VLOOKUP('Données projet'!$B$11,Paramètres!$A$1:$I$89,3,0)*0.475*44/12</f>
        <v>2.2546486865979203</v>
      </c>
      <c r="BR92" s="21">
        <f>EXP(-LN(2)/2)*BR91+(1-EXP(-LN(2)/2))/(LN(2)/2)*BL92*BO92*VLOOKUP('Données projet'!$B$11,Paramètres!$A$1:$I$89,3,0)*0.475*44/12</f>
        <v>2.4858455582886557E-9</v>
      </c>
      <c r="BS92" s="22">
        <f t="shared" si="63"/>
        <v>2.6528778549548364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-2.8421709430404007E-13</v>
      </c>
      <c r="BZ92" s="13">
        <f>BY92*VLOOKUP('Données projet'!$B$12,Paramètres!$A$1:$I$89,3,0)*VLOOKUP('Données projet'!$B$12,Paramètres!$A$1:$I$89,5,0)</f>
        <v>-1.69961822393816E-13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179.32848817523677</v>
      </c>
      <c r="CE92" s="59">
        <f t="shared" si="94"/>
        <v>131.3292389103035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2.5673625787696746</v>
      </c>
      <c r="CM92" s="21">
        <f>EXP(-LN(2)/2)*CM91+(1-EXP(-LN(2)/2))/(LN(2)/2)*CG92*CJ92*VLOOKUP('Données projet'!$B$12,Paramètres!$A$1:$I$89,3,0)*0.475*44/12</f>
        <v>6.9316674492308373E-9</v>
      </c>
      <c r="CN92" s="22">
        <f t="shared" si="66"/>
        <v>2.5673625857013418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7.8677884615384599</v>
      </c>
      <c r="CT92" s="12">
        <f>IF('Données projet'!$A$140&gt;35,CT91+CS92-DB91,IF(A92&lt;'Données projet'!$A$140,$CQ$205^A92,IF(A92='Données projet'!$A$140,'Données projet'!$B$140,CT91+CS92-DB91)))</f>
        <v>317.01682692307685</v>
      </c>
      <c r="CU92" s="17">
        <f>CT92*VLOOKUP('Données projet'!$B$13,Paramètres!$A$1:$I$89,3,0)*VLOOKUP('Données projet'!$B$13,Paramètres!$A$1:$I$89,5,0)</f>
        <v>286.83682499999992</v>
      </c>
      <c r="CV92" s="13">
        <f t="shared" si="95"/>
        <v>68.409791752349292</v>
      </c>
      <c r="CW92" s="20">
        <f t="shared" si="67"/>
        <v>618.72119084367489</v>
      </c>
      <c r="CX92" s="59">
        <f t="shared" si="68"/>
        <v>912.05452417700826</v>
      </c>
      <c r="CY92" s="59">
        <f ca="1">AVERAGE(OFFSET($CX$3,0,0,'Données projet'!$E$13+1,1))-AVERAGE(OFFSET($H$3,0,0,'Données projet'!$E$13+1,1))</f>
        <v>309.07357540707869</v>
      </c>
      <c r="CZ92" s="59">
        <f t="shared" si="96"/>
        <v>155.9593924683299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3.1</v>
      </c>
      <c r="DO92" s="12">
        <f>IF('Données projet'!$A$166&gt;35,DO91+DN92-DW91,IF(A92&lt;'Données projet'!$A$166,$DL$205^A92,IF(A92='Données projet'!$A$166,'Données projet'!$B$166,DO91+DN92-DW91)))</f>
        <v>241.89999999999981</v>
      </c>
      <c r="DP92" s="17">
        <f>DO92*VLOOKUP('Données projet'!$B$14,Paramètres!$A$1:$I$89,3,0)*VLOOKUP('Données projet'!$B$14,Paramètres!$A$1:$I$89,5,0)</f>
        <v>211.32383999999988</v>
      </c>
      <c r="DQ92" s="13">
        <f t="shared" si="97"/>
        <v>52.224772154518632</v>
      </c>
      <c r="DR92" s="20">
        <f t="shared" si="70"/>
        <v>459.01383283578645</v>
      </c>
      <c r="DS92" s="59">
        <f t="shared" si="71"/>
        <v>752.34716616911976</v>
      </c>
      <c r="DT92" s="59">
        <f ca="1">AVERAGE(OFFSET($DS$3,0,0,'Données projet'!$E$14+1,1))-AVERAGE(OFFSET($H$3,0,0,'Données projet'!$E$14+1,1))</f>
        <v>210.07838338464626</v>
      </c>
      <c r="DU92" s="59">
        <f t="shared" si="98"/>
        <v>241.76003724236273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1.6475672677892261</v>
      </c>
      <c r="EB92" s="21">
        <f>EXP(-LN(2)/25)*EB91+(1-EXP(-LN(2)/25))/(LN(2)/25)*Calculateur!DW92*Calculateur!DY92*VLOOKUP('Données projet'!$B$14,Paramètres!$A$1:$I$89,3,0)*0.475*44/12</f>
        <v>2.6413497955961356</v>
      </c>
      <c r="EC92" s="21">
        <f>EXP(-LN(2)/2)*EC91+(1-EXP(-LN(2)/2))/(LN(2)/2)*DW92*DZ92*VLOOKUP('Données projet'!$B$14,Paramètres!$A$1:$I$89,3,0)*0.475*44/12</f>
        <v>2.1035787739877243E-8</v>
      </c>
      <c r="ED92" s="22">
        <f t="shared" si="72"/>
        <v>4.2889170844211488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6.2527760746888816E-13</v>
      </c>
      <c r="EK92" s="17">
        <f>EJ92*VLOOKUP('Données projet'!$B$15,Paramètres!$A$1:$I$89,3,0)*VLOOKUP('Données projet'!$B$15,Paramètres!$A$1:$I$89,5,0)</f>
        <v>3.9017322706058616E-13</v>
      </c>
      <c r="EL92" s="13">
        <f t="shared" si="99"/>
        <v>5.0025007393608908E-12</v>
      </c>
      <c r="EM92" s="20">
        <f t="shared" si="73"/>
        <v>9.3922404915174053E-12</v>
      </c>
      <c r="EN92" s="59">
        <f t="shared" si="74"/>
        <v>293.33333333334269</v>
      </c>
      <c r="EO92" s="59">
        <f ca="1">AVERAGE(OFFSET($EN$3,0,0,'Données projet'!$E$15+1,1))-AVERAGE(OFFSET($H$3,0,0,'Données projet'!$E$15+1,1))</f>
        <v>209.93608079129638</v>
      </c>
      <c r="EP92" s="59">
        <f t="shared" si="100"/>
        <v>240.15652428700969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2.1614324536621243</v>
      </c>
      <c r="EW92" s="21">
        <f>EXP(-LN(2)/25)*EW91+(1-EXP(-LN(2)/25))/(LN(2)/25)*Calculateur!ER92*Calculateur!ET92*VLOOKUP('Données projet'!$B$15,Paramètres!$A$1:$I$89,3,0)*0.475*44/12</f>
        <v>4.0493004888936373</v>
      </c>
      <c r="EX92" s="21">
        <f>EXP(-LN(2)/2)*EX91+(1-EXP(-LN(2)/2))/(LN(2)/2)*ER92*EU92*VLOOKUP('Données projet'!$B$15,Paramètres!$A$1:$I$89,3,0)*0.475*44/12</f>
        <v>2.6593101323327846E-8</v>
      </c>
      <c r="EY92" s="22">
        <f t="shared" si="75"/>
        <v>6.2107329691488626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5.6843418860808015E-14</v>
      </c>
      <c r="O93" s="13">
        <f>N93*VLOOKUP('Données projet'!$B$9,Paramètres!$A$1:$I$89,3,0)*VLOOKUP('Données projet'!$B$9,Paramètres!$A$1:$I$89,5,0)</f>
        <v>4.5224624045658861E-14</v>
      </c>
      <c r="P93" s="13">
        <f t="shared" si="87"/>
        <v>7.4514601661523691E-13</v>
      </c>
      <c r="Q93" s="20">
        <f t="shared" si="54"/>
        <v>1.3765621991510601E-12</v>
      </c>
      <c r="R93" s="59">
        <f t="shared" si="55"/>
        <v>293.33333333333468</v>
      </c>
      <c r="S93" s="59">
        <f ca="1">AVERAGE(OFFSET($R$3,0,0,'Données projet'!$E$9+1,1))-AVERAGE(OFFSET($H$3,0,0,'Données projet'!$E$9+1,1))</f>
        <v>199.58763537752952</v>
      </c>
      <c r="T93" s="59">
        <f t="shared" si="88"/>
        <v>242.62852778451929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</v>
      </c>
      <c r="AA93" s="21">
        <f>EXP(-LN(2)/25)*AA92+(1-EXP(-LN(2)/25))/(LN(2)/25)*Calculateur!V93*Calculateur!X93*VLOOKUP('Données projet'!$B$9,Paramètres!$A$1:$I$89,3,0)*0.475*44/12</f>
        <v>1.9482597234655128</v>
      </c>
      <c r="AB93" s="21">
        <f>EXP(-LN(2)/2)*AB92+(1-EXP(-LN(2)/2))/(LN(2)/2)*V93*Y93*VLOOKUP('Données projet'!$B$9,Paramètres!$A$1:$I$89,3,0)*0.475*44/12</f>
        <v>1.0022482269648667E-8</v>
      </c>
      <c r="AC93" s="22">
        <f t="shared" si="57"/>
        <v>1.948259733487995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612</v>
      </c>
      <c r="AG93" s="12">
        <f>VLOOKUP(A93,'Données projet'!$A$61:$I$81,9,0)</f>
        <v>14.7</v>
      </c>
      <c r="AH93" s="12">
        <f t="array" ref="AH93">INDEX(AG:AG,MIN(IF(ISNUMBER(AG93:AG289),ROW(AG93:AG289),"")))</f>
        <v>14.7</v>
      </c>
      <c r="AI93" s="13">
        <f>IF('Données projet'!$A$62&gt;35,AI92+AH93-AQ92,IF(A93&lt;'Données projet'!$A$62,$AF$205^A93,IF(A93='Données projet'!$A$62,'Données projet'!$B$62,AI92+AH93-AQ92)))</f>
        <v>612.00000000000023</v>
      </c>
      <c r="AJ93" s="13">
        <f>AI93*VLOOKUP('Données projet'!$B$10,Paramètres!$A$1:$I$89,3,0)*VLOOKUP('Données projet'!$B$10,Paramètres!$A$1:$I$89,5,0)</f>
        <v>365.97600000000011</v>
      </c>
      <c r="AK93" s="13">
        <f t="shared" si="89"/>
        <v>84.843541364532598</v>
      </c>
      <c r="AL93" s="20">
        <f t="shared" si="58"/>
        <v>785.17736787656111</v>
      </c>
      <c r="AM93" s="59">
        <f t="shared" si="59"/>
        <v>1078.5107012098945</v>
      </c>
      <c r="AN93" s="59">
        <f ca="1">AVERAGE(OFFSET($AM$3,0,0,'Données projet'!$E$10+1,1))-AVERAGE(OFFSET($H$3,0,0,'Données projet'!$E$10+1,1))</f>
        <v>287.78657453117694</v>
      </c>
      <c r="AO93" s="59">
        <f t="shared" si="90"/>
        <v>153.31562485362252</v>
      </c>
      <c r="AP93" s="15">
        <f>IF(ISNA(VLOOKUP(A93,'Données projet'!$A$61:$I$81,3,0)),0,VLOOKUP(A93,'Données projet'!$A$61:$I$81,3,0))</f>
        <v>7</v>
      </c>
      <c r="AQ93" s="15">
        <f>IF(ISNA(VLOOKUP(A93,'Données projet'!$A$61:$I$81,4,0)),0,VLOOKUP(A93,'Données projet'!$A$61:$I$81,4,0))</f>
        <v>94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0.89208140220483734</v>
      </c>
      <c r="AV93" s="21">
        <f>EXP(-LN(2)/25)*AV92+(1-EXP(-LN(2)/25))/(LN(2)/25)*Calculateur!AQ93*Calculateur!AS93*VLOOKUP('Données projet'!$B$10,Paramètres!$A$1:$I$89,3,0)*0.475*44/12</f>
        <v>1.1048429645451447</v>
      </c>
      <c r="AW93" s="21">
        <f>EXP(-LN(2)/2)*AW92+(1-EXP(-LN(2)/2))/(LN(2)/2)*AQ93*AT93*VLOOKUP('Données projet'!$B$10,Paramètres!$A$1:$I$89,3,0)*0.475*44/12</f>
        <v>1.0341432493460934E-8</v>
      </c>
      <c r="AX93" s="21">
        <f t="shared" si="60"/>
        <v>1.9969243770914147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-1.1368683772161603E-13</v>
      </c>
      <c r="BE93" s="13">
        <f>BD93*VLOOKUP('Données projet'!$B$11,Paramètres!$A$1:$I$89,3,0)*VLOOKUP('Données projet'!$B$11,Paramètres!$A$1:$I$89,5,0)</f>
        <v>-6.7984728957526396E-14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250.93905519128998</v>
      </c>
      <c r="BJ93" s="59">
        <f t="shared" si="92"/>
        <v>222.32879462265032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0.39042013482414606</v>
      </c>
      <c r="BQ93" s="21">
        <f>EXP(-LN(2)/25)*BQ92+(1-EXP(-LN(2)/25))/(LN(2)/25)*Calculateur!BL93*Calculateur!BN93*VLOOKUP('Données projet'!$B$11,Paramètres!$A$1:$I$89,3,0)*0.475*44/12</f>
        <v>2.1929951996960786</v>
      </c>
      <c r="BR93" s="21">
        <f>EXP(-LN(2)/2)*BR92+(1-EXP(-LN(2)/2))/(LN(2)/2)*BL93*BO93*VLOOKUP('Données projet'!$B$11,Paramètres!$A$1:$I$89,3,0)*0.475*44/12</f>
        <v>1.7577582512483675E-9</v>
      </c>
      <c r="BS93" s="22">
        <f t="shared" si="63"/>
        <v>2.5834153362779828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-2.8421709430404007E-13</v>
      </c>
      <c r="BZ93" s="13">
        <f>BY93*VLOOKUP('Données projet'!$B$12,Paramètres!$A$1:$I$89,3,0)*VLOOKUP('Données projet'!$B$12,Paramètres!$A$1:$I$89,5,0)</f>
        <v>-1.69961822393816E-13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179.32848817523677</v>
      </c>
      <c r="CE93" s="59">
        <f t="shared" si="94"/>
        <v>131.3292389103035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2.4971579140414875</v>
      </c>
      <c r="CM93" s="21">
        <f>EXP(-LN(2)/2)*CM92+(1-EXP(-LN(2)/2))/(LN(2)/2)*CG93*CJ93*VLOOKUP('Données projet'!$B$12,Paramètres!$A$1:$I$89,3,0)*0.475*44/12</f>
        <v>4.9014290582811837E-9</v>
      </c>
      <c r="CN93" s="22">
        <f t="shared" si="66"/>
        <v>2.4971579189429165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324.88461538461536</v>
      </c>
      <c r="CR93" s="12">
        <f>VLOOKUP(A93,'Données projet'!$A$139:$I$159,9,0)</f>
        <v>7.8677884615384599</v>
      </c>
      <c r="CS93" s="12">
        <f t="array" ref="CS93">INDEX(CR:CR,MIN(IF(ISNUMBER(CR93:CR289),ROW(CR93:CR289),"")))</f>
        <v>7.8677884615384599</v>
      </c>
      <c r="CT93" s="12">
        <f>IF('Données projet'!$A$140&gt;35,CT92+CS93-DB92,IF(A93&lt;'Données projet'!$A$140,$CQ$205^A93,IF(A93='Données projet'!$A$140,'Données projet'!$B$140,CT92+CS93-DB92)))</f>
        <v>324.8846153846153</v>
      </c>
      <c r="CU93" s="17">
        <f>CT93*VLOOKUP('Données projet'!$B$13,Paramètres!$A$1:$I$89,3,0)*VLOOKUP('Données projet'!$B$13,Paramètres!$A$1:$I$89,5,0)</f>
        <v>293.95559999999995</v>
      </c>
      <c r="CV93" s="13">
        <f t="shared" si="95"/>
        <v>69.907827943094574</v>
      </c>
      <c r="CW93" s="20">
        <f t="shared" si="67"/>
        <v>633.72880366755624</v>
      </c>
      <c r="CX93" s="59">
        <f t="shared" si="68"/>
        <v>927.06213700088961</v>
      </c>
      <c r="CY93" s="59">
        <f ca="1">AVERAGE(OFFSET($CX$3,0,0,'Données projet'!$E$13+1,1))-AVERAGE(OFFSET($H$3,0,0,'Données projet'!$E$13+1,1))</f>
        <v>309.07357540707869</v>
      </c>
      <c r="CZ93" s="59">
        <f t="shared" si="96"/>
        <v>155.9593924683299</v>
      </c>
      <c r="DA93" s="15">
        <f>IF(ISNA(VLOOKUP(A93,'Données projet'!$A$139:$I$159,3,0)),0,VLOOKUP(A93,'Données projet'!$A$139:$I$159,3,0))</f>
        <v>8</v>
      </c>
      <c r="DB93" s="15">
        <f>IF(ISNA(VLOOKUP(A93,'Données projet'!$A$139:$I$159,4,0)),0,VLOOKUP(A93,'Données projet'!$A$139:$I$159,4,0))</f>
        <v>47.307692307692307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245</v>
      </c>
      <c r="DM93" s="12">
        <f>VLOOKUP(A93,'Données projet'!$A$165:$I$185,9,0)</f>
        <v>3.1</v>
      </c>
      <c r="DN93" s="12">
        <f t="array" ref="DN93">INDEX(DM:DM,MIN(IF(ISNUMBER(DM93:DM289),ROW(DM93:DM289),"")))</f>
        <v>3.1</v>
      </c>
      <c r="DO93" s="12">
        <f>IF('Données projet'!$A$166&gt;35,DO92+DN93-DW92,IF(A93&lt;'Données projet'!$A$166,$DL$205^A93,IF(A93='Données projet'!$A$166,'Données projet'!$B$166,DO92+DN93-DW92)))</f>
        <v>244.9999999999998</v>
      </c>
      <c r="DP93" s="17">
        <f>DO93*VLOOKUP('Données projet'!$B$14,Paramètres!$A$1:$I$89,3,0)*VLOOKUP('Données projet'!$B$14,Paramètres!$A$1:$I$89,5,0)</f>
        <v>214.03199999999987</v>
      </c>
      <c r="DQ93" s="13">
        <f t="shared" si="97"/>
        <v>52.815701536972192</v>
      </c>
      <c r="DR93" s="20">
        <f t="shared" si="70"/>
        <v>464.7597468435597</v>
      </c>
      <c r="DS93" s="59">
        <f t="shared" si="71"/>
        <v>758.09308017689295</v>
      </c>
      <c r="DT93" s="59">
        <f ca="1">AVERAGE(OFFSET($DS$3,0,0,'Données projet'!$E$14+1,1))-AVERAGE(OFFSET($H$3,0,0,'Données projet'!$E$14+1,1))</f>
        <v>210.07838338464626</v>
      </c>
      <c r="DU93" s="59">
        <f t="shared" si="98"/>
        <v>241.76003724236273</v>
      </c>
      <c r="DV93" s="15">
        <f>IF(ISNA(VLOOKUP(A93,'Données projet'!$A$165:$I$185,3,0)),0,VLOOKUP(A93,'Données projet'!$A$165:$I$185,3,0))</f>
        <v>8</v>
      </c>
      <c r="DW93" s="15">
        <f>IF(ISNA(VLOOKUP(A93,'Données projet'!$A$165:$I$185,4,0)),0,VLOOKUP(A93,'Données projet'!$A$165:$I$185,4,0))</f>
        <v>23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1.6152594785846854</v>
      </c>
      <c r="EB93" s="21">
        <f>EXP(-LN(2)/25)*EB92+(1-EXP(-LN(2)/25))/(LN(2)/25)*Calculateur!DW93*Calculateur!DY93*VLOOKUP('Données projet'!$B$14,Paramètres!$A$1:$I$89,3,0)*0.475*44/12</f>
        <v>2.5691219465330102</v>
      </c>
      <c r="EC93" s="21">
        <f>EXP(-LN(2)/2)*EC92+(1-EXP(-LN(2)/2))/(LN(2)/2)*DW93*DZ93*VLOOKUP('Données projet'!$B$14,Paramètres!$A$1:$I$89,3,0)*0.475*44/12</f>
        <v>1.4874548158468038E-8</v>
      </c>
      <c r="ED93" s="22">
        <f t="shared" si="72"/>
        <v>4.1843814399922437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6.2527760746888816E-13</v>
      </c>
      <c r="EK93" s="17">
        <f>EJ93*VLOOKUP('Données projet'!$B$15,Paramètres!$A$1:$I$89,3,0)*VLOOKUP('Données projet'!$B$15,Paramètres!$A$1:$I$89,5,0)</f>
        <v>3.9017322706058616E-13</v>
      </c>
      <c r="EL93" s="13">
        <f t="shared" si="99"/>
        <v>5.0025007393608908E-12</v>
      </c>
      <c r="EM93" s="20">
        <f t="shared" si="73"/>
        <v>9.3922404915174053E-12</v>
      </c>
      <c r="EN93" s="59">
        <f t="shared" si="74"/>
        <v>293.33333333334269</v>
      </c>
      <c r="EO93" s="59">
        <f ca="1">AVERAGE(OFFSET($EN$3,0,0,'Données projet'!$E$15+1,1))-AVERAGE(OFFSET($H$3,0,0,'Données projet'!$E$15+1,1))</f>
        <v>209.93608079129638</v>
      </c>
      <c r="EP93" s="59">
        <f t="shared" si="100"/>
        <v>240.15652428700969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2.119048081589431</v>
      </c>
      <c r="EW93" s="21">
        <f>EXP(-LN(2)/25)*EW92+(1-EXP(-LN(2)/25))/(LN(2)/25)*Calculateur!ER93*Calculateur!ET93*VLOOKUP('Données projet'!$B$15,Paramètres!$A$1:$I$89,3,0)*0.475*44/12</f>
        <v>3.9385721540813829</v>
      </c>
      <c r="EX93" s="21">
        <f>EXP(-LN(2)/2)*EX92+(1-EXP(-LN(2)/2))/(LN(2)/2)*ER93*EU93*VLOOKUP('Données projet'!$B$15,Paramètres!$A$1:$I$89,3,0)*0.475*44/12</f>
        <v>1.880416227850607E-8</v>
      </c>
      <c r="EY93" s="22">
        <f t="shared" si="75"/>
        <v>6.0576202544749771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5.6843418860808015E-14</v>
      </c>
      <c r="O94" s="13">
        <f>N94*VLOOKUP('Données projet'!$B$9,Paramètres!$A$1:$I$89,3,0)*VLOOKUP('Données projet'!$B$9,Paramètres!$A$1:$I$89,5,0)</f>
        <v>4.5224624045658861E-14</v>
      </c>
      <c r="P94" s="13">
        <f t="shared" si="87"/>
        <v>7.4514601661523691E-13</v>
      </c>
      <c r="Q94" s="20">
        <f t="shared" si="54"/>
        <v>1.3765621991510601E-12</v>
      </c>
      <c r="R94" s="59">
        <f t="shared" si="55"/>
        <v>293.33333333333468</v>
      </c>
      <c r="S94" s="59">
        <f ca="1">AVERAGE(OFFSET($R$3,0,0,'Données projet'!$E$9+1,1))-AVERAGE(OFFSET($H$3,0,0,'Données projet'!$E$9+1,1))</f>
        <v>199.58763537752952</v>
      </c>
      <c r="T94" s="59">
        <f t="shared" si="88"/>
        <v>242.62852778451929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</v>
      </c>
      <c r="AA94" s="21">
        <f>EXP(-LN(2)/25)*AA93+(1-EXP(-LN(2)/25))/(LN(2)/25)*Calculateur!V94*Calculateur!X94*VLOOKUP('Données projet'!$B$9,Paramètres!$A$1:$I$89,3,0)*0.475*44/12</f>
        <v>1.8949844588728224</v>
      </c>
      <c r="AB94" s="21">
        <f>EXP(-LN(2)/2)*AB93+(1-EXP(-LN(2)/2))/(LN(2)/2)*V94*Y94*VLOOKUP('Données projet'!$B$9,Paramètres!$A$1:$I$89,3,0)*0.475*44/12</f>
        <v>7.0869651771905125E-9</v>
      </c>
      <c r="AC94" s="22">
        <f t="shared" si="57"/>
        <v>1.8949844659597876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13.9</v>
      </c>
      <c r="AI94" s="13">
        <f>IF('Données projet'!$A$62&gt;35,AI93+AH94-AQ93,IF(A94&lt;'Données projet'!$A$62,$AF$205^A94,IF(A94='Données projet'!$A$62,'Données projet'!$B$62,AI93+AH94-AQ93)))</f>
        <v>531.9000000000002</v>
      </c>
      <c r="AJ94" s="13">
        <f>AI94*VLOOKUP('Données projet'!$B$10,Paramètres!$A$1:$I$89,3,0)*VLOOKUP('Données projet'!$B$10,Paramètres!$A$1:$I$89,5,0)</f>
        <v>318.07620000000014</v>
      </c>
      <c r="AK94" s="13">
        <f t="shared" si="89"/>
        <v>74.952929288992308</v>
      </c>
      <c r="AL94" s="20">
        <f t="shared" si="58"/>
        <v>684.52573351166177</v>
      </c>
      <c r="AM94" s="59">
        <f t="shared" si="59"/>
        <v>977.85906684499514</v>
      </c>
      <c r="AN94" s="59">
        <f ca="1">AVERAGE(OFFSET($AM$3,0,0,'Données projet'!$E$10+1,1))-AVERAGE(OFFSET($H$3,0,0,'Données projet'!$E$10+1,1))</f>
        <v>287.78657453117694</v>
      </c>
      <c r="AO94" s="59">
        <f t="shared" si="90"/>
        <v>153.31562485362252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0.87458823002352881</v>
      </c>
      <c r="AV94" s="21">
        <f>EXP(-LN(2)/25)*AV93+(1-EXP(-LN(2)/25))/(LN(2)/25)*Calculateur!AQ94*Calculateur!AS94*VLOOKUP('Données projet'!$B$10,Paramètres!$A$1:$I$89,3,0)*0.475*44/12</f>
        <v>1.0746309755784915</v>
      </c>
      <c r="AW94" s="21">
        <f>EXP(-LN(2)/2)*AW93+(1-EXP(-LN(2)/2))/(LN(2)/2)*AQ94*AT94*VLOOKUP('Données projet'!$B$10,Paramètres!$A$1:$I$89,3,0)*0.475*44/12</f>
        <v>7.3124970433091337E-9</v>
      </c>
      <c r="AX94" s="21">
        <f t="shared" si="60"/>
        <v>1.9492192129145174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-1.1368683772161603E-13</v>
      </c>
      <c r="BE94" s="13">
        <f>BD94*VLOOKUP('Données projet'!$B$11,Paramètres!$A$1:$I$89,3,0)*VLOOKUP('Données projet'!$B$11,Paramètres!$A$1:$I$89,5,0)</f>
        <v>-6.7984728957526396E-14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250.93905519128998</v>
      </c>
      <c r="BJ94" s="59">
        <f t="shared" si="92"/>
        <v>222.32879462265032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0.38276423411301314</v>
      </c>
      <c r="BQ94" s="21">
        <f>EXP(-LN(2)/25)*BQ93+(1-EXP(-LN(2)/25))/(LN(2)/25)*Calculateur!BL94*Calculateur!BN94*VLOOKUP('Données projet'!$B$11,Paramètres!$A$1:$I$89,3,0)*0.475*44/12</f>
        <v>2.1330276306357838</v>
      </c>
      <c r="BR94" s="21">
        <f>EXP(-LN(2)/2)*BR93+(1-EXP(-LN(2)/2))/(LN(2)/2)*BL94*BO94*VLOOKUP('Données projet'!$B$11,Paramètres!$A$1:$I$89,3,0)*0.475*44/12</f>
        <v>1.2429227791443278E-9</v>
      </c>
      <c r="BS94" s="22">
        <f t="shared" si="63"/>
        <v>2.5157918659917198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-2.8421709430404007E-13</v>
      </c>
      <c r="BZ94" s="13">
        <f>BY94*VLOOKUP('Données projet'!$B$12,Paramètres!$A$1:$I$89,3,0)*VLOOKUP('Données projet'!$B$12,Paramètres!$A$1:$I$89,5,0)</f>
        <v>-1.69961822393816E-13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179.32848817523677</v>
      </c>
      <c r="CE94" s="59">
        <f t="shared" si="94"/>
        <v>131.3292389103035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2.4288729995621958</v>
      </c>
      <c r="CM94" s="21">
        <f>EXP(-LN(2)/2)*CM93+(1-EXP(-LN(2)/2))/(LN(2)/2)*CG94*CJ94*VLOOKUP('Données projet'!$B$12,Paramètres!$A$1:$I$89,3,0)*0.475*44/12</f>
        <v>3.4658337246154187E-9</v>
      </c>
      <c r="CN94" s="22">
        <f t="shared" si="66"/>
        <v>2.4288730030280297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7.5871794871794922</v>
      </c>
      <c r="CT94" s="12">
        <f>IF('Données projet'!$A$140&gt;35,CT93+CS94-DB93,IF(A94&lt;'Données projet'!$A$140,$CQ$205^A94,IF(A94='Données projet'!$A$140,'Données projet'!$B$140,CT93+CS94-DB93)))</f>
        <v>285.16410256410245</v>
      </c>
      <c r="CU94" s="17">
        <f>CT94*VLOOKUP('Données projet'!$B$13,Paramètres!$A$1:$I$89,3,0)*VLOOKUP('Données projet'!$B$13,Paramètres!$A$1:$I$89,5,0)</f>
        <v>258.01647999999989</v>
      </c>
      <c r="CV94" s="13">
        <f t="shared" si="95"/>
        <v>62.299383385500001</v>
      </c>
      <c r="CW94" s="20">
        <f t="shared" si="67"/>
        <v>557.88346206307892</v>
      </c>
      <c r="CX94" s="59">
        <f t="shared" si="68"/>
        <v>851.21679539641218</v>
      </c>
      <c r="CY94" s="59">
        <f ca="1">AVERAGE(OFFSET($CX$3,0,0,'Données projet'!$E$13+1,1))-AVERAGE(OFFSET($H$3,0,0,'Données projet'!$E$13+1,1))</f>
        <v>309.07357540707869</v>
      </c>
      <c r="CZ94" s="59">
        <f t="shared" si="96"/>
        <v>155.9593924683299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2.9</v>
      </c>
      <c r="DO94" s="12">
        <f>IF('Données projet'!$A$166&gt;35,DO93+DN94-DW93,IF(A94&lt;'Données projet'!$A$166,$DL$205^A94,IF(A94='Données projet'!$A$166,'Données projet'!$B$166,DO93+DN94-DW93)))</f>
        <v>224.89999999999981</v>
      </c>
      <c r="DP94" s="17">
        <f>DO94*VLOOKUP('Données projet'!$B$14,Paramètres!$A$1:$I$89,3,0)*VLOOKUP('Données projet'!$B$14,Paramètres!$A$1:$I$89,5,0)</f>
        <v>196.47263999999984</v>
      </c>
      <c r="DQ94" s="13">
        <f t="shared" si="97"/>
        <v>48.96815976786322</v>
      </c>
      <c r="DR94" s="20">
        <f t="shared" si="70"/>
        <v>427.47605959569478</v>
      </c>
      <c r="DS94" s="59">
        <f t="shared" si="71"/>
        <v>720.80939292902804</v>
      </c>
      <c r="DT94" s="59">
        <f ca="1">AVERAGE(OFFSET($DS$3,0,0,'Données projet'!$E$14+1,1))-AVERAGE(OFFSET($H$3,0,0,'Données projet'!$E$14+1,1))</f>
        <v>210.07838338464626</v>
      </c>
      <c r="DU94" s="59">
        <f t="shared" si="98"/>
        <v>241.76003724236273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1.5835852254206402</v>
      </c>
      <c r="EB94" s="21">
        <f>EXP(-LN(2)/25)*EB93+(1-EXP(-LN(2)/25))/(LN(2)/25)*Calculateur!DW94*Calculateur!DY94*VLOOKUP('Données projet'!$B$14,Paramètres!$A$1:$I$89,3,0)*0.475*44/12</f>
        <v>2.4988691718008136</v>
      </c>
      <c r="EC94" s="21">
        <f>EXP(-LN(2)/2)*EC93+(1-EXP(-LN(2)/2))/(LN(2)/2)*DW94*DZ94*VLOOKUP('Données projet'!$B$14,Paramètres!$A$1:$I$89,3,0)*0.475*44/12</f>
        <v>1.0517893869938623E-8</v>
      </c>
      <c r="ED94" s="22">
        <f t="shared" si="72"/>
        <v>4.0824544077393483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6.2527760746888816E-13</v>
      </c>
      <c r="EK94" s="17">
        <f>EJ94*VLOOKUP('Données projet'!$B$15,Paramètres!$A$1:$I$89,3,0)*VLOOKUP('Données projet'!$B$15,Paramètres!$A$1:$I$89,5,0)</f>
        <v>3.9017322706058616E-13</v>
      </c>
      <c r="EL94" s="13">
        <f t="shared" si="99"/>
        <v>5.0025007393608908E-12</v>
      </c>
      <c r="EM94" s="20">
        <f t="shared" si="73"/>
        <v>9.3922404915174053E-12</v>
      </c>
      <c r="EN94" s="59">
        <f t="shared" si="74"/>
        <v>293.33333333334269</v>
      </c>
      <c r="EO94" s="59">
        <f ca="1">AVERAGE(OFFSET($EN$3,0,0,'Données projet'!$E$15+1,1))-AVERAGE(OFFSET($H$3,0,0,'Données projet'!$E$15+1,1))</f>
        <v>209.93608079129638</v>
      </c>
      <c r="EP94" s="59">
        <f t="shared" si="100"/>
        <v>240.15652428700969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2.0774948412011689</v>
      </c>
      <c r="EW94" s="21">
        <f>EXP(-LN(2)/25)*EW93+(1-EXP(-LN(2)/25))/(LN(2)/25)*Calculateur!ER94*Calculateur!ET94*VLOOKUP('Données projet'!$B$15,Paramètres!$A$1:$I$89,3,0)*0.475*44/12</f>
        <v>3.8308716914075198</v>
      </c>
      <c r="EX94" s="21">
        <f>EXP(-LN(2)/2)*EX93+(1-EXP(-LN(2)/2))/(LN(2)/2)*ER94*EU94*VLOOKUP('Données projet'!$B$15,Paramètres!$A$1:$I$89,3,0)*0.475*44/12</f>
        <v>1.3296550661663923E-8</v>
      </c>
      <c r="EY94" s="22">
        <f t="shared" si="75"/>
        <v>5.9083665459052392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5.6843418860808015E-14</v>
      </c>
      <c r="O95" s="13">
        <f>N95*VLOOKUP('Données projet'!$B$9,Paramètres!$A$1:$I$89,3,0)*VLOOKUP('Données projet'!$B$9,Paramètres!$A$1:$I$89,5,0)</f>
        <v>4.5224624045658861E-14</v>
      </c>
      <c r="P95" s="13">
        <f t="shared" si="87"/>
        <v>7.4514601661523691E-13</v>
      </c>
      <c r="Q95" s="20">
        <f t="shared" si="54"/>
        <v>1.3765621991510601E-12</v>
      </c>
      <c r="R95" s="59">
        <f t="shared" si="55"/>
        <v>293.33333333333468</v>
      </c>
      <c r="S95" s="59">
        <f ca="1">AVERAGE(OFFSET($R$3,0,0,'Données projet'!$E$9+1,1))-AVERAGE(OFFSET($H$3,0,0,'Données projet'!$E$9+1,1))</f>
        <v>199.58763537752952</v>
      </c>
      <c r="T95" s="59">
        <f t="shared" si="88"/>
        <v>242.62852778451929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</v>
      </c>
      <c r="AA95" s="21">
        <f>EXP(-LN(2)/25)*AA94+(1-EXP(-LN(2)/25))/(LN(2)/25)*Calculateur!V95*Calculateur!X95*VLOOKUP('Données projet'!$B$9,Paramètres!$A$1:$I$89,3,0)*0.475*44/12</f>
        <v>1.8431660091920434</v>
      </c>
      <c r="AB95" s="21">
        <f>EXP(-LN(2)/2)*AB94+(1-EXP(-LN(2)/2))/(LN(2)/2)*V95*Y95*VLOOKUP('Données projet'!$B$9,Paramètres!$A$1:$I$89,3,0)*0.475*44/12</f>
        <v>5.0112411348243337E-9</v>
      </c>
      <c r="AC95" s="22">
        <f t="shared" si="57"/>
        <v>1.8431660142032846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13.9</v>
      </c>
      <c r="AI95" s="13">
        <f>IF('Données projet'!$A$62&gt;35,AI94+AH95-AQ94,IF(A95&lt;'Données projet'!$A$62,$AF$205^A95,IF(A95='Données projet'!$A$62,'Données projet'!$B$62,AI94+AH95-AQ94)))</f>
        <v>545.80000000000018</v>
      </c>
      <c r="AJ95" s="13">
        <f>AI95*VLOOKUP('Données projet'!$B$10,Paramètres!$A$1:$I$89,3,0)*VLOOKUP('Données projet'!$B$10,Paramètres!$A$1:$I$89,5,0)</f>
        <v>326.38840000000016</v>
      </c>
      <c r="AK95" s="13">
        <f t="shared" si="89"/>
        <v>76.681051456851932</v>
      </c>
      <c r="AL95" s="20">
        <f t="shared" si="58"/>
        <v>702.01262795401738</v>
      </c>
      <c r="AM95" s="59">
        <f t="shared" si="59"/>
        <v>995.34596128735075</v>
      </c>
      <c r="AN95" s="59">
        <f ca="1">AVERAGE(OFFSET($AM$3,0,0,'Données projet'!$E$10+1,1))-AVERAGE(OFFSET($H$3,0,0,'Données projet'!$E$10+1,1))</f>
        <v>287.78657453117694</v>
      </c>
      <c r="AO95" s="59">
        <f t="shared" si="90"/>
        <v>153.31562485362252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0.85743808827891432</v>
      </c>
      <c r="AV95" s="21">
        <f>EXP(-LN(2)/25)*AV94+(1-EXP(-LN(2)/25))/(LN(2)/25)*Calculateur!AQ95*Calculateur!AS95*VLOOKUP('Données projet'!$B$10,Paramètres!$A$1:$I$89,3,0)*0.475*44/12</f>
        <v>1.0452451350389107</v>
      </c>
      <c r="AW95" s="21">
        <f>EXP(-LN(2)/2)*AW94+(1-EXP(-LN(2)/2))/(LN(2)/2)*AQ95*AT95*VLOOKUP('Données projet'!$B$10,Paramètres!$A$1:$I$89,3,0)*0.475*44/12</f>
        <v>5.1707162467304679E-9</v>
      </c>
      <c r="AX95" s="21">
        <f t="shared" si="60"/>
        <v>1.9026832284885413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-1.1368683772161603E-13</v>
      </c>
      <c r="BE95" s="13">
        <f>BD95*VLOOKUP('Données projet'!$B$11,Paramètres!$A$1:$I$89,3,0)*VLOOKUP('Données projet'!$B$11,Paramètres!$A$1:$I$89,5,0)</f>
        <v>-6.7984728957526396E-14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250.93905519128998</v>
      </c>
      <c r="BJ95" s="59">
        <f t="shared" si="92"/>
        <v>222.32879462265032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0.37525846094518717</v>
      </c>
      <c r="BQ95" s="21">
        <f>EXP(-LN(2)/25)*BQ94+(1-EXP(-LN(2)/25))/(LN(2)/25)*Calculateur!BL95*Calculateur!BN95*VLOOKUP('Données projet'!$B$11,Paramètres!$A$1:$I$89,3,0)*0.475*44/12</f>
        <v>2.0746998779050001</v>
      </c>
      <c r="BR95" s="21">
        <f>EXP(-LN(2)/2)*BR94+(1-EXP(-LN(2)/2))/(LN(2)/2)*BL95*BO95*VLOOKUP('Données projet'!$B$11,Paramètres!$A$1:$I$89,3,0)*0.475*44/12</f>
        <v>8.7887912562418377E-10</v>
      </c>
      <c r="BS95" s="22">
        <f t="shared" si="63"/>
        <v>2.4499583397290663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-2.8421709430404007E-13</v>
      </c>
      <c r="BZ95" s="13">
        <f>BY95*VLOOKUP('Données projet'!$B$12,Paramètres!$A$1:$I$89,3,0)*VLOOKUP('Données projet'!$B$12,Paramètres!$A$1:$I$89,5,0)</f>
        <v>-1.69961822393816E-13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179.32848817523677</v>
      </c>
      <c r="CE95" s="59">
        <f t="shared" si="94"/>
        <v>131.3292389103035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2.3624553396602876</v>
      </c>
      <c r="CM95" s="21">
        <f>EXP(-LN(2)/2)*CM94+(1-EXP(-LN(2)/2))/(LN(2)/2)*CG95*CJ95*VLOOKUP('Données projet'!$B$12,Paramètres!$A$1:$I$89,3,0)*0.475*44/12</f>
        <v>2.4507145291405918E-9</v>
      </c>
      <c r="CN95" s="22">
        <f t="shared" si="66"/>
        <v>2.3624553421110024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7.5871794871794922</v>
      </c>
      <c r="CT95" s="12">
        <f>IF('Données projet'!$A$140&gt;35,CT94+CS95-DB94,IF(A95&lt;'Données projet'!$A$140,$CQ$205^A95,IF(A95='Données projet'!$A$140,'Données projet'!$B$140,CT94+CS95-DB94)))</f>
        <v>292.75128205128192</v>
      </c>
      <c r="CU95" s="17">
        <f>CT95*VLOOKUP('Données projet'!$B$13,Paramètres!$A$1:$I$89,3,0)*VLOOKUP('Données projet'!$B$13,Paramètres!$A$1:$I$89,5,0)</f>
        <v>264.88135999999986</v>
      </c>
      <c r="CV95" s="13">
        <f t="shared" si="95"/>
        <v>63.761757576825389</v>
      </c>
      <c r="CW95" s="20">
        <f t="shared" si="67"/>
        <v>572.38676311297058</v>
      </c>
      <c r="CX95" s="59">
        <f t="shared" si="68"/>
        <v>865.72009644630384</v>
      </c>
      <c r="CY95" s="59">
        <f ca="1">AVERAGE(OFFSET($CX$3,0,0,'Données projet'!$E$13+1,1))-AVERAGE(OFFSET($H$3,0,0,'Données projet'!$E$13+1,1))</f>
        <v>309.07357540707869</v>
      </c>
      <c r="CZ95" s="59">
        <f t="shared" si="96"/>
        <v>155.9593924683299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2.9</v>
      </c>
      <c r="DO95" s="12">
        <f>IF('Données projet'!$A$166&gt;35,DO94+DN95-DW94,IF(A95&lt;'Données projet'!$A$166,$DL$205^A95,IF(A95='Données projet'!$A$166,'Données projet'!$B$166,DO94+DN95-DW94)))</f>
        <v>227.79999999999981</v>
      </c>
      <c r="DP95" s="17">
        <f>DO95*VLOOKUP('Données projet'!$B$14,Paramètres!$A$1:$I$89,3,0)*VLOOKUP('Données projet'!$B$14,Paramètres!$A$1:$I$89,5,0)</f>
        <v>199.00607999999988</v>
      </c>
      <c r="DQ95" s="13">
        <f t="shared" si="97"/>
        <v>49.525670897514985</v>
      </c>
      <c r="DR95" s="20">
        <f t="shared" si="70"/>
        <v>432.8594661465051</v>
      </c>
      <c r="DS95" s="59">
        <f t="shared" si="71"/>
        <v>726.19279947983841</v>
      </c>
      <c r="DT95" s="59">
        <f ca="1">AVERAGE(OFFSET($DS$3,0,0,'Données projet'!$E$14+1,1))-AVERAGE(OFFSET($H$3,0,0,'Données projet'!$E$14+1,1))</f>
        <v>210.07838338464626</v>
      </c>
      <c r="DU95" s="59">
        <f t="shared" si="98"/>
        <v>241.76003724236273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1.552532085041755</v>
      </c>
      <c r="EB95" s="21">
        <f>EXP(-LN(2)/25)*EB94+(1-EXP(-LN(2)/25))/(LN(2)/25)*Calculateur!DW95*Calculateur!DY95*VLOOKUP('Données projet'!$B$14,Paramètres!$A$1:$I$89,3,0)*0.475*44/12</f>
        <v>2.4305374628881018</v>
      </c>
      <c r="EC95" s="21">
        <f>EXP(-LN(2)/2)*EC94+(1-EXP(-LN(2)/2))/(LN(2)/2)*DW95*DZ95*VLOOKUP('Données projet'!$B$14,Paramètres!$A$1:$I$89,3,0)*0.475*44/12</f>
        <v>7.4372740792340199E-9</v>
      </c>
      <c r="ED95" s="22">
        <f t="shared" si="72"/>
        <v>3.9830695553671305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6.2527760746888816E-13</v>
      </c>
      <c r="EK95" s="17">
        <f>EJ95*VLOOKUP('Données projet'!$B$15,Paramètres!$A$1:$I$89,3,0)*VLOOKUP('Données projet'!$B$15,Paramètres!$A$1:$I$89,5,0)</f>
        <v>3.9017322706058616E-13</v>
      </c>
      <c r="EL95" s="13">
        <f t="shared" si="99"/>
        <v>5.0025007393608908E-12</v>
      </c>
      <c r="EM95" s="20">
        <f t="shared" si="73"/>
        <v>9.3922404915174053E-12</v>
      </c>
      <c r="EN95" s="59">
        <f t="shared" si="74"/>
        <v>293.33333333334269</v>
      </c>
      <c r="EO95" s="59">
        <f ca="1">AVERAGE(OFFSET($EN$3,0,0,'Données projet'!$E$15+1,1))-AVERAGE(OFFSET($H$3,0,0,'Données projet'!$E$15+1,1))</f>
        <v>209.93608079129638</v>
      </c>
      <c r="EP95" s="59">
        <f t="shared" si="100"/>
        <v>240.15652428700969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2.0367564345119469</v>
      </c>
      <c r="EW95" s="21">
        <f>EXP(-LN(2)/25)*EW94+(1-EXP(-LN(2)/25))/(LN(2)/25)*Calculateur!ER95*Calculateur!ET95*VLOOKUP('Données projet'!$B$15,Paramètres!$A$1:$I$89,3,0)*0.475*44/12</f>
        <v>3.7261163035491944</v>
      </c>
      <c r="EX95" s="21">
        <f>EXP(-LN(2)/2)*EX94+(1-EXP(-LN(2)/2))/(LN(2)/2)*ER95*EU95*VLOOKUP('Données projet'!$B$15,Paramètres!$A$1:$I$89,3,0)*0.475*44/12</f>
        <v>9.4020811392530352E-9</v>
      </c>
      <c r="EY95" s="22">
        <f t="shared" si="75"/>
        <v>5.7628727474632218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5.6843418860808015E-14</v>
      </c>
      <c r="O96" s="13">
        <f>N96*VLOOKUP('Données projet'!$B$9,Paramètres!$A$1:$I$89,3,0)*VLOOKUP('Données projet'!$B$9,Paramètres!$A$1:$I$89,5,0)</f>
        <v>4.5224624045658861E-14</v>
      </c>
      <c r="P96" s="13">
        <f t="shared" si="87"/>
        <v>7.4514601661523691E-13</v>
      </c>
      <c r="Q96" s="20">
        <f t="shared" si="54"/>
        <v>1.3765621991510601E-12</v>
      </c>
      <c r="R96" s="59">
        <f t="shared" si="55"/>
        <v>293.33333333333468</v>
      </c>
      <c r="S96" s="59">
        <f ca="1">AVERAGE(OFFSET($R$3,0,0,'Données projet'!$E$9+1,1))-AVERAGE(OFFSET($H$3,0,0,'Données projet'!$E$9+1,1))</f>
        <v>199.58763537752952</v>
      </c>
      <c r="T96" s="59">
        <f t="shared" si="88"/>
        <v>242.62852778451929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</v>
      </c>
      <c r="AA96" s="21">
        <f>EXP(-LN(2)/25)*AA95+(1-EXP(-LN(2)/25))/(LN(2)/25)*Calculateur!V96*Calculateur!X96*VLOOKUP('Données projet'!$B$9,Paramètres!$A$1:$I$89,3,0)*0.475*44/12</f>
        <v>1.7927645377427992</v>
      </c>
      <c r="AB96" s="21">
        <f>EXP(-LN(2)/2)*AB95+(1-EXP(-LN(2)/2))/(LN(2)/2)*V96*Y96*VLOOKUP('Données projet'!$B$9,Paramètres!$A$1:$I$89,3,0)*0.475*44/12</f>
        <v>3.5434825885952562E-9</v>
      </c>
      <c r="AC96" s="22">
        <f t="shared" si="57"/>
        <v>1.7927645412862818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13.9</v>
      </c>
      <c r="AI96" s="13">
        <f>IF('Données projet'!$A$62&gt;35,AI95+AH96-AQ95,IF(A96&lt;'Données projet'!$A$62,$AF$205^A96,IF(A96='Données projet'!$A$62,'Données projet'!$B$62,AI95+AH96-AQ95)))</f>
        <v>559.70000000000016</v>
      </c>
      <c r="AJ96" s="13">
        <f>AI96*VLOOKUP('Données projet'!$B$10,Paramètres!$A$1:$I$89,3,0)*VLOOKUP('Données projet'!$B$10,Paramètres!$A$1:$I$89,5,0)</f>
        <v>334.70060000000012</v>
      </c>
      <c r="AK96" s="13">
        <f t="shared" si="89"/>
        <v>78.40405781058351</v>
      </c>
      <c r="AL96" s="20">
        <f t="shared" si="58"/>
        <v>719.49061235343299</v>
      </c>
      <c r="AM96" s="59">
        <f t="shared" si="59"/>
        <v>1012.8239456867664</v>
      </c>
      <c r="AN96" s="59">
        <f ca="1">AVERAGE(OFFSET($AM$3,0,0,'Données projet'!$E$10+1,1))-AVERAGE(OFFSET($H$3,0,0,'Données projet'!$E$10+1,1))</f>
        <v>287.78657453117694</v>
      </c>
      <c r="AO96" s="59">
        <f t="shared" si="90"/>
        <v>153.31562485362252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0.84062425035335808</v>
      </c>
      <c r="AV96" s="21">
        <f>EXP(-LN(2)/25)*AV95+(1-EXP(-LN(2)/25))/(LN(2)/25)*Calculateur!AQ96*Calculateur!AS96*VLOOKUP('Données projet'!$B$10,Paramètres!$A$1:$I$89,3,0)*0.475*44/12</f>
        <v>1.0166628518542189</v>
      </c>
      <c r="AW96" s="21">
        <f>EXP(-LN(2)/2)*AW95+(1-EXP(-LN(2)/2))/(LN(2)/2)*AQ96*AT96*VLOOKUP('Données projet'!$B$10,Paramètres!$A$1:$I$89,3,0)*0.475*44/12</f>
        <v>3.6562485216545673E-9</v>
      </c>
      <c r="AX96" s="21">
        <f t="shared" si="60"/>
        <v>1.8572871058638254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-1.1368683772161603E-13</v>
      </c>
      <c r="BE96" s="13">
        <f>BD96*VLOOKUP('Données projet'!$B$11,Paramètres!$A$1:$I$89,3,0)*VLOOKUP('Données projet'!$B$11,Paramètres!$A$1:$I$89,5,0)</f>
        <v>-6.7984728957526396E-14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250.93905519128998</v>
      </c>
      <c r="BJ96" s="59">
        <f t="shared" si="92"/>
        <v>222.32879462265032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0.36789987141111269</v>
      </c>
      <c r="BQ96" s="21">
        <f>EXP(-LN(2)/25)*BQ95+(1-EXP(-LN(2)/25))/(LN(2)/25)*Calculateur!BL96*Calculateur!BN96*VLOOKUP('Données projet'!$B$11,Paramètres!$A$1:$I$89,3,0)*0.475*44/12</f>
        <v>2.0179671006399631</v>
      </c>
      <c r="BR96" s="21">
        <f>EXP(-LN(2)/2)*BR95+(1-EXP(-LN(2)/2))/(LN(2)/2)*BL96*BO96*VLOOKUP('Données projet'!$B$11,Paramètres!$A$1:$I$89,3,0)*0.475*44/12</f>
        <v>6.2146138957216392E-10</v>
      </c>
      <c r="BS96" s="22">
        <f t="shared" si="63"/>
        <v>2.3858669726725372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-2.8421709430404007E-13</v>
      </c>
      <c r="BZ96" s="13">
        <f>BY96*VLOOKUP('Données projet'!$B$12,Paramètres!$A$1:$I$89,3,0)*VLOOKUP('Données projet'!$B$12,Paramètres!$A$1:$I$89,5,0)</f>
        <v>-1.69961822393816E-13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179.32848817523677</v>
      </c>
      <c r="CE96" s="59">
        <f t="shared" si="94"/>
        <v>131.3292389103035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2.2978538741611501</v>
      </c>
      <c r="CM96" s="21">
        <f>EXP(-LN(2)/2)*CM95+(1-EXP(-LN(2)/2))/(LN(2)/2)*CG96*CJ96*VLOOKUP('Données projet'!$B$12,Paramètres!$A$1:$I$89,3,0)*0.475*44/12</f>
        <v>1.7329168623077093E-9</v>
      </c>
      <c r="CN96" s="22">
        <f t="shared" si="66"/>
        <v>2.297853875894067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7.5871794871794922</v>
      </c>
      <c r="CT96" s="12">
        <f>IF('Données projet'!$A$140&gt;35,CT95+CS96-DB95,IF(A96&lt;'Données projet'!$A$140,$CQ$205^A96,IF(A96='Données projet'!$A$140,'Données projet'!$B$140,CT95+CS96-DB95)))</f>
        <v>300.33846153846139</v>
      </c>
      <c r="CU96" s="17">
        <f>CT96*VLOOKUP('Données projet'!$B$13,Paramètres!$A$1:$I$89,3,0)*VLOOKUP('Données projet'!$B$13,Paramètres!$A$1:$I$89,5,0)</f>
        <v>271.74623999999983</v>
      </c>
      <c r="CV96" s="13">
        <f t="shared" si="95"/>
        <v>65.219726325816325</v>
      </c>
      <c r="CW96" s="20">
        <f t="shared" si="67"/>
        <v>586.88239135079641</v>
      </c>
      <c r="CX96" s="59">
        <f t="shared" si="68"/>
        <v>880.21572468412978</v>
      </c>
      <c r="CY96" s="59">
        <f ca="1">AVERAGE(OFFSET($CX$3,0,0,'Données projet'!$E$13+1,1))-AVERAGE(OFFSET($H$3,0,0,'Données projet'!$E$13+1,1))</f>
        <v>309.07357540707869</v>
      </c>
      <c r="CZ96" s="59">
        <f t="shared" si="96"/>
        <v>155.9593924683299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2.9</v>
      </c>
      <c r="DO96" s="12">
        <f>IF('Données projet'!$A$166&gt;35,DO95+DN96-DW95,IF(A96&lt;'Données projet'!$A$166,$DL$205^A96,IF(A96='Données projet'!$A$166,'Données projet'!$B$166,DO95+DN96-DW95)))</f>
        <v>230.69999999999982</v>
      </c>
      <c r="DP96" s="17">
        <f>DO96*VLOOKUP('Données projet'!$B$14,Paramètres!$A$1:$I$89,3,0)*VLOOKUP('Données projet'!$B$14,Paramètres!$A$1:$I$89,5,0)</f>
        <v>201.5395199999999</v>
      </c>
      <c r="DQ96" s="13">
        <f t="shared" si="97"/>
        <v>50.082356480800321</v>
      </c>
      <c r="DR96" s="20">
        <f t="shared" si="70"/>
        <v>438.24143487072706</v>
      </c>
      <c r="DS96" s="59">
        <f t="shared" si="71"/>
        <v>731.57476820406032</v>
      </c>
      <c r="DT96" s="59">
        <f ca="1">AVERAGE(OFFSET($DS$3,0,0,'Données projet'!$E$14+1,1))-AVERAGE(OFFSET($H$3,0,0,'Données projet'!$E$14+1,1))</f>
        <v>210.07838338464626</v>
      </c>
      <c r="DU96" s="59">
        <f t="shared" si="98"/>
        <v>241.76003724236273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1.5220878778051543</v>
      </c>
      <c r="EB96" s="21">
        <f>EXP(-LN(2)/25)*EB95+(1-EXP(-LN(2)/25))/(LN(2)/25)*Calculateur!DW96*Calculateur!DY96*VLOOKUP('Données projet'!$B$14,Paramètres!$A$1:$I$89,3,0)*0.475*44/12</f>
        <v>2.3640742881490167</v>
      </c>
      <c r="EC96" s="21">
        <f>EXP(-LN(2)/2)*EC95+(1-EXP(-LN(2)/2))/(LN(2)/2)*DW96*DZ96*VLOOKUP('Données projet'!$B$14,Paramètres!$A$1:$I$89,3,0)*0.475*44/12</f>
        <v>5.2589469349693124E-9</v>
      </c>
      <c r="ED96" s="22">
        <f t="shared" si="72"/>
        <v>3.886162171213118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6.2527760746888816E-13</v>
      </c>
      <c r="EK96" s="17">
        <f>EJ96*VLOOKUP('Données projet'!$B$15,Paramètres!$A$1:$I$89,3,0)*VLOOKUP('Données projet'!$B$15,Paramètres!$A$1:$I$89,5,0)</f>
        <v>3.9017322706058616E-13</v>
      </c>
      <c r="EL96" s="13">
        <f t="shared" si="99"/>
        <v>5.0025007393608908E-12</v>
      </c>
      <c r="EM96" s="20">
        <f t="shared" si="73"/>
        <v>9.3922404915174053E-12</v>
      </c>
      <c r="EN96" s="59">
        <f t="shared" si="74"/>
        <v>293.33333333334269</v>
      </c>
      <c r="EO96" s="59">
        <f ca="1">AVERAGE(OFFSET($EN$3,0,0,'Données projet'!$E$15+1,1))-AVERAGE(OFFSET($H$3,0,0,'Données projet'!$E$15+1,1))</f>
        <v>209.93608079129638</v>
      </c>
      <c r="EP96" s="59">
        <f t="shared" si="100"/>
        <v>240.15652428700969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1.9968168831299258</v>
      </c>
      <c r="EW96" s="21">
        <f>EXP(-LN(2)/25)*EW95+(1-EXP(-LN(2)/25))/(LN(2)/25)*Calculateur!ER96*Calculateur!ET96*VLOOKUP('Données projet'!$B$15,Paramètres!$A$1:$I$89,3,0)*0.475*44/12</f>
        <v>3.6242254572807013</v>
      </c>
      <c r="EX96" s="21">
        <f>EXP(-LN(2)/2)*EX95+(1-EXP(-LN(2)/2))/(LN(2)/2)*ER96*EU96*VLOOKUP('Données projet'!$B$15,Paramètres!$A$1:$I$89,3,0)*0.475*44/12</f>
        <v>6.6482753308319615E-9</v>
      </c>
      <c r="EY96" s="22">
        <f t="shared" si="75"/>
        <v>5.6210423470589026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5.6843418860808015E-14</v>
      </c>
      <c r="O97" s="13">
        <f>N97*VLOOKUP('Données projet'!$B$9,Paramètres!$A$1:$I$89,3,0)*VLOOKUP('Données projet'!$B$9,Paramètres!$A$1:$I$89,5,0)</f>
        <v>4.5224624045658861E-14</v>
      </c>
      <c r="P97" s="13">
        <f t="shared" si="87"/>
        <v>7.4514601661523691E-13</v>
      </c>
      <c r="Q97" s="20">
        <f t="shared" si="54"/>
        <v>1.3765621991510601E-12</v>
      </c>
      <c r="R97" s="59">
        <f t="shared" si="55"/>
        <v>293.33333333333468</v>
      </c>
      <c r="S97" s="59">
        <f ca="1">AVERAGE(OFFSET($R$3,0,0,'Données projet'!$E$9+1,1))-AVERAGE(OFFSET($H$3,0,0,'Données projet'!$E$9+1,1))</f>
        <v>199.58763537752952</v>
      </c>
      <c r="T97" s="59">
        <f t="shared" si="88"/>
        <v>242.62852778451929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</v>
      </c>
      <c r="AA97" s="21">
        <f>EXP(-LN(2)/25)*AA96+(1-EXP(-LN(2)/25))/(LN(2)/25)*Calculateur!V97*Calculateur!X97*VLOOKUP('Données projet'!$B$9,Paramètres!$A$1:$I$89,3,0)*0.475*44/12</f>
        <v>1.7437412971808328</v>
      </c>
      <c r="AB97" s="21">
        <f>EXP(-LN(2)/2)*AB96+(1-EXP(-LN(2)/2))/(LN(2)/2)*V97*Y97*VLOOKUP('Données projet'!$B$9,Paramètres!$A$1:$I$89,3,0)*0.475*44/12</f>
        <v>2.5056205674121668E-9</v>
      </c>
      <c r="AC97" s="22">
        <f t="shared" si="57"/>
        <v>1.7437412996864534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13.9</v>
      </c>
      <c r="AI97" s="13">
        <f>IF('Données projet'!$A$62&gt;35,AI96+AH97-AQ96,IF(A97&lt;'Données projet'!$A$62,$AF$205^A97,IF(A97='Données projet'!$A$62,'Données projet'!$B$62,AI96+AH97-AQ96)))</f>
        <v>573.60000000000014</v>
      </c>
      <c r="AJ97" s="13">
        <f>AI97*VLOOKUP('Données projet'!$B$10,Paramètres!$A$1:$I$89,3,0)*VLOOKUP('Données projet'!$B$10,Paramètres!$A$1:$I$89,5,0)</f>
        <v>343.01280000000008</v>
      </c>
      <c r="AK97" s="13">
        <f t="shared" si="89"/>
        <v>80.122090013313951</v>
      </c>
      <c r="AL97" s="20">
        <f t="shared" si="58"/>
        <v>736.95993343985526</v>
      </c>
      <c r="AM97" s="59">
        <f t="shared" si="59"/>
        <v>1030.2932667731886</v>
      </c>
      <c r="AN97" s="59">
        <f ca="1">AVERAGE(OFFSET($AM$3,0,0,'Données projet'!$E$10+1,1))-AVERAGE(OFFSET($H$3,0,0,'Données projet'!$E$10+1,1))</f>
        <v>287.78657453117694</v>
      </c>
      <c r="AO97" s="59">
        <f t="shared" si="90"/>
        <v>153.31562485362252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0.82414012153409355</v>
      </c>
      <c r="AV97" s="21">
        <f>EXP(-LN(2)/25)*AV96+(1-EXP(-LN(2)/25))/(LN(2)/25)*Calculateur!AQ97*Calculateur!AS97*VLOOKUP('Données projet'!$B$10,Paramètres!$A$1:$I$89,3,0)*0.475*44/12</f>
        <v>0.98886215270628952</v>
      </c>
      <c r="AW97" s="21">
        <f>EXP(-LN(2)/2)*AW96+(1-EXP(-LN(2)/2))/(LN(2)/2)*AQ97*AT97*VLOOKUP('Données projet'!$B$10,Paramètres!$A$1:$I$89,3,0)*0.475*44/12</f>
        <v>2.5853581233652343E-9</v>
      </c>
      <c r="AX97" s="21">
        <f t="shared" si="60"/>
        <v>1.8130022768257412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-1.1368683772161603E-13</v>
      </c>
      <c r="BE97" s="13">
        <f>BD97*VLOOKUP('Données projet'!$B$11,Paramètres!$A$1:$I$89,3,0)*VLOOKUP('Données projet'!$B$11,Paramètres!$A$1:$I$89,5,0)</f>
        <v>-6.7984728957526396E-14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250.93905519128998</v>
      </c>
      <c r="BJ97" s="59">
        <f t="shared" si="92"/>
        <v>222.32879462265032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0.36068557932950501</v>
      </c>
      <c r="BQ97" s="21">
        <f>EXP(-LN(2)/25)*BQ96+(1-EXP(-LN(2)/25))/(LN(2)/25)*Calculateur!BL97*Calculateur!BN97*VLOOKUP('Données projet'!$B$11,Paramètres!$A$1:$I$89,3,0)*0.475*44/12</f>
        <v>1.9627856841526856</v>
      </c>
      <c r="BR97" s="21">
        <f>EXP(-LN(2)/2)*BR96+(1-EXP(-LN(2)/2))/(LN(2)/2)*BL97*BO97*VLOOKUP('Données projet'!$B$11,Paramètres!$A$1:$I$89,3,0)*0.475*44/12</f>
        <v>4.3943956281209188E-10</v>
      </c>
      <c r="BS97" s="22">
        <f t="shared" si="63"/>
        <v>2.3234712639216304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-2.8421709430404007E-13</v>
      </c>
      <c r="BZ97" s="13">
        <f>BY97*VLOOKUP('Données projet'!$B$12,Paramètres!$A$1:$I$89,3,0)*VLOOKUP('Données projet'!$B$12,Paramètres!$A$1:$I$89,5,0)</f>
        <v>-1.69961822393816E-13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179.32848817523677</v>
      </c>
      <c r="CE97" s="59">
        <f t="shared" si="94"/>
        <v>131.3292389103035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2.2350189391333299</v>
      </c>
      <c r="CM97" s="21">
        <f>EXP(-LN(2)/2)*CM96+(1-EXP(-LN(2)/2))/(LN(2)/2)*CG97*CJ97*VLOOKUP('Données projet'!$B$12,Paramètres!$A$1:$I$89,3,0)*0.475*44/12</f>
        <v>1.2253572645702959E-9</v>
      </c>
      <c r="CN97" s="22">
        <f t="shared" si="66"/>
        <v>2.2350189403586871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7.5871794871794922</v>
      </c>
      <c r="CT97" s="12">
        <f>IF('Données projet'!$A$140&gt;35,CT96+CS97-DB96,IF(A97&lt;'Données projet'!$A$140,$CQ$205^A97,IF(A97='Données projet'!$A$140,'Données projet'!$B$140,CT96+CS97-DB96)))</f>
        <v>307.92564102564086</v>
      </c>
      <c r="CU97" s="17">
        <f>CT97*VLOOKUP('Données projet'!$B$13,Paramètres!$A$1:$I$89,3,0)*VLOOKUP('Données projet'!$B$13,Paramètres!$A$1:$I$89,5,0)</f>
        <v>278.6111199999998</v>
      </c>
      <c r="CV97" s="13">
        <f t="shared" si="95"/>
        <v>66.673413721636678</v>
      </c>
      <c r="CW97" s="20">
        <f t="shared" si="67"/>
        <v>601.37056289851682</v>
      </c>
      <c r="CX97" s="59">
        <f t="shared" si="68"/>
        <v>894.70389623185019</v>
      </c>
      <c r="CY97" s="59">
        <f ca="1">AVERAGE(OFFSET($CX$3,0,0,'Données projet'!$E$13+1,1))-AVERAGE(OFFSET($H$3,0,0,'Données projet'!$E$13+1,1))</f>
        <v>309.07357540707869</v>
      </c>
      <c r="CZ97" s="59">
        <f t="shared" si="96"/>
        <v>155.9593924683299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2.9</v>
      </c>
      <c r="DO97" s="12">
        <f>IF('Données projet'!$A$166&gt;35,DO96+DN97-DW96,IF(A97&lt;'Données projet'!$A$166,$DL$205^A97,IF(A97='Données projet'!$A$166,'Données projet'!$B$166,DO96+DN97-DW96)))</f>
        <v>233.59999999999982</v>
      </c>
      <c r="DP97" s="17">
        <f>DO97*VLOOKUP('Données projet'!$B$14,Paramètres!$A$1:$I$89,3,0)*VLOOKUP('Données projet'!$B$14,Paramètres!$A$1:$I$89,5,0)</f>
        <v>204.07295999999988</v>
      </c>
      <c r="DQ97" s="13">
        <f t="shared" si="97"/>
        <v>50.638228095278592</v>
      </c>
      <c r="DR97" s="20">
        <f t="shared" si="70"/>
        <v>443.62198593261002</v>
      </c>
      <c r="DS97" s="59">
        <f t="shared" si="71"/>
        <v>736.95531926594333</v>
      </c>
      <c r="DT97" s="59">
        <f ca="1">AVERAGE(OFFSET($DS$3,0,0,'Données projet'!$E$14+1,1))-AVERAGE(OFFSET($H$3,0,0,'Données projet'!$E$14+1,1))</f>
        <v>210.07838338464626</v>
      </c>
      <c r="DU97" s="59">
        <f t="shared" si="98"/>
        <v>241.76003724236273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1.4922406629033307</v>
      </c>
      <c r="EB97" s="21">
        <f>EXP(-LN(2)/25)*EB96+(1-EXP(-LN(2)/25))/(LN(2)/25)*Calculateur!DW97*Calculateur!DY97*VLOOKUP('Données projet'!$B$14,Paramètres!$A$1:$I$89,3,0)*0.475*44/12</f>
        <v>2.299428552418318</v>
      </c>
      <c r="EC97" s="21">
        <f>EXP(-LN(2)/2)*EC96+(1-EXP(-LN(2)/2))/(LN(2)/2)*DW97*DZ97*VLOOKUP('Données projet'!$B$14,Paramètres!$A$1:$I$89,3,0)*0.475*44/12</f>
        <v>3.7186370396170108E-9</v>
      </c>
      <c r="ED97" s="22">
        <f t="shared" si="72"/>
        <v>3.7916692190402856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6.2527760746888816E-13</v>
      </c>
      <c r="EK97" s="17">
        <f>EJ97*VLOOKUP('Données projet'!$B$15,Paramètres!$A$1:$I$89,3,0)*VLOOKUP('Données projet'!$B$15,Paramètres!$A$1:$I$89,5,0)</f>
        <v>3.9017322706058616E-13</v>
      </c>
      <c r="EL97" s="13">
        <f t="shared" si="99"/>
        <v>5.0025007393608908E-12</v>
      </c>
      <c r="EM97" s="20">
        <f t="shared" si="73"/>
        <v>9.3922404915174053E-12</v>
      </c>
      <c r="EN97" s="59">
        <f t="shared" si="74"/>
        <v>293.33333333334269</v>
      </c>
      <c r="EO97" s="59">
        <f ca="1">AVERAGE(OFFSET($EN$3,0,0,'Données projet'!$E$15+1,1))-AVERAGE(OFFSET($H$3,0,0,'Données projet'!$E$15+1,1))</f>
        <v>209.93608079129638</v>
      </c>
      <c r="EP97" s="59">
        <f t="shared" si="100"/>
        <v>240.15652428700969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1.9576605219897854</v>
      </c>
      <c r="EW97" s="21">
        <f>EXP(-LN(2)/25)*EW96+(1-EXP(-LN(2)/25))/(LN(2)/25)*Calculateur!ER97*Calculateur!ET97*VLOOKUP('Données projet'!$B$15,Paramètres!$A$1:$I$89,3,0)*0.475*44/12</f>
        <v>3.525120821561627</v>
      </c>
      <c r="EX97" s="21">
        <f>EXP(-LN(2)/2)*EX96+(1-EXP(-LN(2)/2))/(LN(2)/2)*ER97*EU97*VLOOKUP('Données projet'!$B$15,Paramètres!$A$1:$I$89,3,0)*0.475*44/12</f>
        <v>4.7010405696265176E-9</v>
      </c>
      <c r="EY97" s="22">
        <f t="shared" si="75"/>
        <v>5.4827813482524528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5.6843418860808015E-14</v>
      </c>
      <c r="O98" s="13">
        <f>N98*VLOOKUP('Données projet'!$B$9,Paramètres!$A$1:$I$89,3,0)*VLOOKUP('Données projet'!$B$9,Paramètres!$A$1:$I$89,5,0)</f>
        <v>4.5224624045658861E-14</v>
      </c>
      <c r="P98" s="13">
        <f t="shared" si="87"/>
        <v>7.4514601661523691E-13</v>
      </c>
      <c r="Q98" s="20">
        <f t="shared" si="54"/>
        <v>1.3765621991510601E-12</v>
      </c>
      <c r="R98" s="59">
        <f t="shared" si="55"/>
        <v>293.33333333333468</v>
      </c>
      <c r="S98" s="59">
        <f ca="1">AVERAGE(OFFSET($R$3,0,0,'Données projet'!$E$9+1,1))-AVERAGE(OFFSET($H$3,0,0,'Données projet'!$E$9+1,1))</f>
        <v>199.58763537752952</v>
      </c>
      <c r="T98" s="59">
        <f t="shared" si="88"/>
        <v>242.62852778451929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</v>
      </c>
      <c r="AA98" s="21">
        <f>EXP(-LN(2)/25)*AA97+(1-EXP(-LN(2)/25))/(LN(2)/25)*Calculateur!V98*Calculateur!X98*VLOOKUP('Données projet'!$B$9,Paramètres!$A$1:$I$89,3,0)*0.475*44/12</f>
        <v>1.6960585997100535</v>
      </c>
      <c r="AB98" s="21">
        <f>EXP(-LN(2)/2)*AB97+(1-EXP(-LN(2)/2))/(LN(2)/2)*V98*Y98*VLOOKUP('Données projet'!$B$9,Paramètres!$A$1:$I$89,3,0)*0.475*44/12</f>
        <v>1.7717412942976281E-9</v>
      </c>
      <c r="AC98" s="22">
        <f t="shared" si="57"/>
        <v>1.6960586014817947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13.9</v>
      </c>
      <c r="AI98" s="13">
        <f>IF('Données projet'!$A$62&gt;35,AI97+AH98-AQ97,IF(A98&lt;'Données projet'!$A$62,$AF$205^A98,IF(A98='Données projet'!$A$62,'Données projet'!$B$62,AI97+AH98-AQ97)))</f>
        <v>587.50000000000011</v>
      </c>
      <c r="AJ98" s="13">
        <f>AI98*VLOOKUP('Données projet'!$B$10,Paramètres!$A$1:$I$89,3,0)*VLOOKUP('Données projet'!$B$10,Paramètres!$A$1:$I$89,5,0)</f>
        <v>351.3250000000001</v>
      </c>
      <c r="AK98" s="13">
        <f t="shared" si="89"/>
        <v>81.835282470855944</v>
      </c>
      <c r="AL98" s="20">
        <f t="shared" si="58"/>
        <v>754.42082530340758</v>
      </c>
      <c r="AM98" s="59">
        <f t="shared" si="59"/>
        <v>1047.7541586367408</v>
      </c>
      <c r="AN98" s="59">
        <f ca="1">AVERAGE(OFFSET($AM$3,0,0,'Données projet'!$E$10+1,1))-AVERAGE(OFFSET($H$3,0,0,'Données projet'!$E$10+1,1))</f>
        <v>287.78657453117694</v>
      </c>
      <c r="AO98" s="59">
        <f t="shared" si="90"/>
        <v>153.31562485362252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0.80797923642664904</v>
      </c>
      <c r="AV98" s="21">
        <f>EXP(-LN(2)/25)*AV97+(1-EXP(-LN(2)/25))/(LN(2)/25)*Calculateur!AQ98*Calculateur!AS98*VLOOKUP('Données projet'!$B$10,Paramètres!$A$1:$I$89,3,0)*0.475*44/12</f>
        <v>0.96182166513853551</v>
      </c>
      <c r="AW98" s="21">
        <f>EXP(-LN(2)/2)*AW97+(1-EXP(-LN(2)/2))/(LN(2)/2)*AQ98*AT98*VLOOKUP('Données projet'!$B$10,Paramètres!$A$1:$I$89,3,0)*0.475*44/12</f>
        <v>1.8281242608272841E-9</v>
      </c>
      <c r="AX98" s="21">
        <f t="shared" si="60"/>
        <v>1.7698009033933089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-1.1368683772161603E-13</v>
      </c>
      <c r="BE98" s="13">
        <f>BD98*VLOOKUP('Données projet'!$B$11,Paramètres!$A$1:$I$89,3,0)*VLOOKUP('Données projet'!$B$11,Paramètres!$A$1:$I$89,5,0)</f>
        <v>-6.7984728957526396E-14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250.93905519128998</v>
      </c>
      <c r="BJ98" s="59">
        <f t="shared" si="92"/>
        <v>222.32879462265032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0.35361275511533397</v>
      </c>
      <c r="BQ98" s="21">
        <f>EXP(-LN(2)/25)*BQ97+(1-EXP(-LN(2)/25))/(LN(2)/25)*Calculateur!BL98*Calculateur!BN98*VLOOKUP('Données projet'!$B$11,Paramètres!$A$1:$I$89,3,0)*0.475*44/12</f>
        <v>1.9091132064011174</v>
      </c>
      <c r="BR98" s="21">
        <f>EXP(-LN(2)/2)*BR97+(1-EXP(-LN(2)/2))/(LN(2)/2)*BL98*BO98*VLOOKUP('Données projet'!$B$11,Paramètres!$A$1:$I$89,3,0)*0.475*44/12</f>
        <v>3.1073069478608196E-10</v>
      </c>
      <c r="BS98" s="22">
        <f t="shared" si="63"/>
        <v>2.262725961827182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-2.8421709430404007E-13</v>
      </c>
      <c r="BZ98" s="13">
        <f>BY98*VLOOKUP('Données projet'!$B$12,Paramètres!$A$1:$I$89,3,0)*VLOOKUP('Données projet'!$B$12,Paramètres!$A$1:$I$89,5,0)</f>
        <v>-1.69961822393816E-13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179.32848817523677</v>
      </c>
      <c r="CE98" s="59">
        <f t="shared" si="94"/>
        <v>131.3292389103035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2.1739022287081911</v>
      </c>
      <c r="CM98" s="21">
        <f>EXP(-LN(2)/2)*CM97+(1-EXP(-LN(2)/2))/(LN(2)/2)*CG98*CJ98*VLOOKUP('Données projet'!$B$12,Paramètres!$A$1:$I$89,3,0)*0.475*44/12</f>
        <v>8.6645843115385467E-10</v>
      </c>
      <c r="CN98" s="22">
        <f t="shared" si="66"/>
        <v>2.1739022295746495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7.5871794871794922</v>
      </c>
      <c r="CT98" s="12">
        <f>IF('Données projet'!$A$140&gt;35,CT97+CS98-DB97,IF(A98&lt;'Données projet'!$A$140,$CQ$205^A98,IF(A98='Données projet'!$A$140,'Données projet'!$B$140,CT97+CS98-DB97)))</f>
        <v>315.51282051282033</v>
      </c>
      <c r="CU98" s="17">
        <f>CT98*VLOOKUP('Données projet'!$B$13,Paramètres!$A$1:$I$89,3,0)*VLOOKUP('Données projet'!$B$13,Paramètres!$A$1:$I$89,5,0)</f>
        <v>285.47599999999983</v>
      </c>
      <c r="CV98" s="13">
        <f t="shared" si="95"/>
        <v>68.122937389828735</v>
      </c>
      <c r="CW98" s="20">
        <f t="shared" si="67"/>
        <v>615.85148262061796</v>
      </c>
      <c r="CX98" s="59">
        <f t="shared" si="68"/>
        <v>909.18481595395133</v>
      </c>
      <c r="CY98" s="59">
        <f ca="1">AVERAGE(OFFSET($CX$3,0,0,'Données projet'!$E$13+1,1))-AVERAGE(OFFSET($H$3,0,0,'Données projet'!$E$13+1,1))</f>
        <v>309.07357540707869</v>
      </c>
      <c r="CZ98" s="59">
        <f t="shared" si="96"/>
        <v>155.9593924683299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2.9</v>
      </c>
      <c r="DO98" s="12">
        <f>IF('Données projet'!$A$166&gt;35,DO97+DN98-DW97,IF(A98&lt;'Données projet'!$A$166,$DL$205^A98,IF(A98='Données projet'!$A$166,'Données projet'!$B$166,DO97+DN98-DW97)))</f>
        <v>236.49999999999983</v>
      </c>
      <c r="DP98" s="17">
        <f>DO98*VLOOKUP('Données projet'!$B$14,Paramètres!$A$1:$I$89,3,0)*VLOOKUP('Données projet'!$B$14,Paramètres!$A$1:$I$89,5,0)</f>
        <v>206.60639999999987</v>
      </c>
      <c r="DQ98" s="13">
        <f t="shared" si="97"/>
        <v>51.193297014518976</v>
      </c>
      <c r="DR98" s="20">
        <f t="shared" si="70"/>
        <v>449.00113896695365</v>
      </c>
      <c r="DS98" s="59">
        <f t="shared" si="71"/>
        <v>742.33447230028696</v>
      </c>
      <c r="DT98" s="59">
        <f ca="1">AVERAGE(OFFSET($DS$3,0,0,'Données projet'!$E$14+1,1))-AVERAGE(OFFSET($H$3,0,0,'Données projet'!$E$14+1,1))</f>
        <v>210.07838338464626</v>
      </c>
      <c r="DU98" s="59">
        <f t="shared" si="98"/>
        <v>241.76003724236273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1.4629787336807283</v>
      </c>
      <c r="EB98" s="21">
        <f>EXP(-LN(2)/25)*EB97+(1-EXP(-LN(2)/25))/(LN(2)/25)*Calculateur!DW98*Calculateur!DY98*VLOOKUP('Données projet'!$B$14,Paramètres!$A$1:$I$89,3,0)*0.475*44/12</f>
        <v>2.2365505577307467</v>
      </c>
      <c r="EC98" s="21">
        <f>EXP(-LN(2)/2)*EC97+(1-EXP(-LN(2)/2))/(LN(2)/2)*DW98*DZ98*VLOOKUP('Données projet'!$B$14,Paramètres!$A$1:$I$89,3,0)*0.475*44/12</f>
        <v>2.6294734674846566E-9</v>
      </c>
      <c r="ED98" s="22">
        <f t="shared" si="72"/>
        <v>3.6995292940409485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6.2527760746888816E-13</v>
      </c>
      <c r="EK98" s="17">
        <f>EJ98*VLOOKUP('Données projet'!$B$15,Paramètres!$A$1:$I$89,3,0)*VLOOKUP('Données projet'!$B$15,Paramètres!$A$1:$I$89,5,0)</f>
        <v>3.9017322706058616E-13</v>
      </c>
      <c r="EL98" s="13">
        <f t="shared" si="99"/>
        <v>5.0025007393608908E-12</v>
      </c>
      <c r="EM98" s="20">
        <f t="shared" si="73"/>
        <v>9.3922404915174053E-12</v>
      </c>
      <c r="EN98" s="59">
        <f t="shared" si="74"/>
        <v>293.33333333334269</v>
      </c>
      <c r="EO98" s="59">
        <f ca="1">AVERAGE(OFFSET($EN$3,0,0,'Données projet'!$E$15+1,1))-AVERAGE(OFFSET($H$3,0,0,'Données projet'!$E$15+1,1))</f>
        <v>209.93608079129638</v>
      </c>
      <c r="EP98" s="59">
        <f t="shared" si="100"/>
        <v>240.15652428700969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1.9192719932085809</v>
      </c>
      <c r="EW98" s="21">
        <f>EXP(-LN(2)/25)*EW97+(1-EXP(-LN(2)/25))/(LN(2)/25)*Calculateur!ER98*Calculateur!ET98*VLOOKUP('Données projet'!$B$15,Paramètres!$A$1:$I$89,3,0)*0.475*44/12</f>
        <v>3.4287262073179772</v>
      </c>
      <c r="EX98" s="21">
        <f>EXP(-LN(2)/2)*EX97+(1-EXP(-LN(2)/2))/(LN(2)/2)*ER98*EU98*VLOOKUP('Données projet'!$B$15,Paramètres!$A$1:$I$89,3,0)*0.475*44/12</f>
        <v>3.3241376654159808E-9</v>
      </c>
      <c r="EY98" s="22">
        <f t="shared" si="75"/>
        <v>5.347998203850695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5.6843418860808015E-14</v>
      </c>
      <c r="O99" s="13">
        <f>N99*VLOOKUP('Données projet'!$B$9,Paramètres!$A$1:$I$89,3,0)*VLOOKUP('Données projet'!$B$9,Paramètres!$A$1:$I$89,5,0)</f>
        <v>4.5224624045658861E-14</v>
      </c>
      <c r="P99" s="13">
        <f t="shared" si="87"/>
        <v>7.4514601661523691E-13</v>
      </c>
      <c r="Q99" s="20">
        <f t="shared" ref="Q99:Q130" si="107">(O99+P99)*0.475*44/12</f>
        <v>1.3765621991510601E-12</v>
      </c>
      <c r="R99" s="59">
        <f t="shared" si="55"/>
        <v>293.33333333333468</v>
      </c>
      <c r="S99" s="59">
        <f ca="1">AVERAGE(OFFSET($R$3,0,0,'Données projet'!$E$9+1,1))-AVERAGE(OFFSET($H$3,0,0,'Données projet'!$E$9+1,1))</f>
        <v>199.58763537752952</v>
      </c>
      <c r="T99" s="59">
        <f t="shared" si="88"/>
        <v>242.62852778451929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</v>
      </c>
      <c r="AA99" s="21">
        <f>EXP(-LN(2)/25)*AA98+(1-EXP(-LN(2)/25))/(LN(2)/25)*Calculateur!V99*Calculateur!X99*VLOOKUP('Données projet'!$B$9,Paramètres!$A$1:$I$89,3,0)*0.475*44/12</f>
        <v>1.6496797881091367</v>
      </c>
      <c r="AB99" s="21">
        <f>EXP(-LN(2)/2)*AB98+(1-EXP(-LN(2)/2))/(LN(2)/2)*V99*Y99*VLOOKUP('Données projet'!$B$9,Paramètres!$A$1:$I$89,3,0)*0.475*44/12</f>
        <v>1.2528102837060834E-9</v>
      </c>
      <c r="AC99" s="22">
        <f t="shared" si="57"/>
        <v>1.649679789361947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13.9</v>
      </c>
      <c r="AI99" s="13">
        <f>IF('Données projet'!$A$62&gt;35,AI98+AH99-AQ98,IF(A99&lt;'Données projet'!$A$62,$AF$205^A99,IF(A99='Données projet'!$A$62,'Données projet'!$B$62,AI98+AH99-AQ98)))</f>
        <v>601.40000000000009</v>
      </c>
      <c r="AJ99" s="13">
        <f>AI99*VLOOKUP('Données projet'!$B$10,Paramètres!$A$1:$I$89,3,0)*VLOOKUP('Données projet'!$B$10,Paramètres!$A$1:$I$89,5,0)</f>
        <v>359.63720000000012</v>
      </c>
      <c r="AK99" s="13">
        <f t="shared" si="89"/>
        <v>83.543762866273951</v>
      </c>
      <c r="AL99" s="20">
        <f t="shared" si="58"/>
        <v>771.87351032542722</v>
      </c>
      <c r="AM99" s="59">
        <f t="shared" si="59"/>
        <v>1065.2068436587606</v>
      </c>
      <c r="AN99" s="59">
        <f ca="1">AVERAGE(OFFSET($AM$3,0,0,'Données projet'!$E$10+1,1))-AVERAGE(OFFSET($H$3,0,0,'Données projet'!$E$10+1,1))</f>
        <v>287.78657453117694</v>
      </c>
      <c r="AO99" s="59">
        <f t="shared" si="90"/>
        <v>153.31562485362252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0.79213525641899485</v>
      </c>
      <c r="AV99" s="21">
        <f>EXP(-LN(2)/25)*AV98+(1-EXP(-LN(2)/25))/(LN(2)/25)*Calculateur!AQ99*Calculateur!AS99*VLOOKUP('Données projet'!$B$10,Paramètres!$A$1:$I$89,3,0)*0.475*44/12</f>
        <v>0.93552060112531921</v>
      </c>
      <c r="AW99" s="21">
        <f>EXP(-LN(2)/2)*AW98+(1-EXP(-LN(2)/2))/(LN(2)/2)*AQ99*AT99*VLOOKUP('Données projet'!$B$10,Paramètres!$A$1:$I$89,3,0)*0.475*44/12</f>
        <v>1.2926790616826174E-9</v>
      </c>
      <c r="AX99" s="21">
        <f t="shared" si="60"/>
        <v>1.7276558588369932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-1.1368683772161603E-13</v>
      </c>
      <c r="BE99" s="13">
        <f>BD99*VLOOKUP('Données projet'!$B$11,Paramètres!$A$1:$I$89,3,0)*VLOOKUP('Données projet'!$B$11,Paramètres!$A$1:$I$89,5,0)</f>
        <v>-6.7984728957526396E-14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250.93905519128998</v>
      </c>
      <c r="BJ99" s="59">
        <f t="shared" si="92"/>
        <v>222.32879462265032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0.34667862467000599</v>
      </c>
      <c r="BQ99" s="21">
        <f>EXP(-LN(2)/25)*BQ98+(1-EXP(-LN(2)/25))/(LN(2)/25)*Calculateur!BL99*Calculateur!BN99*VLOOKUP('Données projet'!$B$11,Paramètres!$A$1:$I$89,3,0)*0.475*44/12</f>
        <v>1.8569084053761786</v>
      </c>
      <c r="BR99" s="21">
        <f>EXP(-LN(2)/2)*BR98+(1-EXP(-LN(2)/2))/(LN(2)/2)*BL99*BO99*VLOOKUP('Données projet'!$B$11,Paramètres!$A$1:$I$89,3,0)*0.475*44/12</f>
        <v>2.1971978140604594E-10</v>
      </c>
      <c r="BS99" s="22">
        <f t="shared" si="63"/>
        <v>2.2035870302659046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-2.8421709430404007E-13</v>
      </c>
      <c r="BZ99" s="13">
        <f>BY99*VLOOKUP('Données projet'!$B$12,Paramètres!$A$1:$I$89,3,0)*VLOOKUP('Données projet'!$B$12,Paramètres!$A$1:$I$89,5,0)</f>
        <v>-1.69961822393816E-13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179.32848817523677</v>
      </c>
      <c r="CE99" s="59">
        <f t="shared" si="94"/>
        <v>131.3292389103035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2.114456757943616</v>
      </c>
      <c r="CM99" s="21">
        <f>EXP(-LN(2)/2)*CM98+(1-EXP(-LN(2)/2))/(LN(2)/2)*CG99*CJ99*VLOOKUP('Données projet'!$B$12,Paramètres!$A$1:$I$89,3,0)*0.475*44/12</f>
        <v>6.1267863228514796E-10</v>
      </c>
      <c r="CN99" s="22">
        <f t="shared" si="66"/>
        <v>2.1144567585562948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7.5871794871794922</v>
      </c>
      <c r="CT99" s="12">
        <f>IF('Données projet'!$A$140&gt;35,CT98+CS99-DB98,IF(A99&lt;'Données projet'!$A$140,$CQ$205^A99,IF(A99='Données projet'!$A$140,'Données projet'!$B$140,CT98+CS99-DB98)))</f>
        <v>323.0999999999998</v>
      </c>
      <c r="CU99" s="17">
        <f>CT99*VLOOKUP('Données projet'!$B$13,Paramètres!$A$1:$I$89,3,0)*VLOOKUP('Données projet'!$B$13,Paramètres!$A$1:$I$89,5,0)</f>
        <v>292.3408799999998</v>
      </c>
      <c r="CV99" s="13">
        <f t="shared" si="95"/>
        <v>69.568408976210563</v>
      </c>
      <c r="CW99" s="20">
        <f t="shared" si="67"/>
        <v>630.32534496689959</v>
      </c>
      <c r="CX99" s="59">
        <f t="shared" si="68"/>
        <v>923.65867830023285</v>
      </c>
      <c r="CY99" s="59">
        <f ca="1">AVERAGE(OFFSET($CX$3,0,0,'Données projet'!$E$13+1,1))-AVERAGE(OFFSET($H$3,0,0,'Données projet'!$E$13+1,1))</f>
        <v>309.07357540707869</v>
      </c>
      <c r="CZ99" s="59">
        <f t="shared" si="96"/>
        <v>155.9593924683299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2.9</v>
      </c>
      <c r="DO99" s="12">
        <f>IF('Données projet'!$A$166&gt;35,DO98+DN99-DW98,IF(A99&lt;'Données projet'!$A$166,$DL$205^A99,IF(A99='Données projet'!$A$166,'Données projet'!$B$166,DO98+DN99-DW98)))</f>
        <v>239.39999999999984</v>
      </c>
      <c r="DP99" s="17">
        <f>DO99*VLOOKUP('Données projet'!$B$14,Paramètres!$A$1:$I$89,3,0)*VLOOKUP('Données projet'!$B$14,Paramètres!$A$1:$I$89,5,0)</f>
        <v>209.13983999999985</v>
      </c>
      <c r="DQ99" s="13">
        <f t="shared" si="97"/>
        <v>51.747574219710216</v>
      </c>
      <c r="DR99" s="20">
        <f t="shared" si="70"/>
        <v>454.37891309932837</v>
      </c>
      <c r="DS99" s="59">
        <f t="shared" si="71"/>
        <v>747.71224643266169</v>
      </c>
      <c r="DT99" s="59">
        <f ca="1">AVERAGE(OFFSET($DS$3,0,0,'Données projet'!$E$14+1,1))-AVERAGE(OFFSET($H$3,0,0,'Données projet'!$E$14+1,1))</f>
        <v>210.07838338464626</v>
      </c>
      <c r="DU99" s="59">
        <f t="shared" si="98"/>
        <v>241.76003724236273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1.4342906130421667</v>
      </c>
      <c r="EB99" s="21">
        <f>EXP(-LN(2)/25)*EB98+(1-EXP(-LN(2)/25))/(LN(2)/25)*Calculateur!DW99*Calculateur!DY99*VLOOKUP('Données projet'!$B$14,Paramètres!$A$1:$I$89,3,0)*0.475*44/12</f>
        <v>2.1753919651145175</v>
      </c>
      <c r="EC99" s="21">
        <f>EXP(-LN(2)/2)*EC98+(1-EXP(-LN(2)/2))/(LN(2)/2)*DW99*DZ99*VLOOKUP('Données projet'!$B$14,Paramètres!$A$1:$I$89,3,0)*0.475*44/12</f>
        <v>1.8593185198085056E-9</v>
      </c>
      <c r="ED99" s="22">
        <f t="shared" si="72"/>
        <v>3.6096825800160026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6.2527760746888816E-13</v>
      </c>
      <c r="EK99" s="17">
        <f>EJ99*VLOOKUP('Données projet'!$B$15,Paramètres!$A$1:$I$89,3,0)*VLOOKUP('Données projet'!$B$15,Paramètres!$A$1:$I$89,5,0)</f>
        <v>3.9017322706058616E-13</v>
      </c>
      <c r="EL99" s="13">
        <f t="shared" si="99"/>
        <v>5.0025007393608908E-12</v>
      </c>
      <c r="EM99" s="20">
        <f t="shared" si="73"/>
        <v>9.3922404915174053E-12</v>
      </c>
      <c r="EN99" s="59">
        <f t="shared" si="74"/>
        <v>293.33333333334269</v>
      </c>
      <c r="EO99" s="59">
        <f ca="1">AVERAGE(OFFSET($EN$3,0,0,'Données projet'!$E$15+1,1))-AVERAGE(OFFSET($H$3,0,0,'Données projet'!$E$15+1,1))</f>
        <v>209.93608079129638</v>
      </c>
      <c r="EP99" s="59">
        <f t="shared" si="100"/>
        <v>240.15652428700969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1.8816362400620854</v>
      </c>
      <c r="EW99" s="21">
        <f>EXP(-LN(2)/25)*EW98+(1-EXP(-LN(2)/25))/(LN(2)/25)*Calculateur!ER99*Calculateur!ET99*VLOOKUP('Données projet'!$B$15,Paramètres!$A$1:$I$89,3,0)*0.475*44/12</f>
        <v>3.3349675088699922</v>
      </c>
      <c r="EX99" s="21">
        <f>EXP(-LN(2)/2)*EX98+(1-EXP(-LN(2)/2))/(LN(2)/2)*ER99*EU99*VLOOKUP('Données projet'!$B$15,Paramètres!$A$1:$I$89,3,0)*0.475*44/12</f>
        <v>2.3505202848132588E-9</v>
      </c>
      <c r="EY99" s="22">
        <f t="shared" si="75"/>
        <v>5.216603751282598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5.6843418860808015E-14</v>
      </c>
      <c r="O100" s="13">
        <f>N100*VLOOKUP('Données projet'!$B$9,Paramètres!$A$1:$I$89,3,0)*VLOOKUP('Données projet'!$B$9,Paramètres!$A$1:$I$89,5,0)</f>
        <v>4.5224624045658861E-14</v>
      </c>
      <c r="P100" s="13">
        <f t="shared" si="87"/>
        <v>7.4514601661523691E-13</v>
      </c>
      <c r="Q100" s="20">
        <f t="shared" si="107"/>
        <v>1.3765621991510601E-12</v>
      </c>
      <c r="R100" s="59">
        <f t="shared" si="55"/>
        <v>293.33333333333468</v>
      </c>
      <c r="S100" s="59">
        <f ca="1">AVERAGE(OFFSET($R$3,0,0,'Données projet'!$E$9+1,1))-AVERAGE(OFFSET($H$3,0,0,'Données projet'!$E$9+1,1))</f>
        <v>199.58763537752952</v>
      </c>
      <c r="T100" s="59">
        <f t="shared" si="88"/>
        <v>242.62852778451929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</v>
      </c>
      <c r="AA100" s="21">
        <f>EXP(-LN(2)/25)*AA99+(1-EXP(-LN(2)/25))/(LN(2)/25)*Calculateur!V100*Calculateur!X100*VLOOKUP('Données projet'!$B$9,Paramètres!$A$1:$I$89,3,0)*0.475*44/12</f>
        <v>1.6045692075504028</v>
      </c>
      <c r="AB100" s="21">
        <f>EXP(-LN(2)/2)*AB99+(1-EXP(-LN(2)/2))/(LN(2)/2)*V100*Y100*VLOOKUP('Données projet'!$B$9,Paramètres!$A$1:$I$89,3,0)*0.475*44/12</f>
        <v>8.8587064714881406E-10</v>
      </c>
      <c r="AC100" s="22">
        <f t="shared" si="57"/>
        <v>1.6045692084362735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13.9</v>
      </c>
      <c r="AI100" s="13">
        <f>IF('Données projet'!$A$62&gt;35,AI99+AH100-AQ99,IF(A100&lt;'Données projet'!$A$62,$AF$205^A100,IF(A100='Données projet'!$A$62,'Données projet'!$B$62,AI99+AH100-AQ99)))</f>
        <v>615.30000000000007</v>
      </c>
      <c r="AJ100" s="13">
        <f>AI100*VLOOKUP('Données projet'!$B$10,Paramètres!$A$1:$I$89,3,0)*VLOOKUP('Données projet'!$B$10,Paramètres!$A$1:$I$89,5,0)</f>
        <v>367.94940000000008</v>
      </c>
      <c r="AK100" s="13">
        <f t="shared" si="89"/>
        <v>85.247652643636087</v>
      </c>
      <c r="AL100" s="20">
        <f t="shared" si="58"/>
        <v>789.3182000209996</v>
      </c>
      <c r="AM100" s="59">
        <f t="shared" si="59"/>
        <v>1082.651533354333</v>
      </c>
      <c r="AN100" s="59">
        <f ca="1">AVERAGE(OFFSET($AM$3,0,0,'Données projet'!$E$10+1,1))-AVERAGE(OFFSET($H$3,0,0,'Données projet'!$E$10+1,1))</f>
        <v>287.78657453117694</v>
      </c>
      <c r="AO100" s="59">
        <f t="shared" si="90"/>
        <v>153.31562485362252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0.77660196719541719</v>
      </c>
      <c r="AV100" s="21">
        <f>EXP(-LN(2)/25)*AV99+(1-EXP(-LN(2)/25))/(LN(2)/25)*Calculateur!AQ100*Calculateur!AS100*VLOOKUP('Données projet'!$B$10,Paramètres!$A$1:$I$89,3,0)*0.475*44/12</f>
        <v>0.90993874109065709</v>
      </c>
      <c r="AW100" s="21">
        <f>EXP(-LN(2)/2)*AW99+(1-EXP(-LN(2)/2))/(LN(2)/2)*AQ100*AT100*VLOOKUP('Données projet'!$B$10,Paramètres!$A$1:$I$89,3,0)*0.475*44/12</f>
        <v>9.1406213041364213E-10</v>
      </c>
      <c r="AX100" s="21">
        <f t="shared" si="60"/>
        <v>1.6865407092001363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-1.1368683772161603E-13</v>
      </c>
      <c r="BE100" s="13">
        <f>BD100*VLOOKUP('Données projet'!$B$11,Paramètres!$A$1:$I$89,3,0)*VLOOKUP('Données projet'!$B$11,Paramètres!$A$1:$I$89,5,0)</f>
        <v>-6.7984728957526396E-14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250.93905519128998</v>
      </c>
      <c r="BJ100" s="59">
        <f t="shared" si="92"/>
        <v>222.32879462265032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0.33988046829330898</v>
      </c>
      <c r="BQ100" s="21">
        <f>EXP(-LN(2)/25)*BQ99+(1-EXP(-LN(2)/25))/(LN(2)/25)*Calculateur!BL100*Calculateur!BN100*VLOOKUP('Données projet'!$B$11,Paramètres!$A$1:$I$89,3,0)*0.475*44/12</f>
        <v>1.8061311473805981</v>
      </c>
      <c r="BR100" s="21">
        <f>EXP(-LN(2)/2)*BR99+(1-EXP(-LN(2)/2))/(LN(2)/2)*BL100*BO100*VLOOKUP('Données projet'!$B$11,Paramètres!$A$1:$I$89,3,0)*0.475*44/12</f>
        <v>1.5536534739304098E-10</v>
      </c>
      <c r="BS100" s="22">
        <f t="shared" si="63"/>
        <v>2.1460116158292726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-2.8421709430404007E-13</v>
      </c>
      <c r="BZ100" s="13">
        <f>BY100*VLOOKUP('Données projet'!$B$12,Paramètres!$A$1:$I$89,3,0)*VLOOKUP('Données projet'!$B$12,Paramètres!$A$1:$I$89,5,0)</f>
        <v>-1.69961822393816E-13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179.32848817523677</v>
      </c>
      <c r="CE100" s="59">
        <f t="shared" si="94"/>
        <v>131.3292389103035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2.0566368267031994</v>
      </c>
      <c r="CM100" s="21">
        <f>EXP(-LN(2)/2)*CM99+(1-EXP(-LN(2)/2))/(LN(2)/2)*CG100*CJ100*VLOOKUP('Données projet'!$B$12,Paramètres!$A$1:$I$89,3,0)*0.475*44/12</f>
        <v>4.3322921557692733E-10</v>
      </c>
      <c r="CN100" s="22">
        <f t="shared" si="66"/>
        <v>2.0566368271364284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7.5871794871794922</v>
      </c>
      <c r="CT100" s="12">
        <f>IF('Données projet'!$A$140&gt;35,CT99+CS100-DB99,IF(A100&lt;'Données projet'!$A$140,$CQ$205^A100,IF(A100='Données projet'!$A$140,'Données projet'!$B$140,CT99+CS100-DB99)))</f>
        <v>330.68717948717926</v>
      </c>
      <c r="CU100" s="17">
        <f>CT100*VLOOKUP('Données projet'!$B$13,Paramètres!$A$1:$I$89,3,0)*VLOOKUP('Données projet'!$B$13,Paramètres!$A$1:$I$89,5,0)</f>
        <v>299.20575999999983</v>
      </c>
      <c r="CV100" s="13">
        <f t="shared" si="95"/>
        <v>71.009934584041005</v>
      </c>
      <c r="CW100" s="20">
        <f t="shared" si="67"/>
        <v>644.79233473387114</v>
      </c>
      <c r="CX100" s="59">
        <f t="shared" si="68"/>
        <v>938.12566806720451</v>
      </c>
      <c r="CY100" s="59">
        <f ca="1">AVERAGE(OFFSET($CX$3,0,0,'Données projet'!$E$13+1,1))-AVERAGE(OFFSET($H$3,0,0,'Données projet'!$E$13+1,1))</f>
        <v>309.07357540707869</v>
      </c>
      <c r="CZ100" s="59">
        <f t="shared" si="96"/>
        <v>155.9593924683299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2.9</v>
      </c>
      <c r="DO100" s="12">
        <f>IF('Données projet'!$A$166&gt;35,DO99+DN100-DW99,IF(A100&lt;'Données projet'!$A$166,$DL$205^A100,IF(A100='Données projet'!$A$166,'Données projet'!$B$166,DO99+DN100-DW99)))</f>
        <v>242.29999999999984</v>
      </c>
      <c r="DP100" s="17">
        <f>DO100*VLOOKUP('Données projet'!$B$14,Paramètres!$A$1:$I$89,3,0)*VLOOKUP('Données projet'!$B$14,Paramètres!$A$1:$I$89,5,0)</f>
        <v>211.67327999999989</v>
      </c>
      <c r="DQ100" s="13">
        <f t="shared" si="97"/>
        <v>52.301070410691352</v>
      </c>
      <c r="DR100" s="20">
        <f t="shared" si="70"/>
        <v>459.75532696528722</v>
      </c>
      <c r="DS100" s="59">
        <f t="shared" si="71"/>
        <v>753.08866029862054</v>
      </c>
      <c r="DT100" s="59">
        <f ca="1">AVERAGE(OFFSET($DS$3,0,0,'Données projet'!$E$14+1,1))-AVERAGE(OFFSET($H$3,0,0,'Données projet'!$E$14+1,1))</f>
        <v>210.07838338464626</v>
      </c>
      <c r="DU100" s="59">
        <f t="shared" si="98"/>
        <v>241.76003724236273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1.4061650489513013</v>
      </c>
      <c r="EB100" s="21">
        <f>EXP(-LN(2)/25)*EB99+(1-EXP(-LN(2)/25))/(LN(2)/25)*Calculateur!DW100*Calculateur!DY100*VLOOKUP('Données projet'!$B$14,Paramètres!$A$1:$I$89,3,0)*0.475*44/12</f>
        <v>2.1159057574295694</v>
      </c>
      <c r="EC100" s="21">
        <f>EXP(-LN(2)/2)*EC99+(1-EXP(-LN(2)/2))/(LN(2)/2)*DW100*DZ100*VLOOKUP('Données projet'!$B$14,Paramètres!$A$1:$I$89,3,0)*0.475*44/12</f>
        <v>1.3147367337423285E-9</v>
      </c>
      <c r="ED100" s="22">
        <f t="shared" si="72"/>
        <v>3.5220708076956075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6.2527760746888816E-13</v>
      </c>
      <c r="EK100" s="17">
        <f>EJ100*VLOOKUP('Données projet'!$B$15,Paramètres!$A$1:$I$89,3,0)*VLOOKUP('Données projet'!$B$15,Paramètres!$A$1:$I$89,5,0)</f>
        <v>3.9017322706058616E-13</v>
      </c>
      <c r="EL100" s="13">
        <f t="shared" si="99"/>
        <v>5.0025007393608908E-12</v>
      </c>
      <c r="EM100" s="20">
        <f t="shared" si="73"/>
        <v>9.3922404915174053E-12</v>
      </c>
      <c r="EN100" s="59">
        <f t="shared" si="74"/>
        <v>293.33333333334269</v>
      </c>
      <c r="EO100" s="59">
        <f ca="1">AVERAGE(OFFSET($EN$3,0,0,'Données projet'!$E$15+1,1))-AVERAGE(OFFSET($H$3,0,0,'Données projet'!$E$15+1,1))</f>
        <v>209.93608079129638</v>
      </c>
      <c r="EP100" s="59">
        <f t="shared" si="100"/>
        <v>240.15652428700969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1.8447385010792499</v>
      </c>
      <c r="EW100" s="21">
        <f>EXP(-LN(2)/25)*EW99+(1-EXP(-LN(2)/25))/(LN(2)/25)*Calculateur!ER100*Calculateur!ET100*VLOOKUP('Données projet'!$B$15,Paramètres!$A$1:$I$89,3,0)*0.475*44/12</f>
        <v>3.2437726469616233</v>
      </c>
      <c r="EX100" s="21">
        <f>EXP(-LN(2)/2)*EX99+(1-EXP(-LN(2)/2))/(LN(2)/2)*ER100*EU100*VLOOKUP('Données projet'!$B$15,Paramètres!$A$1:$I$89,3,0)*0.475*44/12</f>
        <v>1.6620688327079904E-9</v>
      </c>
      <c r="EY100" s="22">
        <f t="shared" si="75"/>
        <v>5.088511149702942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5.6843418860808015E-14</v>
      </c>
      <c r="O101" s="13">
        <f>N101*VLOOKUP('Données projet'!$B$9,Paramètres!$A$1:$I$89,3,0)*VLOOKUP('Données projet'!$B$9,Paramètres!$A$1:$I$89,5,0)</f>
        <v>4.5224624045658861E-14</v>
      </c>
      <c r="P101" s="13">
        <f t="shared" si="87"/>
        <v>7.4514601661523691E-13</v>
      </c>
      <c r="Q101" s="20">
        <f t="shared" si="107"/>
        <v>1.3765621991510601E-12</v>
      </c>
      <c r="R101" s="59">
        <f t="shared" si="55"/>
        <v>293.33333333333468</v>
      </c>
      <c r="S101" s="59">
        <f ca="1">AVERAGE(OFFSET($R$3,0,0,'Données projet'!$E$9+1,1))-AVERAGE(OFFSET($H$3,0,0,'Données projet'!$E$9+1,1))</f>
        <v>199.58763537752952</v>
      </c>
      <c r="T101" s="59">
        <f t="shared" si="88"/>
        <v>242.62852778451929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</v>
      </c>
      <c r="AA101" s="21">
        <f>EXP(-LN(2)/25)*AA100+(1-EXP(-LN(2)/25))/(LN(2)/25)*Calculateur!V101*Calculateur!X101*VLOOKUP('Données projet'!$B$9,Paramètres!$A$1:$I$89,3,0)*0.475*44/12</f>
        <v>1.5606921781893097</v>
      </c>
      <c r="AB101" s="21">
        <f>EXP(-LN(2)/2)*AB100+(1-EXP(-LN(2)/2))/(LN(2)/2)*V101*Y101*VLOOKUP('Données projet'!$B$9,Paramètres!$A$1:$I$89,3,0)*0.475*44/12</f>
        <v>6.2640514185304171E-10</v>
      </c>
      <c r="AC101" s="22">
        <f t="shared" si="57"/>
        <v>1.5606921788157149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13.9</v>
      </c>
      <c r="AI101" s="13">
        <f>IF('Données projet'!$A$62&gt;35,AI100+AH101-AQ100,IF(A101&lt;'Données projet'!$A$62,$AF$205^A101,IF(A101='Données projet'!$A$62,'Données projet'!$B$62,AI100+AH101-AQ100)))</f>
        <v>629.20000000000005</v>
      </c>
      <c r="AJ101" s="13">
        <f>AI101*VLOOKUP('Données projet'!$B$10,Paramètres!$A$1:$I$89,3,0)*VLOOKUP('Données projet'!$B$10,Paramètres!$A$1:$I$89,5,0)</f>
        <v>376.26160000000004</v>
      </c>
      <c r="AK101" s="13">
        <f t="shared" si="89"/>
        <v>86.947067446821109</v>
      </c>
      <c r="AL101" s="20">
        <f t="shared" si="58"/>
        <v>806.75509580321352</v>
      </c>
      <c r="AM101" s="59">
        <f t="shared" si="59"/>
        <v>1100.0884291365469</v>
      </c>
      <c r="AN101" s="59">
        <f ca="1">AVERAGE(OFFSET($AM$3,0,0,'Données projet'!$E$10+1,1))-AVERAGE(OFFSET($H$3,0,0,'Données projet'!$E$10+1,1))</f>
        <v>287.78657453117694</v>
      </c>
      <c r="AO101" s="59">
        <f t="shared" si="90"/>
        <v>153.31562485362252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0.76137327629914298</v>
      </c>
      <c r="AV101" s="21">
        <f>EXP(-LN(2)/25)*AV100+(1-EXP(-LN(2)/25))/(LN(2)/25)*Calculateur!AQ101*Calculateur!AS101*VLOOKUP('Données projet'!$B$10,Paramètres!$A$1:$I$89,3,0)*0.475*44/12</f>
        <v>0.88505641836393434</v>
      </c>
      <c r="AW101" s="21">
        <f>EXP(-LN(2)/2)*AW100+(1-EXP(-LN(2)/2))/(LN(2)/2)*AQ101*AT101*VLOOKUP('Données projet'!$B$10,Paramètres!$A$1:$I$89,3,0)*0.475*44/12</f>
        <v>6.4633953084130879E-10</v>
      </c>
      <c r="AX101" s="21">
        <f t="shared" si="60"/>
        <v>1.6464296953094166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-1.1368683772161603E-13</v>
      </c>
      <c r="BE101" s="13">
        <f>BD101*VLOOKUP('Données projet'!$B$11,Paramètres!$A$1:$I$89,3,0)*VLOOKUP('Données projet'!$B$11,Paramètres!$A$1:$I$89,5,0)</f>
        <v>-6.7984728957526396E-14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250.93905519128998</v>
      </c>
      <c r="BJ101" s="59">
        <f t="shared" si="92"/>
        <v>222.32879462265032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0.33321561961669305</v>
      </c>
      <c r="BQ101" s="21">
        <f>EXP(-LN(2)/25)*BQ100+(1-EXP(-LN(2)/25))/(LN(2)/25)*Calculateur!BL101*Calculateur!BN101*VLOOKUP('Données projet'!$B$11,Paramètres!$A$1:$I$89,3,0)*0.475*44/12</f>
        <v>1.7567423961751665</v>
      </c>
      <c r="BR101" s="21">
        <f>EXP(-LN(2)/2)*BR100+(1-EXP(-LN(2)/2))/(LN(2)/2)*BL101*BO101*VLOOKUP('Données projet'!$B$11,Paramètres!$A$1:$I$89,3,0)*0.475*44/12</f>
        <v>1.0985989070302297E-10</v>
      </c>
      <c r="BS101" s="22">
        <f t="shared" si="63"/>
        <v>2.0899580159017193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-2.8421709430404007E-13</v>
      </c>
      <c r="BZ101" s="13">
        <f>BY101*VLOOKUP('Données projet'!$B$12,Paramètres!$A$1:$I$89,3,0)*VLOOKUP('Données projet'!$B$12,Paramètres!$A$1:$I$89,5,0)</f>
        <v>-1.69961822393816E-13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179.32848817523677</v>
      </c>
      <c r="CE101" s="59">
        <f t="shared" si="94"/>
        <v>131.3292389103035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2.0003979845231701</v>
      </c>
      <c r="CM101" s="21">
        <f>EXP(-LN(2)/2)*CM100+(1-EXP(-LN(2)/2))/(LN(2)/2)*CG101*CJ101*VLOOKUP('Données projet'!$B$12,Paramètres!$A$1:$I$89,3,0)*0.475*44/12</f>
        <v>3.0633931614257398E-10</v>
      </c>
      <c r="CN101" s="22">
        <f t="shared" si="66"/>
        <v>2.0003979848295095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7.5871794871794922</v>
      </c>
      <c r="CT101" s="12">
        <f>IF('Données projet'!$A$140&gt;35,CT100+CS101-DB100,IF(A101&lt;'Données projet'!$A$140,$CQ$205^A101,IF(A101='Données projet'!$A$140,'Données projet'!$B$140,CT100+CS101-DB100)))</f>
        <v>338.27435897435873</v>
      </c>
      <c r="CU101" s="17">
        <f>CT101*VLOOKUP('Données projet'!$B$13,Paramètres!$A$1:$I$89,3,0)*VLOOKUP('Données projet'!$B$13,Paramètres!$A$1:$I$89,5,0)</f>
        <v>306.0706399999998</v>
      </c>
      <c r="CV101" s="13">
        <f t="shared" si="95"/>
        <v>72.44761516993232</v>
      </c>
      <c r="CW101" s="20">
        <f t="shared" si="67"/>
        <v>659.25262775429837</v>
      </c>
      <c r="CX101" s="59">
        <f t="shared" si="68"/>
        <v>952.58596108763163</v>
      </c>
      <c r="CY101" s="59">
        <f ca="1">AVERAGE(OFFSET($CX$3,0,0,'Données projet'!$E$13+1,1))-AVERAGE(OFFSET($H$3,0,0,'Données projet'!$E$13+1,1))</f>
        <v>309.07357540707869</v>
      </c>
      <c r="CZ101" s="59">
        <f t="shared" si="96"/>
        <v>155.9593924683299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2.9</v>
      </c>
      <c r="DO101" s="12">
        <f>IF('Données projet'!$A$166&gt;35,DO100+DN101-DW100,IF(A101&lt;'Données projet'!$A$166,$DL$205^A101,IF(A101='Données projet'!$A$166,'Données projet'!$B$166,DO100+DN101-DW100)))</f>
        <v>245.19999999999985</v>
      </c>
      <c r="DP101" s="17">
        <f>DO101*VLOOKUP('Données projet'!$B$14,Paramètres!$A$1:$I$89,3,0)*VLOOKUP('Données projet'!$B$14,Paramètres!$A$1:$I$89,5,0)</f>
        <v>214.2067199999999</v>
      </c>
      <c r="DQ101" s="13">
        <f t="shared" si="97"/>
        <v>52.853796016439418</v>
      </c>
      <c r="DR101" s="20">
        <f t="shared" si="70"/>
        <v>465.13039872863186</v>
      </c>
      <c r="DS101" s="59">
        <f t="shared" si="71"/>
        <v>758.46373206196517</v>
      </c>
      <c r="DT101" s="59">
        <f ca="1">AVERAGE(OFFSET($DS$3,0,0,'Données projet'!$E$14+1,1))-AVERAGE(OFFSET($H$3,0,0,'Données projet'!$E$14+1,1))</f>
        <v>210.07838338464626</v>
      </c>
      <c r="DU101" s="59">
        <f t="shared" si="98"/>
        <v>241.76003724236273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1.3785910100173577</v>
      </c>
      <c r="EB101" s="21">
        <f>EXP(-LN(2)/25)*EB100+(1-EXP(-LN(2)/25))/(LN(2)/25)*Calculateur!DW101*Calculateur!DY101*VLOOKUP('Données projet'!$B$14,Paramètres!$A$1:$I$89,3,0)*0.475*44/12</f>
        <v>2.0580462032220099</v>
      </c>
      <c r="EC101" s="21">
        <f>EXP(-LN(2)/2)*EC100+(1-EXP(-LN(2)/2))/(LN(2)/2)*DW101*DZ101*VLOOKUP('Données projet'!$B$14,Paramètres!$A$1:$I$89,3,0)*0.475*44/12</f>
        <v>9.29659259904253E-10</v>
      </c>
      <c r="ED101" s="22">
        <f t="shared" si="72"/>
        <v>3.4366372141690271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6.2527760746888816E-13</v>
      </c>
      <c r="EK101" s="17">
        <f>EJ101*VLOOKUP('Données projet'!$B$15,Paramètres!$A$1:$I$89,3,0)*VLOOKUP('Données projet'!$B$15,Paramètres!$A$1:$I$89,5,0)</f>
        <v>3.9017322706058616E-13</v>
      </c>
      <c r="EL101" s="13">
        <f t="shared" si="99"/>
        <v>5.0025007393608908E-12</v>
      </c>
      <c r="EM101" s="20">
        <f t="shared" si="73"/>
        <v>9.3922404915174053E-12</v>
      </c>
      <c r="EN101" s="59">
        <f t="shared" si="74"/>
        <v>293.33333333334269</v>
      </c>
      <c r="EO101" s="59">
        <f ca="1">AVERAGE(OFFSET($EN$3,0,0,'Données projet'!$E$15+1,1))-AVERAGE(OFFSET($H$3,0,0,'Données projet'!$E$15+1,1))</f>
        <v>209.93608079129638</v>
      </c>
      <c r="EP101" s="59">
        <f t="shared" si="100"/>
        <v>240.15652428700969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1.8085643042524693</v>
      </c>
      <c r="EW101" s="21">
        <f>EXP(-LN(2)/25)*EW100+(1-EXP(-LN(2)/25))/(LN(2)/25)*Calculateur!ER101*Calculateur!ET101*VLOOKUP('Données projet'!$B$15,Paramètres!$A$1:$I$89,3,0)*0.475*44/12</f>
        <v>3.1550715133478677</v>
      </c>
      <c r="EX101" s="21">
        <f>EXP(-LN(2)/2)*EX100+(1-EXP(-LN(2)/2))/(LN(2)/2)*ER101*EU101*VLOOKUP('Données projet'!$B$15,Paramètres!$A$1:$I$89,3,0)*0.475*44/12</f>
        <v>1.1752601424066294E-9</v>
      </c>
      <c r="EY101" s="22">
        <f t="shared" si="75"/>
        <v>4.9636358187755967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5.6843418860808015E-14</v>
      </c>
      <c r="O102" s="13">
        <f>N102*VLOOKUP('Données projet'!$B$9,Paramètres!$A$1:$I$89,3,0)*VLOOKUP('Données projet'!$B$9,Paramètres!$A$1:$I$89,5,0)</f>
        <v>4.5224624045658861E-14</v>
      </c>
      <c r="P102" s="13">
        <f t="shared" si="87"/>
        <v>7.4514601661523691E-13</v>
      </c>
      <c r="Q102" s="20">
        <f t="shared" si="107"/>
        <v>1.3765621991510601E-12</v>
      </c>
      <c r="R102" s="59">
        <f t="shared" si="55"/>
        <v>293.33333333333468</v>
      </c>
      <c r="S102" s="59">
        <f ca="1">AVERAGE(OFFSET($R$3,0,0,'Données projet'!$E$9+1,1))-AVERAGE(OFFSET($H$3,0,0,'Données projet'!$E$9+1,1))</f>
        <v>199.58763537752952</v>
      </c>
      <c r="T102" s="59">
        <f t="shared" si="88"/>
        <v>242.62852778451929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</v>
      </c>
      <c r="AA102" s="21">
        <f>EXP(-LN(2)/25)*AA101+(1-EXP(-LN(2)/25))/(LN(2)/25)*Calculateur!V102*Calculateur!X102*VLOOKUP('Données projet'!$B$9,Paramètres!$A$1:$I$89,3,0)*0.475*44/12</f>
        <v>1.5180149685034885</v>
      </c>
      <c r="AB102" s="21">
        <f>EXP(-LN(2)/2)*AB101+(1-EXP(-LN(2)/2))/(LN(2)/2)*V102*Y102*VLOOKUP('Données projet'!$B$9,Paramètres!$A$1:$I$89,3,0)*0.475*44/12</f>
        <v>4.4293532357440703E-10</v>
      </c>
      <c r="AC102" s="22">
        <f t="shared" si="57"/>
        <v>1.5180149689464237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13.9</v>
      </c>
      <c r="AI102" s="13">
        <f>IF('Données projet'!$A$62&gt;35,AI101+AH102-AQ101,IF(A102&lt;'Données projet'!$A$62,$AF$205^A102,IF(A102='Données projet'!$A$62,'Données projet'!$B$62,AI101+AH102-AQ101)))</f>
        <v>643.1</v>
      </c>
      <c r="AJ102" s="13">
        <f>AI102*VLOOKUP('Données projet'!$B$10,Paramètres!$A$1:$I$89,3,0)*VLOOKUP('Données projet'!$B$10,Paramètres!$A$1:$I$89,5,0)</f>
        <v>384.57380000000006</v>
      </c>
      <c r="AK102" s="13">
        <f t="shared" si="89"/>
        <v>88.642117518456075</v>
      </c>
      <c r="AL102" s="20">
        <f t="shared" si="58"/>
        <v>824.18438967797772</v>
      </c>
      <c r="AM102" s="59">
        <f t="shared" si="59"/>
        <v>1117.5177230113111</v>
      </c>
      <c r="AN102" s="59">
        <f ca="1">AVERAGE(OFFSET($AM$3,0,0,'Données projet'!$E$10+1,1))-AVERAGE(OFFSET($H$3,0,0,'Données projet'!$E$10+1,1))</f>
        <v>287.78657453117694</v>
      </c>
      <c r="AO102" s="59">
        <f t="shared" si="90"/>
        <v>153.31562485362252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0.74644321074276043</v>
      </c>
      <c r="AV102" s="21">
        <f>EXP(-LN(2)/25)*AV101+(1-EXP(-LN(2)/25))/(LN(2)/25)*Calculateur!AQ102*Calculateur!AS102*VLOOKUP('Données projet'!$B$10,Paramètres!$A$1:$I$89,3,0)*0.475*44/12</f>
        <v>0.86085450406067832</v>
      </c>
      <c r="AW102" s="21">
        <f>EXP(-LN(2)/2)*AW101+(1-EXP(-LN(2)/2))/(LN(2)/2)*AQ102*AT102*VLOOKUP('Données projet'!$B$10,Paramètres!$A$1:$I$89,3,0)*0.475*44/12</f>
        <v>4.5703106520682117E-10</v>
      </c>
      <c r="AX102" s="21">
        <f t="shared" si="60"/>
        <v>1.6072977152604697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-1.1368683772161603E-13</v>
      </c>
      <c r="BE102" s="13">
        <f>BD102*VLOOKUP('Données projet'!$B$11,Paramètres!$A$1:$I$89,3,0)*VLOOKUP('Données projet'!$B$11,Paramètres!$A$1:$I$89,5,0)</f>
        <v>-6.7984728957526396E-14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250.93905519128998</v>
      </c>
      <c r="BJ102" s="59">
        <f t="shared" si="92"/>
        <v>222.32879462265032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0.32668146455746921</v>
      </c>
      <c r="BQ102" s="21">
        <f>EXP(-LN(2)/25)*BQ101+(1-EXP(-LN(2)/25))/(LN(2)/25)*Calculateur!BL102*Calculateur!BN102*VLOOKUP('Données projet'!$B$11,Paramètres!$A$1:$I$89,3,0)*0.475*44/12</f>
        <v>1.7087041829686891</v>
      </c>
      <c r="BR102" s="21">
        <f>EXP(-LN(2)/2)*BR101+(1-EXP(-LN(2)/2))/(LN(2)/2)*BL102*BO102*VLOOKUP('Données projet'!$B$11,Paramètres!$A$1:$I$89,3,0)*0.475*44/12</f>
        <v>7.768267369652049E-11</v>
      </c>
      <c r="BS102" s="22">
        <f t="shared" si="63"/>
        <v>2.035385647603841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-2.8421709430404007E-13</v>
      </c>
      <c r="BZ102" s="13">
        <f>BY102*VLOOKUP('Données projet'!$B$12,Paramètres!$A$1:$I$89,3,0)*VLOOKUP('Données projet'!$B$12,Paramètres!$A$1:$I$89,5,0)</f>
        <v>-1.69961822393816E-13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179.32848817523677</v>
      </c>
      <c r="CE102" s="59">
        <f t="shared" si="94"/>
        <v>131.3292389103035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1.9456969964400259</v>
      </c>
      <c r="CM102" s="21">
        <f>EXP(-LN(2)/2)*CM101+(1-EXP(-LN(2)/2))/(LN(2)/2)*CG102*CJ102*VLOOKUP('Données projet'!$B$12,Paramètres!$A$1:$I$89,3,0)*0.475*44/12</f>
        <v>2.1661460778846367E-10</v>
      </c>
      <c r="CN102" s="22">
        <f t="shared" si="66"/>
        <v>1.9456969966566404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7.5871794871794922</v>
      </c>
      <c r="CT102" s="12">
        <f>IF('Données projet'!$A$140&gt;35,CT101+CS102-DB101,IF(A102&lt;'Données projet'!$A$140,$CQ$205^A102,IF(A102='Données projet'!$A$140,'Données projet'!$B$140,CT101+CS102-DB101)))</f>
        <v>345.8615384615382</v>
      </c>
      <c r="CU102" s="17">
        <f>CT102*VLOOKUP('Données projet'!$B$13,Paramètres!$A$1:$I$89,3,0)*VLOOKUP('Données projet'!$B$13,Paramètres!$A$1:$I$89,5,0)</f>
        <v>312.93551999999977</v>
      </c>
      <c r="CV102" s="13">
        <f t="shared" si="95"/>
        <v>73.881546903242409</v>
      </c>
      <c r="CW102" s="20">
        <f t="shared" si="67"/>
        <v>673.70639152314664</v>
      </c>
      <c r="CX102" s="59">
        <f t="shared" si="68"/>
        <v>967.03972485648001</v>
      </c>
      <c r="CY102" s="59">
        <f ca="1">AVERAGE(OFFSET($CX$3,0,0,'Données projet'!$E$13+1,1))-AVERAGE(OFFSET($H$3,0,0,'Données projet'!$E$13+1,1))</f>
        <v>309.07357540707869</v>
      </c>
      <c r="CZ102" s="59">
        <f t="shared" si="96"/>
        <v>155.9593924683299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2.9</v>
      </c>
      <c r="DO102" s="12">
        <f>IF('Données projet'!$A$166&gt;35,DO101+DN102-DW101,IF(A102&lt;'Données projet'!$A$166,$DL$205^A102,IF(A102='Données projet'!$A$166,'Données projet'!$B$166,DO101+DN102-DW101)))</f>
        <v>248.09999999999985</v>
      </c>
      <c r="DP102" s="17">
        <f>DO102*VLOOKUP('Données projet'!$B$14,Paramètres!$A$1:$I$89,3,0)*VLOOKUP('Données projet'!$B$14,Paramètres!$A$1:$I$89,5,0)</f>
        <v>216.74015999999989</v>
      </c>
      <c r="DQ102" s="13">
        <f t="shared" si="97"/>
        <v>53.405761205047057</v>
      </c>
      <c r="DR102" s="20">
        <f t="shared" si="70"/>
        <v>470.50414609878999</v>
      </c>
      <c r="DS102" s="59">
        <f t="shared" si="71"/>
        <v>763.83747943212325</v>
      </c>
      <c r="DT102" s="59">
        <f ca="1">AVERAGE(OFFSET($DS$3,0,0,'Données projet'!$E$14+1,1))-AVERAGE(OFFSET($H$3,0,0,'Données projet'!$E$14+1,1))</f>
        <v>210.07838338464626</v>
      </c>
      <c r="DU102" s="59">
        <f t="shared" si="98"/>
        <v>241.76003724236273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1.3515576811684056</v>
      </c>
      <c r="EB102" s="21">
        <f>EXP(-LN(2)/25)*EB101+(1-EXP(-LN(2)/25))/(LN(2)/25)*Calculateur!DW102*Calculateur!DY102*VLOOKUP('Données projet'!$B$14,Paramètres!$A$1:$I$89,3,0)*0.475*44/12</f>
        <v>2.0017688215669578</v>
      </c>
      <c r="EC102" s="21">
        <f>EXP(-LN(2)/2)*EC101+(1-EXP(-LN(2)/2))/(LN(2)/2)*DW102*DZ102*VLOOKUP('Données projet'!$B$14,Paramètres!$A$1:$I$89,3,0)*0.475*44/12</f>
        <v>6.5736836687116437E-10</v>
      </c>
      <c r="ED102" s="22">
        <f t="shared" si="72"/>
        <v>3.353326503392732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6.2527760746888816E-13</v>
      </c>
      <c r="EK102" s="17">
        <f>EJ102*VLOOKUP('Données projet'!$B$15,Paramètres!$A$1:$I$89,3,0)*VLOOKUP('Données projet'!$B$15,Paramètres!$A$1:$I$89,5,0)</f>
        <v>3.9017322706058616E-13</v>
      </c>
      <c r="EL102" s="13">
        <f t="shared" si="99"/>
        <v>5.0025007393608908E-12</v>
      </c>
      <c r="EM102" s="20">
        <f t="shared" si="73"/>
        <v>9.3922404915174053E-12</v>
      </c>
      <c r="EN102" s="59">
        <f t="shared" si="74"/>
        <v>293.33333333334269</v>
      </c>
      <c r="EO102" s="59">
        <f ca="1">AVERAGE(OFFSET($EN$3,0,0,'Données projet'!$E$15+1,1))-AVERAGE(OFFSET($H$3,0,0,'Données projet'!$E$15+1,1))</f>
        <v>209.93608079129638</v>
      </c>
      <c r="EP102" s="59">
        <f t="shared" si="100"/>
        <v>240.15652428700969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1.7730994613613804</v>
      </c>
      <c r="EW102" s="21">
        <f>EXP(-LN(2)/25)*EW101+(1-EXP(-LN(2)/25))/(LN(2)/25)*Calculateur!ER102*Calculateur!ET102*VLOOKUP('Données projet'!$B$15,Paramètres!$A$1:$I$89,3,0)*0.475*44/12</f>
        <v>3.0687959168973702</v>
      </c>
      <c r="EX102" s="21">
        <f>EXP(-LN(2)/2)*EX101+(1-EXP(-LN(2)/2))/(LN(2)/2)*ER102*EU102*VLOOKUP('Données projet'!$B$15,Paramètres!$A$1:$I$89,3,0)*0.475*44/12</f>
        <v>8.3103441635399519E-10</v>
      </c>
      <c r="EY102" s="22">
        <f t="shared" si="75"/>
        <v>4.8418953790897854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5.6843418860808015E-14</v>
      </c>
      <c r="O103" s="13">
        <f>N103*VLOOKUP('Données projet'!$B$9,Paramètres!$A$1:$I$89,3,0)*VLOOKUP('Données projet'!$B$9,Paramètres!$A$1:$I$89,5,0)</f>
        <v>4.5224624045658861E-14</v>
      </c>
      <c r="P103" s="13">
        <f t="shared" si="87"/>
        <v>7.4514601661523691E-13</v>
      </c>
      <c r="Q103" s="20">
        <f t="shared" si="107"/>
        <v>1.3765621991510601E-12</v>
      </c>
      <c r="R103" s="59">
        <f t="shared" si="55"/>
        <v>293.33333333333468</v>
      </c>
      <c r="S103" s="59">
        <f ca="1">AVERAGE(OFFSET($R$3,0,0,'Données projet'!$E$9+1,1))-AVERAGE(OFFSET($H$3,0,0,'Données projet'!$E$9+1,1))</f>
        <v>199.58763537752952</v>
      </c>
      <c r="T103" s="59">
        <f t="shared" si="88"/>
        <v>242.62852778451929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</v>
      </c>
      <c r="AA103" s="21">
        <f>EXP(-LN(2)/25)*AA102+(1-EXP(-LN(2)/25))/(LN(2)/25)*Calculateur!V103*Calculateur!X103*VLOOKUP('Données projet'!$B$9,Paramètres!$A$1:$I$89,3,0)*0.475*44/12</f>
        <v>1.4765047693608229</v>
      </c>
      <c r="AB103" s="21">
        <f>EXP(-LN(2)/2)*AB102+(1-EXP(-LN(2)/2))/(LN(2)/2)*V103*Y103*VLOOKUP('Données projet'!$B$9,Paramètres!$A$1:$I$89,3,0)*0.475*44/12</f>
        <v>3.1320257092652085E-10</v>
      </c>
      <c r="AC103" s="22">
        <f t="shared" si="57"/>
        <v>1.4765047696740254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657</v>
      </c>
      <c r="AG103" s="12">
        <f>VLOOKUP(A103,'Données projet'!$A$61:$I$81,9,0)</f>
        <v>13.9</v>
      </c>
      <c r="AH103" s="12">
        <f t="array" ref="AH103">INDEX(AG:AG,MIN(IF(ISNUMBER(AG103:AG299),ROW(AG103:AG299),"")))</f>
        <v>13.9</v>
      </c>
      <c r="AI103" s="13">
        <f>IF('Données projet'!$A$62&gt;35,AI102+AH103-AQ102,IF(A103&lt;'Données projet'!$A$62,$AF$205^A103,IF(A103='Données projet'!$A$62,'Données projet'!$B$62,AI102+AH103-AQ102)))</f>
        <v>657</v>
      </c>
      <c r="AJ103" s="13">
        <f>AI103*VLOOKUP('Données projet'!$B$10,Paramètres!$A$1:$I$89,3,0)*VLOOKUP('Données projet'!$B$10,Paramètres!$A$1:$I$89,5,0)</f>
        <v>392.88600000000002</v>
      </c>
      <c r="AK103" s="13">
        <f t="shared" si="89"/>
        <v>90.332908063390505</v>
      </c>
      <c r="AL103" s="20">
        <f t="shared" si="58"/>
        <v>841.60626487707179</v>
      </c>
      <c r="AM103" s="59">
        <f t="shared" si="59"/>
        <v>1134.9395982104052</v>
      </c>
      <c r="AN103" s="59">
        <f ca="1">AVERAGE(OFFSET($AM$3,0,0,'Données projet'!$E$10+1,1))-AVERAGE(OFFSET($H$3,0,0,'Données projet'!$E$10+1,1))</f>
        <v>287.78657453117694</v>
      </c>
      <c r="AO103" s="59">
        <f t="shared" si="90"/>
        <v>153.31562485362252</v>
      </c>
      <c r="AP103" s="15">
        <f>IF(ISNA(VLOOKUP(A103,'Données projet'!$A$61:$I$81,3,0)),0,VLOOKUP(A103,'Données projet'!$A$61:$I$81,3,0))</f>
        <v>8</v>
      </c>
      <c r="AQ103" s="15">
        <f>IF(ISNA(VLOOKUP(A103,'Données projet'!$A$61:$I$81,4,0)),0,VLOOKUP(A103,'Données projet'!$A$61:$I$81,4,0))</f>
        <v>91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0.73180591466549771</v>
      </c>
      <c r="AV103" s="21">
        <f>EXP(-LN(2)/25)*AV102+(1-EXP(-LN(2)/25))/(LN(2)/25)*Calculateur!AQ103*Calculateur!AS103*VLOOKUP('Données projet'!$B$10,Paramètres!$A$1:$I$89,3,0)*0.475*44/12</f>
        <v>0.83731439237676819</v>
      </c>
      <c r="AW103" s="21">
        <f>EXP(-LN(2)/2)*AW102+(1-EXP(-LN(2)/2))/(LN(2)/2)*AQ103*AT103*VLOOKUP('Données projet'!$B$10,Paramètres!$A$1:$I$89,3,0)*0.475*44/12</f>
        <v>3.2316976542065445E-10</v>
      </c>
      <c r="AX103" s="21">
        <f t="shared" si="60"/>
        <v>1.5691203073654356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-1.1368683772161603E-13</v>
      </c>
      <c r="BE103" s="13">
        <f>BD103*VLOOKUP('Données projet'!$B$11,Paramètres!$A$1:$I$89,3,0)*VLOOKUP('Données projet'!$B$11,Paramètres!$A$1:$I$89,5,0)</f>
        <v>-6.7984728957526396E-14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250.93905519128998</v>
      </c>
      <c r="BJ103" s="59">
        <f t="shared" si="92"/>
        <v>222.32879462265032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0.32027544029351573</v>
      </c>
      <c r="BQ103" s="21">
        <f>EXP(-LN(2)/25)*BQ102+(1-EXP(-LN(2)/25))/(LN(2)/25)*Calculateur!BL103*Calculateur!BN103*VLOOKUP('Données projet'!$B$11,Paramètres!$A$1:$I$89,3,0)*0.475*44/12</f>
        <v>1.6619795772285626</v>
      </c>
      <c r="BR103" s="21">
        <f>EXP(-LN(2)/2)*BR102+(1-EXP(-LN(2)/2))/(LN(2)/2)*BL103*BO103*VLOOKUP('Données projet'!$B$11,Paramètres!$A$1:$I$89,3,0)*0.475*44/12</f>
        <v>5.4929945351511486E-11</v>
      </c>
      <c r="BS103" s="22">
        <f t="shared" si="63"/>
        <v>1.9822550175770082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-2.8421709430404007E-13</v>
      </c>
      <c r="BZ103" s="13">
        <f>BY103*VLOOKUP('Données projet'!$B$12,Paramètres!$A$1:$I$89,3,0)*VLOOKUP('Données projet'!$B$12,Paramètres!$A$1:$I$89,5,0)</f>
        <v>-1.69961822393816E-13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179.32848817523677</v>
      </c>
      <c r="CE103" s="59">
        <f t="shared" si="94"/>
        <v>131.3292389103035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1.8924918097526153</v>
      </c>
      <c r="CM103" s="21">
        <f>EXP(-LN(2)/2)*CM102+(1-EXP(-LN(2)/2))/(LN(2)/2)*CG103*CJ103*VLOOKUP('Données projet'!$B$12,Paramètres!$A$1:$I$89,3,0)*0.475*44/12</f>
        <v>1.5316965807128699E-10</v>
      </c>
      <c r="CN103" s="22">
        <f t="shared" si="66"/>
        <v>1.892491809905785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353.44871794871796</v>
      </c>
      <c r="CR103" s="12">
        <f>VLOOKUP(A103,'Données projet'!$A$139:$I$159,9,0)</f>
        <v>7.5871794871794922</v>
      </c>
      <c r="CS103" s="12">
        <f t="array" ref="CS103">INDEX(CR:CR,MIN(IF(ISNUMBER(CR103:CR299),ROW(CR103:CR299),"")))</f>
        <v>7.5871794871794922</v>
      </c>
      <c r="CT103" s="12">
        <f>IF('Données projet'!$A$140&gt;35,CT102+CS103-DB102,IF(A103&lt;'Données projet'!$A$140,$CQ$205^A103,IF(A103='Données projet'!$A$140,'Données projet'!$B$140,CT102+CS103-DB102)))</f>
        <v>353.44871794871767</v>
      </c>
      <c r="CU103" s="17">
        <f>CT103*VLOOKUP('Données projet'!$B$13,Paramètres!$A$1:$I$89,3,0)*VLOOKUP('Données projet'!$B$13,Paramètres!$A$1:$I$89,5,0)</f>
        <v>319.80039999999974</v>
      </c>
      <c r="CV103" s="13">
        <f t="shared" si="95"/>
        <v>75.31182149304135</v>
      </c>
      <c r="CW103" s="20">
        <f t="shared" si="67"/>
        <v>688.15378576704654</v>
      </c>
      <c r="CX103" s="59">
        <f t="shared" si="68"/>
        <v>981.48711910037991</v>
      </c>
      <c r="CY103" s="59">
        <f ca="1">AVERAGE(OFFSET($CX$3,0,0,'Données projet'!$E$13+1,1))-AVERAGE(OFFSET($H$3,0,0,'Données projet'!$E$13+1,1))</f>
        <v>309.07357540707869</v>
      </c>
      <c r="CZ103" s="59">
        <f t="shared" si="96"/>
        <v>155.9593924683299</v>
      </c>
      <c r="DA103" s="15">
        <f>IF(ISNA(VLOOKUP(A103,'Données projet'!$A$139:$I$159,3,0)),0,VLOOKUP(A103,'Données projet'!$A$139:$I$159,3,0))</f>
        <v>9</v>
      </c>
      <c r="DB103" s="15">
        <f>IF(ISNA(VLOOKUP(A103,'Données projet'!$A$139:$I$159,4,0)),0,VLOOKUP(A103,'Données projet'!$A$139:$I$159,4,0))</f>
        <v>63.801282051282051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251</v>
      </c>
      <c r="DM103" s="12">
        <f>VLOOKUP(A103,'Données projet'!$A$165:$I$185,9,0)</f>
        <v>2.9</v>
      </c>
      <c r="DN103" s="12">
        <f t="array" ref="DN103">INDEX(DM:DM,MIN(IF(ISNUMBER(DM103:DM299),ROW(DM103:DM299),"")))</f>
        <v>2.9</v>
      </c>
      <c r="DO103" s="12">
        <f>IF('Données projet'!$A$166&gt;35,DO102+DN103-DW102,IF(A103&lt;'Données projet'!$A$166,$DL$205^A103,IF(A103='Données projet'!$A$166,'Données projet'!$B$166,DO102+DN103-DW102)))</f>
        <v>250.99999999999986</v>
      </c>
      <c r="DP103" s="17">
        <f>DO103*VLOOKUP('Données projet'!$B$14,Paramètres!$A$1:$I$89,3,0)*VLOOKUP('Données projet'!$B$14,Paramètres!$A$1:$I$89,5,0)</f>
        <v>219.27359999999993</v>
      </c>
      <c r="DQ103" s="13">
        <f t="shared" si="97"/>
        <v>53.956975893220125</v>
      </c>
      <c r="DR103" s="20">
        <f t="shared" si="70"/>
        <v>475.87658634735823</v>
      </c>
      <c r="DS103" s="59">
        <f t="shared" si="71"/>
        <v>769.20991968069154</v>
      </c>
      <c r="DT103" s="59">
        <f ca="1">AVERAGE(OFFSET($DS$3,0,0,'Données projet'!$E$14+1,1))-AVERAGE(OFFSET($H$3,0,0,'Données projet'!$E$14+1,1))</f>
        <v>210.07838338464626</v>
      </c>
      <c r="DU103" s="59">
        <f t="shared" si="98"/>
        <v>241.76003724236273</v>
      </c>
      <c r="DV103" s="15">
        <f>IF(ISNA(VLOOKUP(A103,'Données projet'!$A$165:$I$185,3,0)),0,VLOOKUP(A103,'Données projet'!$A$165:$I$185,3,0))</f>
        <v>9</v>
      </c>
      <c r="DW103" s="15">
        <f>IF(ISNA(VLOOKUP(A103,'Données projet'!$A$165:$I$185,4,0)),0,VLOOKUP(A103,'Données projet'!$A$165:$I$185,4,0))</f>
        <v>23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1.3250544594094791</v>
      </c>
      <c r="EB103" s="21">
        <f>EXP(-LN(2)/25)*EB102+(1-EXP(-LN(2)/25))/(LN(2)/25)*Calculateur!DW103*Calculateur!DY103*VLOOKUP('Données projet'!$B$14,Paramètres!$A$1:$I$89,3,0)*0.475*44/12</f>
        <v>1.9470303478727622</v>
      </c>
      <c r="EC103" s="21">
        <f>EXP(-LN(2)/2)*EC102+(1-EXP(-LN(2)/2))/(LN(2)/2)*DW103*DZ103*VLOOKUP('Données projet'!$B$14,Paramètres!$A$1:$I$89,3,0)*0.475*44/12</f>
        <v>4.6482962995212655E-10</v>
      </c>
      <c r="ED103" s="22">
        <f t="shared" si="72"/>
        <v>3.272084807747071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6.2527760746888816E-13</v>
      </c>
      <c r="EK103" s="17">
        <f>EJ103*VLOOKUP('Données projet'!$B$15,Paramètres!$A$1:$I$89,3,0)*VLOOKUP('Données projet'!$B$15,Paramètres!$A$1:$I$89,5,0)</f>
        <v>3.9017322706058616E-13</v>
      </c>
      <c r="EL103" s="13">
        <f t="shared" si="99"/>
        <v>5.0025007393608908E-12</v>
      </c>
      <c r="EM103" s="20">
        <f t="shared" si="73"/>
        <v>9.3922404915174053E-12</v>
      </c>
      <c r="EN103" s="59">
        <f t="shared" si="74"/>
        <v>293.33333333334269</v>
      </c>
      <c r="EO103" s="59">
        <f ca="1">AVERAGE(OFFSET($EN$3,0,0,'Données projet'!$E$15+1,1))-AVERAGE(OFFSET($H$3,0,0,'Données projet'!$E$15+1,1))</f>
        <v>209.93608079129638</v>
      </c>
      <c r="EP103" s="59">
        <f t="shared" si="100"/>
        <v>240.15652428700969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1.7383300624079676</v>
      </c>
      <c r="EW103" s="21">
        <f>EXP(-LN(2)/25)*EW102+(1-EXP(-LN(2)/25))/(LN(2)/25)*Calculateur!ER103*Calculateur!ET103*VLOOKUP('Données projet'!$B$15,Paramètres!$A$1:$I$89,3,0)*0.475*44/12</f>
        <v>2.9848795311688483</v>
      </c>
      <c r="EX103" s="21">
        <f>EXP(-LN(2)/2)*EX102+(1-EXP(-LN(2)/2))/(LN(2)/2)*ER103*EU103*VLOOKUP('Données projet'!$B$15,Paramètres!$A$1:$I$89,3,0)*0.475*44/12</f>
        <v>5.876300712033147E-10</v>
      </c>
      <c r="EY103" s="22">
        <f t="shared" si="75"/>
        <v>4.7232095941644463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5.6843418860808015E-14</v>
      </c>
      <c r="O104" s="13">
        <f>N104*VLOOKUP('Données projet'!$B$9,Paramètres!$A$1:$I$89,3,0)*VLOOKUP('Données projet'!$B$9,Paramètres!$A$1:$I$89,5,0)</f>
        <v>4.5224624045658861E-14</v>
      </c>
      <c r="P104" s="13">
        <f t="shared" si="87"/>
        <v>7.4514601661523691E-13</v>
      </c>
      <c r="Q104" s="20">
        <f t="shared" si="107"/>
        <v>1.3765621991510601E-12</v>
      </c>
      <c r="R104" s="59">
        <f t="shared" si="55"/>
        <v>293.33333333333468</v>
      </c>
      <c r="S104" s="59">
        <f ca="1">AVERAGE(OFFSET($R$3,0,0,'Données projet'!$E$9+1,1))-AVERAGE(OFFSET($H$3,0,0,'Données projet'!$E$9+1,1))</f>
        <v>199.58763537752952</v>
      </c>
      <c r="T104" s="59">
        <f t="shared" si="88"/>
        <v>242.62852778451929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</v>
      </c>
      <c r="AA104" s="21">
        <f>EXP(-LN(2)/25)*AA103+(1-EXP(-LN(2)/25))/(LN(2)/25)*Calculateur!V104*Calculateur!X104*VLOOKUP('Données projet'!$B$9,Paramètres!$A$1:$I$89,3,0)*0.475*44/12</f>
        <v>1.4361296687966398</v>
      </c>
      <c r="AB104" s="21">
        <f>EXP(-LN(2)/2)*AB103+(1-EXP(-LN(2)/2))/(LN(2)/2)*V104*Y104*VLOOKUP('Données projet'!$B$9,Paramètres!$A$1:$I$89,3,0)*0.475*44/12</f>
        <v>2.2146766178720352E-10</v>
      </c>
      <c r="AC104" s="22">
        <f t="shared" si="57"/>
        <v>1.4361296690181076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566</v>
      </c>
      <c r="AJ104" s="13">
        <f>AI104*VLOOKUP('Données projet'!$B$10,Paramètres!$A$1:$I$89,3,0)*VLOOKUP('Données projet'!$B$10,Paramètres!$A$1:$I$89,5,0)</f>
        <v>338.46800000000002</v>
      </c>
      <c r="AK104" s="13">
        <f t="shared" si="89"/>
        <v>79.183342377469998</v>
      </c>
      <c r="AL104" s="20">
        <f t="shared" si="58"/>
        <v>727.4094213074269</v>
      </c>
      <c r="AM104" s="59">
        <f t="shared" si="59"/>
        <v>1020.7427546407603</v>
      </c>
      <c r="AN104" s="59">
        <f ca="1">AVERAGE(OFFSET($AM$3,0,0,'Données projet'!$E$10+1,1))-AVERAGE(OFFSET($H$3,0,0,'Données projet'!$E$10+1,1))</f>
        <v>287.78657453117694</v>
      </c>
      <c r="AO104" s="59">
        <f t="shared" si="90"/>
        <v>153.31562485362252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0.71745564703644116</v>
      </c>
      <c r="AV104" s="21">
        <f>EXP(-LN(2)/25)*AV103+(1-EXP(-LN(2)/25))/(LN(2)/25)*Calculateur!AQ104*Calculateur!AS104*VLOOKUP('Données projet'!$B$10,Paramètres!$A$1:$I$89,3,0)*0.475*44/12</f>
        <v>0.81441798628477524</v>
      </c>
      <c r="AW104" s="21">
        <f>EXP(-LN(2)/2)*AW103+(1-EXP(-LN(2)/2))/(LN(2)/2)*AQ104*AT104*VLOOKUP('Données projet'!$B$10,Paramètres!$A$1:$I$89,3,0)*0.475*44/12</f>
        <v>2.2851553260341061E-10</v>
      </c>
      <c r="AX104" s="21">
        <f t="shared" si="60"/>
        <v>1.5318736335497318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-6.7984728957526396E-14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250.93905519128998</v>
      </c>
      <c r="BJ104" s="59">
        <f t="shared" si="92"/>
        <v>222.32879462265032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0.31399503425808939</v>
      </c>
      <c r="BQ104" s="21">
        <f>EXP(-LN(2)/25)*BQ103+(1-EXP(-LN(2)/25))/(LN(2)/25)*Calculateur!BL104*Calculateur!BN104*VLOOKUP('Données projet'!$B$11,Paramètres!$A$1:$I$89,3,0)*0.475*44/12</f>
        <v>1.6165326582895401</v>
      </c>
      <c r="BR104" s="21">
        <f>EXP(-LN(2)/2)*BR103+(1-EXP(-LN(2)/2))/(LN(2)/2)*BL104*BO104*VLOOKUP('Données projet'!$B$11,Paramètres!$A$1:$I$89,3,0)*0.475*44/12</f>
        <v>3.8841336848260245E-11</v>
      </c>
      <c r="BS104" s="22">
        <f t="shared" si="63"/>
        <v>1.9305276925864709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-2.8421709430404007E-13</v>
      </c>
      <c r="BZ104" s="13">
        <f>BY104*VLOOKUP('Données projet'!$B$12,Paramètres!$A$1:$I$89,3,0)*VLOOKUP('Données projet'!$B$12,Paramètres!$A$1:$I$89,5,0)</f>
        <v>-1.69961822393816E-13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179.32848817523677</v>
      </c>
      <c r="CE104" s="59">
        <f t="shared" si="94"/>
        <v>131.3292389103035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1.8407415216931111</v>
      </c>
      <c r="CM104" s="21">
        <f>EXP(-LN(2)/2)*CM103+(1-EXP(-LN(2)/2))/(LN(2)/2)*CG104*CJ104*VLOOKUP('Données projet'!$B$12,Paramètres!$A$1:$I$89,3,0)*0.475*44/12</f>
        <v>1.0830730389423183E-10</v>
      </c>
      <c r="CN104" s="22">
        <f t="shared" si="66"/>
        <v>1.8407415218014185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7.2711538461538394</v>
      </c>
      <c r="CT104" s="12">
        <f>IF('Données projet'!$A$140&gt;35,CT103+CS104-DB103,IF(A104&lt;'Données projet'!$A$140,$CQ$205^A104,IF(A104='Données projet'!$A$140,'Données projet'!$B$140,CT103+CS104-DB103)))</f>
        <v>296.91858974358945</v>
      </c>
      <c r="CU104" s="17">
        <f>CT104*VLOOKUP('Données projet'!$B$13,Paramètres!$A$1:$I$89,3,0)*VLOOKUP('Données projet'!$B$13,Paramètres!$A$1:$I$89,5,0)</f>
        <v>268.65193999999974</v>
      </c>
      <c r="CV104" s="13">
        <f t="shared" si="95"/>
        <v>64.563093644979261</v>
      </c>
      <c r="CW104" s="20">
        <f t="shared" si="67"/>
        <v>580.3495169316717</v>
      </c>
      <c r="CX104" s="59">
        <f t="shared" si="68"/>
        <v>873.68285026500507</v>
      </c>
      <c r="CY104" s="59">
        <f ca="1">AVERAGE(OFFSET($CX$3,0,0,'Données projet'!$E$13+1,1))-AVERAGE(OFFSET($H$3,0,0,'Données projet'!$E$13+1,1))</f>
        <v>309.07357540707869</v>
      </c>
      <c r="CZ104" s="59">
        <f t="shared" si="96"/>
        <v>155.9593924683299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227.99999999999986</v>
      </c>
      <c r="DP104" s="17">
        <f>DO104*VLOOKUP('Données projet'!$B$14,Paramètres!$A$1:$I$89,3,0)*VLOOKUP('Données projet'!$B$14,Paramètres!$A$1:$I$89,5,0)</f>
        <v>199.18079999999992</v>
      </c>
      <c r="DQ104" s="13">
        <f t="shared" si="97"/>
        <v>49.564089376413683</v>
      </c>
      <c r="DR104" s="20">
        <f t="shared" si="70"/>
        <v>433.23068233058694</v>
      </c>
      <c r="DS104" s="59">
        <f t="shared" si="71"/>
        <v>726.56401566392026</v>
      </c>
      <c r="DT104" s="59">
        <f ca="1">AVERAGE(OFFSET($DS$3,0,0,'Données projet'!$E$14+1,1))-AVERAGE(OFFSET($H$3,0,0,'Données projet'!$E$14+1,1))</f>
        <v>210.07838338464626</v>
      </c>
      <c r="DU104" s="59">
        <f t="shared" si="98"/>
        <v>241.76003724236273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1.2990709496638759</v>
      </c>
      <c r="EB104" s="21">
        <f>EXP(-LN(2)/25)*EB103+(1-EXP(-LN(2)/25))/(LN(2)/25)*Calculateur!DW104*Calculateur!DY104*VLOOKUP('Données projet'!$B$14,Paramètres!$A$1:$I$89,3,0)*0.475*44/12</f>
        <v>1.8937887006203056</v>
      </c>
      <c r="EC104" s="21">
        <f>EXP(-LN(2)/2)*EC103+(1-EXP(-LN(2)/2))/(LN(2)/2)*DW104*DZ104*VLOOKUP('Données projet'!$B$14,Paramètres!$A$1:$I$89,3,0)*0.475*44/12</f>
        <v>3.2868418343558223E-10</v>
      </c>
      <c r="ED104" s="22">
        <f t="shared" si="72"/>
        <v>3.1928596506128657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6.2527760746888816E-13</v>
      </c>
      <c r="EK104" s="17">
        <f>EJ104*VLOOKUP('Données projet'!$B$15,Paramètres!$A$1:$I$89,3,0)*VLOOKUP('Données projet'!$B$15,Paramètres!$A$1:$I$89,5,0)</f>
        <v>3.9017322706058616E-13</v>
      </c>
      <c r="EL104" s="13">
        <f t="shared" si="99"/>
        <v>5.0025007393608908E-12</v>
      </c>
      <c r="EM104" s="20">
        <f t="shared" si="73"/>
        <v>9.3922404915174053E-12</v>
      </c>
      <c r="EN104" s="59">
        <f t="shared" si="74"/>
        <v>293.33333333334269</v>
      </c>
      <c r="EO104" s="59">
        <f ca="1">AVERAGE(OFFSET($EN$3,0,0,'Données projet'!$E$15+1,1))-AVERAGE(OFFSET($H$3,0,0,'Données projet'!$E$15+1,1))</f>
        <v>209.93608079129638</v>
      </c>
      <c r="EP104" s="59">
        <f t="shared" si="100"/>
        <v>240.15652428700969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1.7042424701607919</v>
      </c>
      <c r="EW104" s="21">
        <f>EXP(-LN(2)/25)*EW103+(1-EXP(-LN(2)/25))/(LN(2)/25)*Calculateur!ER104*Calculateur!ET104*VLOOKUP('Données projet'!$B$15,Paramètres!$A$1:$I$89,3,0)*0.475*44/12</f>
        <v>2.9032578434210436</v>
      </c>
      <c r="EX104" s="21">
        <f>EXP(-LN(2)/2)*EX103+(1-EXP(-LN(2)/2))/(LN(2)/2)*ER104*EU104*VLOOKUP('Données projet'!$B$15,Paramètres!$A$1:$I$89,3,0)*0.475*44/12</f>
        <v>4.1551720817699759E-10</v>
      </c>
      <c r="EY104" s="22">
        <f t="shared" si="75"/>
        <v>4.6075003139973534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5.6843418860808015E-14</v>
      </c>
      <c r="O105" s="13">
        <f>N105*VLOOKUP('Données projet'!$B$9,Paramètres!$A$1:$I$89,3,0)*VLOOKUP('Données projet'!$B$9,Paramètres!$A$1:$I$89,5,0)</f>
        <v>4.5224624045658861E-14</v>
      </c>
      <c r="P105" s="13">
        <f t="shared" si="87"/>
        <v>7.4514601661523691E-13</v>
      </c>
      <c r="Q105" s="20">
        <f t="shared" si="107"/>
        <v>1.3765621991510601E-12</v>
      </c>
      <c r="R105" s="59">
        <f t="shared" si="55"/>
        <v>293.33333333333468</v>
      </c>
      <c r="S105" s="59">
        <f ca="1">AVERAGE(OFFSET($R$3,0,0,'Données projet'!$E$9+1,1))-AVERAGE(OFFSET($H$3,0,0,'Données projet'!$E$9+1,1))</f>
        <v>199.58763537752952</v>
      </c>
      <c r="T105" s="59">
        <f t="shared" si="88"/>
        <v>242.62852778451929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</v>
      </c>
      <c r="AA105" s="21">
        <f>EXP(-LN(2)/25)*AA104+(1-EXP(-LN(2)/25))/(LN(2)/25)*Calculateur!V105*Calculateur!X105*VLOOKUP('Données projet'!$B$9,Paramètres!$A$1:$I$89,3,0)*0.475*44/12</f>
        <v>1.3968586274806187</v>
      </c>
      <c r="AB105" s="21">
        <f>EXP(-LN(2)/2)*AB104+(1-EXP(-LN(2)/2))/(LN(2)/2)*V105*Y105*VLOOKUP('Données projet'!$B$9,Paramètres!$A$1:$I$89,3,0)*0.475*44/12</f>
        <v>1.5660128546326043E-10</v>
      </c>
      <c r="AC105" s="22">
        <f t="shared" si="57"/>
        <v>1.3968586276372199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566</v>
      </c>
      <c r="AJ105" s="13">
        <f>AI105*VLOOKUP('Données projet'!$B$10,Paramètres!$A$1:$I$89,3,0)*VLOOKUP('Données projet'!$B$10,Paramètres!$A$1:$I$89,5,0)</f>
        <v>338.46800000000002</v>
      </c>
      <c r="AK105" s="13">
        <f t="shared" si="89"/>
        <v>79.183342377469998</v>
      </c>
      <c r="AL105" s="20">
        <f t="shared" si="58"/>
        <v>727.4094213074269</v>
      </c>
      <c r="AM105" s="59">
        <f t="shared" si="59"/>
        <v>1020.7427546407603</v>
      </c>
      <c r="AN105" s="59">
        <f ca="1">AVERAGE(OFFSET($AM$3,0,0,'Données projet'!$E$10+1,1))-AVERAGE(OFFSET($H$3,0,0,'Données projet'!$E$10+1,1))</f>
        <v>287.78657453117694</v>
      </c>
      <c r="AO105" s="59">
        <f t="shared" si="90"/>
        <v>153.31562485362252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0.70338677940279137</v>
      </c>
      <c r="AV105" s="21">
        <f>EXP(-LN(2)/25)*AV104+(1-EXP(-LN(2)/25))/(LN(2)/25)*Calculateur!AQ105*Calculateur!AS105*VLOOKUP('Données projet'!$B$10,Paramètres!$A$1:$I$89,3,0)*0.475*44/12</f>
        <v>0.7921476836214375</v>
      </c>
      <c r="AW105" s="21">
        <f>EXP(-LN(2)/2)*AW104+(1-EXP(-LN(2)/2))/(LN(2)/2)*AQ105*AT105*VLOOKUP('Données projet'!$B$10,Paramètres!$A$1:$I$89,3,0)*0.475*44/12</f>
        <v>1.6158488271032725E-10</v>
      </c>
      <c r="AX105" s="21">
        <f t="shared" si="60"/>
        <v>1.4955344631858138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-6.7984728957526396E-14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250.93905519128998</v>
      </c>
      <c r="BJ105" s="59">
        <f t="shared" si="92"/>
        <v>222.32879462265032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0.30783778315434834</v>
      </c>
      <c r="BQ105" s="21">
        <f>EXP(-LN(2)/25)*BQ104+(1-EXP(-LN(2)/25))/(LN(2)/25)*Calculateur!BL105*Calculateur!BN105*VLOOKUP('Données projet'!$B$11,Paramètres!$A$1:$I$89,3,0)*0.475*44/12</f>
        <v>1.5723284877388548</v>
      </c>
      <c r="BR105" s="21">
        <f>EXP(-LN(2)/2)*BR104+(1-EXP(-LN(2)/2))/(LN(2)/2)*BL105*BO105*VLOOKUP('Données projet'!$B$11,Paramètres!$A$1:$I$89,3,0)*0.475*44/12</f>
        <v>2.7464972675755743E-11</v>
      </c>
      <c r="BS105" s="22">
        <f t="shared" si="63"/>
        <v>1.8801662709206681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-2.8421709430404007E-13</v>
      </c>
      <c r="BZ105" s="13">
        <f>BY105*VLOOKUP('Données projet'!$B$12,Paramètres!$A$1:$I$89,3,0)*VLOOKUP('Données projet'!$B$12,Paramètres!$A$1:$I$89,5,0)</f>
        <v>-1.69961822393816E-13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179.32848817523677</v>
      </c>
      <c r="CE105" s="59">
        <f t="shared" si="94"/>
        <v>131.3292389103035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1.7904063479820234</v>
      </c>
      <c r="CM105" s="21">
        <f>EXP(-LN(2)/2)*CM104+(1-EXP(-LN(2)/2))/(LN(2)/2)*CG105*CJ105*VLOOKUP('Données projet'!$B$12,Paramètres!$A$1:$I$89,3,0)*0.475*44/12</f>
        <v>7.6584829035643495E-11</v>
      </c>
      <c r="CN105" s="22">
        <f t="shared" si="66"/>
        <v>1.7904063480586081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7.2711538461538394</v>
      </c>
      <c r="CT105" s="12">
        <f>IF('Données projet'!$A$140&gt;35,CT104+CS105-DB104,IF(A105&lt;'Données projet'!$A$140,$CQ$205^A105,IF(A105='Données projet'!$A$140,'Données projet'!$B$140,CT104+CS105-DB104)))</f>
        <v>304.18974358974327</v>
      </c>
      <c r="CU105" s="17">
        <f>CT105*VLOOKUP('Données projet'!$B$13,Paramètres!$A$1:$I$89,3,0)*VLOOKUP('Données projet'!$B$13,Paramètres!$A$1:$I$89,5,0)</f>
        <v>275.23087999999973</v>
      </c>
      <c r="CV105" s="13">
        <f t="shared" si="95"/>
        <v>65.958151259438324</v>
      </c>
      <c r="CW105" s="20">
        <f t="shared" si="67"/>
        <v>594.23756277685459</v>
      </c>
      <c r="CX105" s="59">
        <f t="shared" si="68"/>
        <v>887.57089611018796</v>
      </c>
      <c r="CY105" s="59">
        <f ca="1">AVERAGE(OFFSET($CX$3,0,0,'Données projet'!$E$13+1,1))-AVERAGE(OFFSET($H$3,0,0,'Données projet'!$E$13+1,1))</f>
        <v>309.07357540707869</v>
      </c>
      <c r="CZ105" s="59">
        <f t="shared" si="96"/>
        <v>155.9593924683299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227.99999999999986</v>
      </c>
      <c r="DP105" s="17">
        <f>DO105*VLOOKUP('Données projet'!$B$14,Paramètres!$A$1:$I$89,3,0)*VLOOKUP('Données projet'!$B$14,Paramètres!$A$1:$I$89,5,0)</f>
        <v>199.18079999999992</v>
      </c>
      <c r="DQ105" s="13">
        <f t="shared" si="97"/>
        <v>49.564089376413683</v>
      </c>
      <c r="DR105" s="20">
        <f t="shared" si="70"/>
        <v>433.23068233058694</v>
      </c>
      <c r="DS105" s="59">
        <f t="shared" si="71"/>
        <v>726.56401566392026</v>
      </c>
      <c r="DT105" s="59">
        <f ca="1">AVERAGE(OFFSET($DS$3,0,0,'Données projet'!$E$14+1,1))-AVERAGE(OFFSET($H$3,0,0,'Données projet'!$E$14+1,1))</f>
        <v>210.07838338464626</v>
      </c>
      <c r="DU105" s="59">
        <f t="shared" si="98"/>
        <v>241.76003724236273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1.273596960696008</v>
      </c>
      <c r="EB105" s="21">
        <f>EXP(-LN(2)/25)*EB104+(1-EXP(-LN(2)/25))/(LN(2)/25)*Calculateur!DW105*Calculateur!DY105*VLOOKUP('Données projet'!$B$14,Paramètres!$A$1:$I$89,3,0)*0.475*44/12</f>
        <v>1.8420029490118239</v>
      </c>
      <c r="EC105" s="21">
        <f>EXP(-LN(2)/2)*EC104+(1-EXP(-LN(2)/2))/(LN(2)/2)*DW105*DZ105*VLOOKUP('Données projet'!$B$14,Paramètres!$A$1:$I$89,3,0)*0.475*44/12</f>
        <v>2.324148149760633E-10</v>
      </c>
      <c r="ED105" s="22">
        <f t="shared" si="72"/>
        <v>3.1155999099402472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6.2527760746888816E-13</v>
      </c>
      <c r="EK105" s="17">
        <f>EJ105*VLOOKUP('Données projet'!$B$15,Paramètres!$A$1:$I$89,3,0)*VLOOKUP('Données projet'!$B$15,Paramètres!$A$1:$I$89,5,0)</f>
        <v>3.9017322706058616E-13</v>
      </c>
      <c r="EL105" s="13">
        <f t="shared" si="99"/>
        <v>5.0025007393608908E-12</v>
      </c>
      <c r="EM105" s="20">
        <f t="shared" si="73"/>
        <v>9.3922404915174053E-12</v>
      </c>
      <c r="EN105" s="59">
        <f t="shared" si="74"/>
        <v>293.33333333334269</v>
      </c>
      <c r="EO105" s="59">
        <f ca="1">AVERAGE(OFFSET($EN$3,0,0,'Données projet'!$E$15+1,1))-AVERAGE(OFFSET($H$3,0,0,'Données projet'!$E$15+1,1))</f>
        <v>209.93608079129638</v>
      </c>
      <c r="EP105" s="59">
        <f t="shared" si="100"/>
        <v>240.15652428700969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1.6708233148062048</v>
      </c>
      <c r="EW105" s="21">
        <f>EXP(-LN(2)/25)*EW104+(1-EXP(-LN(2)/25))/(LN(2)/25)*Calculateur!ER105*Calculateur!ET105*VLOOKUP('Données projet'!$B$15,Paramètres!$A$1:$I$89,3,0)*0.475*44/12</f>
        <v>2.8238681050170009</v>
      </c>
      <c r="EX105" s="21">
        <f>EXP(-LN(2)/2)*EX104+(1-EXP(-LN(2)/2))/(LN(2)/2)*ER105*EU105*VLOOKUP('Données projet'!$B$15,Paramètres!$A$1:$I$89,3,0)*0.475*44/12</f>
        <v>2.9381503560165735E-10</v>
      </c>
      <c r="EY105" s="22">
        <f t="shared" si="75"/>
        <v>4.4946914201170207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5.6843418860808015E-14</v>
      </c>
      <c r="O106" s="13">
        <f>N106*VLOOKUP('Données projet'!$B$9,Paramètres!$A$1:$I$89,3,0)*VLOOKUP('Données projet'!$B$9,Paramètres!$A$1:$I$89,5,0)</f>
        <v>4.5224624045658861E-14</v>
      </c>
      <c r="P106" s="13">
        <f t="shared" si="87"/>
        <v>7.4514601661523691E-13</v>
      </c>
      <c r="Q106" s="20">
        <f t="shared" si="107"/>
        <v>1.3765621991510601E-12</v>
      </c>
      <c r="R106" s="59">
        <f t="shared" si="55"/>
        <v>293.33333333333468</v>
      </c>
      <c r="S106" s="59">
        <f ca="1">AVERAGE(OFFSET($R$3,0,0,'Données projet'!$E$9+1,1))-AVERAGE(OFFSET($H$3,0,0,'Données projet'!$E$9+1,1))</f>
        <v>199.58763537752952</v>
      </c>
      <c r="T106" s="59">
        <f t="shared" si="88"/>
        <v>242.62852778451929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</v>
      </c>
      <c r="AA106" s="21">
        <f>EXP(-LN(2)/25)*AA105+(1-EXP(-LN(2)/25))/(LN(2)/25)*Calculateur!V106*Calculateur!X106*VLOOKUP('Données projet'!$B$9,Paramètres!$A$1:$I$89,3,0)*0.475*44/12</f>
        <v>1.3586614548545586</v>
      </c>
      <c r="AB106" s="21">
        <f>EXP(-LN(2)/2)*AB105+(1-EXP(-LN(2)/2))/(LN(2)/2)*V106*Y106*VLOOKUP('Données projet'!$B$9,Paramètres!$A$1:$I$89,3,0)*0.475*44/12</f>
        <v>1.1073383089360176E-10</v>
      </c>
      <c r="AC106" s="22">
        <f t="shared" si="57"/>
        <v>1.3586614549652924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566</v>
      </c>
      <c r="AJ106" s="13">
        <f>AI106*VLOOKUP('Données projet'!$B$10,Paramètres!$A$1:$I$89,3,0)*VLOOKUP('Données projet'!$B$10,Paramètres!$A$1:$I$89,5,0)</f>
        <v>338.46800000000002</v>
      </c>
      <c r="AK106" s="13">
        <f t="shared" si="89"/>
        <v>79.183342377469998</v>
      </c>
      <c r="AL106" s="20">
        <f t="shared" si="58"/>
        <v>727.4094213074269</v>
      </c>
      <c r="AM106" s="59">
        <f t="shared" si="59"/>
        <v>1020.7427546407603</v>
      </c>
      <c r="AN106" s="59">
        <f ca="1">AVERAGE(OFFSET($AM$3,0,0,'Données projet'!$E$10+1,1))-AVERAGE(OFFSET($H$3,0,0,'Données projet'!$E$10+1,1))</f>
        <v>287.78657453117694</v>
      </c>
      <c r="AO106" s="59">
        <f t="shared" si="90"/>
        <v>153.31562485362252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0.68959379368227547</v>
      </c>
      <c r="AV106" s="21">
        <f>EXP(-LN(2)/25)*AV105+(1-EXP(-LN(2)/25))/(LN(2)/25)*Calculateur!AQ106*Calculateur!AS106*VLOOKUP('Données projet'!$B$10,Paramètres!$A$1:$I$89,3,0)*0.475*44/12</f>
        <v>0.77048636355557309</v>
      </c>
      <c r="AW106" s="21">
        <f>EXP(-LN(2)/2)*AW105+(1-EXP(-LN(2)/2))/(LN(2)/2)*AQ106*AT106*VLOOKUP('Données projet'!$B$10,Paramètres!$A$1:$I$89,3,0)*0.475*44/12</f>
        <v>1.1425776630170533E-10</v>
      </c>
      <c r="AX106" s="21">
        <f t="shared" si="60"/>
        <v>1.4600801573521063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-6.7984728957526396E-14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250.93905519128998</v>
      </c>
      <c r="BJ106" s="59">
        <f t="shared" si="92"/>
        <v>222.32879462265032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0.30180127198919932</v>
      </c>
      <c r="BQ106" s="21">
        <f>EXP(-LN(2)/25)*BQ105+(1-EXP(-LN(2)/25))/(LN(2)/25)*Calculateur!BL106*Calculateur!BN106*VLOOKUP('Données projet'!$B$11,Paramètres!$A$1:$I$89,3,0)*0.475*44/12</f>
        <v>1.5293330825564742</v>
      </c>
      <c r="BR106" s="21">
        <f>EXP(-LN(2)/2)*BR105+(1-EXP(-LN(2)/2))/(LN(2)/2)*BL106*BO106*VLOOKUP('Données projet'!$B$11,Paramètres!$A$1:$I$89,3,0)*0.475*44/12</f>
        <v>1.9420668424130122E-11</v>
      </c>
      <c r="BS106" s="22">
        <f t="shared" si="63"/>
        <v>1.8311343545650942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-2.8421709430404007E-13</v>
      </c>
      <c r="BZ106" s="13">
        <f>BY106*VLOOKUP('Données projet'!$B$12,Paramètres!$A$1:$I$89,3,0)*VLOOKUP('Données projet'!$B$12,Paramètres!$A$1:$I$89,5,0)</f>
        <v>-1.69961822393816E-13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179.32848817523677</v>
      </c>
      <c r="CE106" s="59">
        <f t="shared" si="94"/>
        <v>131.3292389103035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1.7414475922430772</v>
      </c>
      <c r="CM106" s="21">
        <f>EXP(-LN(2)/2)*CM105+(1-EXP(-LN(2)/2))/(LN(2)/2)*CG106*CJ106*VLOOKUP('Données projet'!$B$12,Paramètres!$A$1:$I$89,3,0)*0.475*44/12</f>
        <v>5.4153651947115917E-11</v>
      </c>
      <c r="CN106" s="22">
        <f t="shared" si="66"/>
        <v>1.7414475922972308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7.2711538461538394</v>
      </c>
      <c r="CT106" s="12">
        <f>IF('Données projet'!$A$140&gt;35,CT105+CS106-DB105,IF(A106&lt;'Données projet'!$A$140,$CQ$205^A106,IF(A106='Données projet'!$A$140,'Données projet'!$B$140,CT105+CS106-DB105)))</f>
        <v>311.4608974358971</v>
      </c>
      <c r="CU106" s="17">
        <f>CT106*VLOOKUP('Données projet'!$B$13,Paramètres!$A$1:$I$89,3,0)*VLOOKUP('Données projet'!$B$13,Paramètres!$A$1:$I$89,5,0)</f>
        <v>281.80981999999966</v>
      </c>
      <c r="CV106" s="13">
        <f t="shared" si="95"/>
        <v>67.349332340203063</v>
      </c>
      <c r="CW106" s="20">
        <f t="shared" si="67"/>
        <v>608.11885699251968</v>
      </c>
      <c r="CX106" s="59">
        <f t="shared" si="68"/>
        <v>901.45219032585305</v>
      </c>
      <c r="CY106" s="59">
        <f ca="1">AVERAGE(OFFSET($CX$3,0,0,'Données projet'!$E$13+1,1))-AVERAGE(OFFSET($H$3,0,0,'Données projet'!$E$13+1,1))</f>
        <v>309.07357540707869</v>
      </c>
      <c r="CZ106" s="59">
        <f t="shared" si="96"/>
        <v>155.9593924683299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227.99999999999986</v>
      </c>
      <c r="DP106" s="17">
        <f>DO106*VLOOKUP('Données projet'!$B$14,Paramètres!$A$1:$I$89,3,0)*VLOOKUP('Données projet'!$B$14,Paramètres!$A$1:$I$89,5,0)</f>
        <v>199.18079999999992</v>
      </c>
      <c r="DQ106" s="13">
        <f t="shared" si="97"/>
        <v>49.564089376413683</v>
      </c>
      <c r="DR106" s="20">
        <f t="shared" si="70"/>
        <v>433.23068233058694</v>
      </c>
      <c r="DS106" s="59">
        <f t="shared" si="71"/>
        <v>726.56401566392026</v>
      </c>
      <c r="DT106" s="59">
        <f ca="1">AVERAGE(OFFSET($DS$3,0,0,'Données projet'!$E$14+1,1))-AVERAGE(OFFSET($H$3,0,0,'Données projet'!$E$14+1,1))</f>
        <v>210.07838338464626</v>
      </c>
      <c r="DU106" s="59">
        <f t="shared" si="98"/>
        <v>241.76003724236273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1.2486225011142009</v>
      </c>
      <c r="EB106" s="21">
        <f>EXP(-LN(2)/25)*EB105+(1-EXP(-LN(2)/25))/(LN(2)/25)*Calculateur!DW106*Calculateur!DY106*VLOOKUP('Données projet'!$B$14,Paramètres!$A$1:$I$89,3,0)*0.475*44/12</f>
        <v>1.7916332815043705</v>
      </c>
      <c r="EC106" s="21">
        <f>EXP(-LN(2)/2)*EC105+(1-EXP(-LN(2)/2))/(LN(2)/2)*DW106*DZ106*VLOOKUP('Données projet'!$B$14,Paramètres!$A$1:$I$89,3,0)*0.475*44/12</f>
        <v>1.6434209171779114E-10</v>
      </c>
      <c r="ED106" s="22">
        <f t="shared" si="72"/>
        <v>3.0402557827829133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6.2527760746888816E-13</v>
      </c>
      <c r="EK106" s="17">
        <f>EJ106*VLOOKUP('Données projet'!$B$15,Paramètres!$A$1:$I$89,3,0)*VLOOKUP('Données projet'!$B$15,Paramètres!$A$1:$I$89,5,0)</f>
        <v>3.9017322706058616E-13</v>
      </c>
      <c r="EL106" s="13">
        <f t="shared" si="99"/>
        <v>5.0025007393608908E-12</v>
      </c>
      <c r="EM106" s="20">
        <f t="shared" si="73"/>
        <v>9.3922404915174053E-12</v>
      </c>
      <c r="EN106" s="59">
        <f t="shared" si="74"/>
        <v>293.33333333334269</v>
      </c>
      <c r="EO106" s="59">
        <f ca="1">AVERAGE(OFFSET($EN$3,0,0,'Données projet'!$E$15+1,1))-AVERAGE(OFFSET($H$3,0,0,'Données projet'!$E$15+1,1))</f>
        <v>209.93608079129638</v>
      </c>
      <c r="EP106" s="59">
        <f t="shared" si="100"/>
        <v>240.15652428700969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1.6380594887044493</v>
      </c>
      <c r="EW106" s="21">
        <f>EXP(-LN(2)/25)*EW105+(1-EXP(-LN(2)/25))/(LN(2)/25)*Calculateur!ER106*Calculateur!ET106*VLOOKUP('Données projet'!$B$15,Paramètres!$A$1:$I$89,3,0)*0.475*44/12</f>
        <v>2.7466492831845413</v>
      </c>
      <c r="EX106" s="21">
        <f>EXP(-LN(2)/2)*EX105+(1-EXP(-LN(2)/2))/(LN(2)/2)*ER106*EU106*VLOOKUP('Données projet'!$B$15,Paramètres!$A$1:$I$89,3,0)*0.475*44/12</f>
        <v>2.077586040884988E-10</v>
      </c>
      <c r="EY106" s="22">
        <f t="shared" si="75"/>
        <v>4.384708772096749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5.6843418860808015E-14</v>
      </c>
      <c r="O107" s="13">
        <f>N107*VLOOKUP('Données projet'!$B$9,Paramètres!$A$1:$I$89,3,0)*VLOOKUP('Données projet'!$B$9,Paramètres!$A$1:$I$89,5,0)</f>
        <v>4.5224624045658861E-14</v>
      </c>
      <c r="P107" s="13">
        <f t="shared" si="87"/>
        <v>7.4514601661523691E-13</v>
      </c>
      <c r="Q107" s="20">
        <f t="shared" si="107"/>
        <v>1.3765621991510601E-12</v>
      </c>
      <c r="R107" s="59">
        <f t="shared" si="55"/>
        <v>293.33333333333468</v>
      </c>
      <c r="S107" s="59">
        <f ca="1">AVERAGE(OFFSET($R$3,0,0,'Données projet'!$E$9+1,1))-AVERAGE(OFFSET($H$3,0,0,'Données projet'!$E$9+1,1))</f>
        <v>199.58763537752952</v>
      </c>
      <c r="T107" s="59">
        <f t="shared" si="88"/>
        <v>242.62852778451929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</v>
      </c>
      <c r="AA107" s="21">
        <f>EXP(-LN(2)/25)*AA106+(1-EXP(-LN(2)/25))/(LN(2)/25)*Calculateur!V107*Calculateur!X107*VLOOKUP('Données projet'!$B$9,Paramètres!$A$1:$I$89,3,0)*0.475*44/12</f>
        <v>1.32150878592266</v>
      </c>
      <c r="AB107" s="21">
        <f>EXP(-LN(2)/2)*AB106+(1-EXP(-LN(2)/2))/(LN(2)/2)*V107*Y107*VLOOKUP('Données projet'!$B$9,Paramètres!$A$1:$I$89,3,0)*0.475*44/12</f>
        <v>7.8300642731630214E-11</v>
      </c>
      <c r="AC107" s="22">
        <f t="shared" si="57"/>
        <v>1.3215087860009607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566</v>
      </c>
      <c r="AJ107" s="13">
        <f>AI107*VLOOKUP('Données projet'!$B$10,Paramètres!$A$1:$I$89,3,0)*VLOOKUP('Données projet'!$B$10,Paramètres!$A$1:$I$89,5,0)</f>
        <v>338.46800000000002</v>
      </c>
      <c r="AK107" s="13">
        <f t="shared" si="89"/>
        <v>79.183342377469998</v>
      </c>
      <c r="AL107" s="20">
        <f t="shared" si="58"/>
        <v>727.4094213074269</v>
      </c>
      <c r="AM107" s="59">
        <f t="shared" si="59"/>
        <v>1020.7427546407603</v>
      </c>
      <c r="AN107" s="59">
        <f ca="1">AVERAGE(OFFSET($AM$3,0,0,'Données projet'!$E$10+1,1))-AVERAGE(OFFSET($H$3,0,0,'Données projet'!$E$10+1,1))</f>
        <v>287.78657453117694</v>
      </c>
      <c r="AO107" s="59">
        <f t="shared" si="90"/>
        <v>153.31562485362252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0.67607127999884831</v>
      </c>
      <c r="AV107" s="21">
        <f>EXP(-LN(2)/25)*AV106+(1-EXP(-LN(2)/25))/(LN(2)/25)*Calculateur!AQ107*Calculateur!AS107*VLOOKUP('Données projet'!$B$10,Paramètres!$A$1:$I$89,3,0)*0.475*44/12</f>
        <v>0.7494173734260291</v>
      </c>
      <c r="AW107" s="21">
        <f>EXP(-LN(2)/2)*AW106+(1-EXP(-LN(2)/2))/(LN(2)/2)*AQ107*AT107*VLOOKUP('Données projet'!$B$10,Paramètres!$A$1:$I$89,3,0)*0.475*44/12</f>
        <v>8.0792441355163638E-11</v>
      </c>
      <c r="AX107" s="21">
        <f t="shared" si="60"/>
        <v>1.4254886535056699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-6.7984728957526396E-14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250.93905519128998</v>
      </c>
      <c r="BJ107" s="59">
        <f t="shared" si="92"/>
        <v>222.32879462265032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0.2958831331260906</v>
      </c>
      <c r="BQ107" s="21">
        <f>EXP(-LN(2)/25)*BQ106+(1-EXP(-LN(2)/25))/(LN(2)/25)*Calculateur!BL107*Calculateur!BN107*VLOOKUP('Données projet'!$B$11,Paramètres!$A$1:$I$89,3,0)*0.475*44/12</f>
        <v>1.487513388989836</v>
      </c>
      <c r="BR107" s="21">
        <f>EXP(-LN(2)/2)*BR106+(1-EXP(-LN(2)/2))/(LN(2)/2)*BL107*BO107*VLOOKUP('Données projet'!$B$11,Paramètres!$A$1:$I$89,3,0)*0.475*44/12</f>
        <v>1.3732486337877871E-11</v>
      </c>
      <c r="BS107" s="22">
        <f t="shared" si="63"/>
        <v>1.7833965221296593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-2.8421709430404007E-13</v>
      </c>
      <c r="BZ107" s="13">
        <f>BY107*VLOOKUP('Données projet'!$B$12,Paramètres!$A$1:$I$89,3,0)*VLOOKUP('Données projet'!$B$12,Paramètres!$A$1:$I$89,5,0)</f>
        <v>-1.69961822393816E-13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179.32848817523677</v>
      </c>
      <c r="CE107" s="59">
        <f t="shared" si="94"/>
        <v>131.3292389103035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1.6938276162544414</v>
      </c>
      <c r="CM107" s="21">
        <f>EXP(-LN(2)/2)*CM106+(1-EXP(-LN(2)/2))/(LN(2)/2)*CG107*CJ107*VLOOKUP('Données projet'!$B$12,Paramètres!$A$1:$I$89,3,0)*0.475*44/12</f>
        <v>3.8292414517821747E-11</v>
      </c>
      <c r="CN107" s="22">
        <f t="shared" si="66"/>
        <v>1.6938276162927339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7.2711538461538394</v>
      </c>
      <c r="CT107" s="12">
        <f>IF('Données projet'!$A$140&gt;35,CT106+CS107-DB106,IF(A107&lt;'Données projet'!$A$140,$CQ$205^A107,IF(A107='Données projet'!$A$140,'Données projet'!$B$140,CT106+CS107-DB106)))</f>
        <v>318.73205128205092</v>
      </c>
      <c r="CU107" s="17">
        <f>CT107*VLOOKUP('Données projet'!$B$13,Paramètres!$A$1:$I$89,3,0)*VLOOKUP('Données projet'!$B$13,Paramètres!$A$1:$I$89,5,0)</f>
        <v>288.38875999999971</v>
      </c>
      <c r="CV107" s="13">
        <f t="shared" si="95"/>
        <v>68.736737801641027</v>
      </c>
      <c r="CW107" s="20">
        <f t="shared" si="67"/>
        <v>621.99357533785758</v>
      </c>
      <c r="CX107" s="59">
        <f t="shared" si="68"/>
        <v>915.32690867119095</v>
      </c>
      <c r="CY107" s="59">
        <f ca="1">AVERAGE(OFFSET($CX$3,0,0,'Données projet'!$E$13+1,1))-AVERAGE(OFFSET($H$3,0,0,'Données projet'!$E$13+1,1))</f>
        <v>309.07357540707869</v>
      </c>
      <c r="CZ107" s="59">
        <f t="shared" si="96"/>
        <v>155.9593924683299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227.99999999999986</v>
      </c>
      <c r="DP107" s="17">
        <f>DO107*VLOOKUP('Données projet'!$B$14,Paramètres!$A$1:$I$89,3,0)*VLOOKUP('Données projet'!$B$14,Paramètres!$A$1:$I$89,5,0)</f>
        <v>199.18079999999992</v>
      </c>
      <c r="DQ107" s="13">
        <f t="shared" si="97"/>
        <v>49.564089376413683</v>
      </c>
      <c r="DR107" s="20">
        <f t="shared" si="70"/>
        <v>433.23068233058694</v>
      </c>
      <c r="DS107" s="59">
        <f t="shared" si="71"/>
        <v>726.56401566392026</v>
      </c>
      <c r="DT107" s="59">
        <f ca="1">AVERAGE(OFFSET($DS$3,0,0,'Données projet'!$E$14+1,1))-AVERAGE(OFFSET($H$3,0,0,'Données projet'!$E$14+1,1))</f>
        <v>210.07838338464626</v>
      </c>
      <c r="DU107" s="59">
        <f t="shared" si="98"/>
        <v>241.76003724236273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1.224137775451877</v>
      </c>
      <c r="EB107" s="21">
        <f>EXP(-LN(2)/25)*EB106+(1-EXP(-LN(2)/25))/(LN(2)/25)*Calculateur!DW107*Calculateur!DY107*VLOOKUP('Données projet'!$B$14,Paramètres!$A$1:$I$89,3,0)*0.475*44/12</f>
        <v>1.742640975203734</v>
      </c>
      <c r="EC107" s="21">
        <f>EXP(-LN(2)/2)*EC106+(1-EXP(-LN(2)/2))/(LN(2)/2)*DW107*DZ107*VLOOKUP('Données projet'!$B$14,Paramètres!$A$1:$I$89,3,0)*0.475*44/12</f>
        <v>1.1620740748803168E-10</v>
      </c>
      <c r="ED107" s="22">
        <f t="shared" si="72"/>
        <v>2.9667787507718186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6.2527760746888816E-13</v>
      </c>
      <c r="EK107" s="17">
        <f>EJ107*VLOOKUP('Données projet'!$B$15,Paramètres!$A$1:$I$89,3,0)*VLOOKUP('Données projet'!$B$15,Paramètres!$A$1:$I$89,5,0)</f>
        <v>3.9017322706058616E-13</v>
      </c>
      <c r="EL107" s="13">
        <f t="shared" si="99"/>
        <v>5.0025007393608908E-12</v>
      </c>
      <c r="EM107" s="20">
        <f t="shared" si="73"/>
        <v>9.3922404915174053E-12</v>
      </c>
      <c r="EN107" s="59">
        <f t="shared" si="74"/>
        <v>293.33333333334269</v>
      </c>
      <c r="EO107" s="59">
        <f ca="1">AVERAGE(OFFSET($EN$3,0,0,'Données projet'!$E$15+1,1))-AVERAGE(OFFSET($H$3,0,0,'Données projet'!$E$15+1,1))</f>
        <v>209.93608079129638</v>
      </c>
      <c r="EP107" s="59">
        <f t="shared" si="100"/>
        <v>240.15652428700969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1.6059381412485885</v>
      </c>
      <c r="EW107" s="21">
        <f>EXP(-LN(2)/25)*EW106+(1-EXP(-LN(2)/25))/(LN(2)/25)*Calculateur!ER107*Calculateur!ET107*VLOOKUP('Données projet'!$B$15,Paramètres!$A$1:$I$89,3,0)*0.475*44/12</f>
        <v>2.6715420140958517</v>
      </c>
      <c r="EX107" s="21">
        <f>EXP(-LN(2)/2)*EX106+(1-EXP(-LN(2)/2))/(LN(2)/2)*ER107*EU107*VLOOKUP('Données projet'!$B$15,Paramètres!$A$1:$I$89,3,0)*0.475*44/12</f>
        <v>1.4690751780082868E-10</v>
      </c>
      <c r="EY107" s="22">
        <f t="shared" si="75"/>
        <v>4.2774801554913475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5.6843418860808015E-14</v>
      </c>
      <c r="O108" s="13">
        <f>N108*VLOOKUP('Données projet'!$B$9,Paramètres!$A$1:$I$89,3,0)*VLOOKUP('Données projet'!$B$9,Paramètres!$A$1:$I$89,5,0)</f>
        <v>4.5224624045658861E-14</v>
      </c>
      <c r="P108" s="13">
        <f t="shared" si="87"/>
        <v>7.4514601661523691E-13</v>
      </c>
      <c r="Q108" s="20">
        <f t="shared" si="107"/>
        <v>1.3765621991510601E-12</v>
      </c>
      <c r="R108" s="59">
        <f t="shared" si="55"/>
        <v>293.33333333333468</v>
      </c>
      <c r="S108" s="59">
        <f ca="1">AVERAGE(OFFSET($R$3,0,0,'Données projet'!$E$9+1,1))-AVERAGE(OFFSET($H$3,0,0,'Données projet'!$E$9+1,1))</f>
        <v>199.58763537752952</v>
      </c>
      <c r="T108" s="59">
        <f t="shared" si="88"/>
        <v>242.62852778451929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</v>
      </c>
      <c r="AA108" s="21">
        <f>EXP(-LN(2)/25)*AA107+(1-EXP(-LN(2)/25))/(LN(2)/25)*Calculateur!V108*Calculateur!X108*VLOOKUP('Données projet'!$B$9,Paramètres!$A$1:$I$89,3,0)*0.475*44/12</f>
        <v>1.2853720586764781</v>
      </c>
      <c r="AB108" s="21">
        <f>EXP(-LN(2)/2)*AB107+(1-EXP(-LN(2)/2))/(LN(2)/2)*V108*Y108*VLOOKUP('Données projet'!$B$9,Paramètres!$A$1:$I$89,3,0)*0.475*44/12</f>
        <v>5.5366915446800879E-11</v>
      </c>
      <c r="AC108" s="22">
        <f t="shared" si="57"/>
        <v>1.2853720587318449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566</v>
      </c>
      <c r="AJ108" s="13">
        <f>AI108*VLOOKUP('Données projet'!$B$10,Paramètres!$A$1:$I$89,3,0)*VLOOKUP('Données projet'!$B$10,Paramètres!$A$1:$I$89,5,0)</f>
        <v>338.46800000000002</v>
      </c>
      <c r="AK108" s="13">
        <f t="shared" si="89"/>
        <v>79.183342377469998</v>
      </c>
      <c r="AL108" s="20">
        <f t="shared" si="58"/>
        <v>727.4094213074269</v>
      </c>
      <c r="AM108" s="59">
        <f t="shared" si="59"/>
        <v>1020.7427546407603</v>
      </c>
      <c r="AN108" s="59">
        <f ca="1">AVERAGE(OFFSET($AM$3,0,0,'Données projet'!$E$10+1,1))-AVERAGE(OFFSET($H$3,0,0,'Données projet'!$E$10+1,1))</f>
        <v>287.78657453117694</v>
      </c>
      <c r="AO108" s="59">
        <f t="shared" si="90"/>
        <v>153.31562485362252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0.66281393456083426</v>
      </c>
      <c r="AV108" s="21">
        <f>EXP(-LN(2)/25)*AV107+(1-EXP(-LN(2)/25))/(LN(2)/25)*Calculateur!AQ108*Calculateur!AS108*VLOOKUP('Données projet'!$B$10,Paramètres!$A$1:$I$89,3,0)*0.475*44/12</f>
        <v>0.72892451593954743</v>
      </c>
      <c r="AW108" s="21">
        <f>EXP(-LN(2)/2)*AW107+(1-EXP(-LN(2)/2))/(LN(2)/2)*AQ108*AT108*VLOOKUP('Données projet'!$B$10,Paramètres!$A$1:$I$89,3,0)*0.475*44/12</f>
        <v>5.7128883150852672E-11</v>
      </c>
      <c r="AX108" s="21">
        <f t="shared" si="60"/>
        <v>1.3917384505575106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-6.7984728957526396E-14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250.93905519128998</v>
      </c>
      <c r="BJ108" s="59">
        <f t="shared" si="92"/>
        <v>222.32879462265032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0.29008104535637913</v>
      </c>
      <c r="BQ108" s="21">
        <f>EXP(-LN(2)/25)*BQ107+(1-EXP(-LN(2)/25))/(LN(2)/25)*Calculateur!BL108*Calculateur!BN108*VLOOKUP('Données projet'!$B$11,Paramètres!$A$1:$I$89,3,0)*0.475*44/12</f>
        <v>1.4468372571429795</v>
      </c>
      <c r="BR108" s="21">
        <f>EXP(-LN(2)/2)*BR107+(1-EXP(-LN(2)/2))/(LN(2)/2)*BL108*BO108*VLOOKUP('Données projet'!$B$11,Paramètres!$A$1:$I$89,3,0)*0.475*44/12</f>
        <v>9.7103342120650612E-12</v>
      </c>
      <c r="BS108" s="22">
        <f t="shared" si="63"/>
        <v>1.7369183025090689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-2.8421709430404007E-13</v>
      </c>
      <c r="BZ108" s="13">
        <f>BY108*VLOOKUP('Données projet'!$B$12,Paramètres!$A$1:$I$89,3,0)*VLOOKUP('Données projet'!$B$12,Paramètres!$A$1:$I$89,5,0)</f>
        <v>-1.69961822393816E-13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179.32848817523677</v>
      </c>
      <c r="CE108" s="59">
        <f t="shared" si="94"/>
        <v>131.3292389103035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1.6475098110134407</v>
      </c>
      <c r="CM108" s="21">
        <f>EXP(-LN(2)/2)*CM107+(1-EXP(-LN(2)/2))/(LN(2)/2)*CG108*CJ108*VLOOKUP('Données projet'!$B$12,Paramètres!$A$1:$I$89,3,0)*0.475*44/12</f>
        <v>2.7076825973557958E-11</v>
      </c>
      <c r="CN108" s="22">
        <f t="shared" si="66"/>
        <v>1.6475098110405175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7.2711538461538394</v>
      </c>
      <c r="CT108" s="12">
        <f>IF('Données projet'!$A$140&gt;35,CT107+CS108-DB107,IF(A108&lt;'Données projet'!$A$140,$CQ$205^A108,IF(A108='Données projet'!$A$140,'Données projet'!$B$140,CT107+CS108-DB107)))</f>
        <v>326.00320512820474</v>
      </c>
      <c r="CU108" s="17">
        <f>CT108*VLOOKUP('Données projet'!$B$13,Paramètres!$A$1:$I$89,3,0)*VLOOKUP('Données projet'!$B$13,Paramètres!$A$1:$I$89,5,0)</f>
        <v>294.96769999999964</v>
      </c>
      <c r="CV108" s="13">
        <f t="shared" si="95"/>
        <v>70.120463691076594</v>
      </c>
      <c r="CW108" s="20">
        <f t="shared" si="67"/>
        <v>635.86188509529109</v>
      </c>
      <c r="CX108" s="59">
        <f t="shared" si="68"/>
        <v>929.19521842862446</v>
      </c>
      <c r="CY108" s="59">
        <f ca="1">AVERAGE(OFFSET($CX$3,0,0,'Données projet'!$E$13+1,1))-AVERAGE(OFFSET($H$3,0,0,'Données projet'!$E$13+1,1))</f>
        <v>309.07357540707869</v>
      </c>
      <c r="CZ108" s="59">
        <f t="shared" si="96"/>
        <v>155.9593924683299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227.99999999999986</v>
      </c>
      <c r="DP108" s="17">
        <f>DO108*VLOOKUP('Données projet'!$B$14,Paramètres!$A$1:$I$89,3,0)*VLOOKUP('Données projet'!$B$14,Paramètres!$A$1:$I$89,5,0)</f>
        <v>199.18079999999992</v>
      </c>
      <c r="DQ108" s="13">
        <f t="shared" si="97"/>
        <v>49.564089376413683</v>
      </c>
      <c r="DR108" s="20">
        <f t="shared" si="70"/>
        <v>433.23068233058694</v>
      </c>
      <c r="DS108" s="59">
        <f t="shared" si="71"/>
        <v>726.56401566392026</v>
      </c>
      <c r="DT108" s="59">
        <f ca="1">AVERAGE(OFFSET($DS$3,0,0,'Données projet'!$E$14+1,1))-AVERAGE(OFFSET($H$3,0,0,'Données projet'!$E$14+1,1))</f>
        <v>210.07838338464626</v>
      </c>
      <c r="DU108" s="59">
        <f t="shared" si="98"/>
        <v>241.76003724236273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1.200133180325583</v>
      </c>
      <c r="EB108" s="21">
        <f>EXP(-LN(2)/25)*EB107+(1-EXP(-LN(2)/25))/(LN(2)/25)*Calculateur!DW108*Calculateur!DY108*VLOOKUP('Données projet'!$B$14,Paramètres!$A$1:$I$89,3,0)*0.475*44/12</f>
        <v>1.6949883660952818</v>
      </c>
      <c r="EC108" s="21">
        <f>EXP(-LN(2)/2)*EC107+(1-EXP(-LN(2)/2))/(LN(2)/2)*DW108*DZ108*VLOOKUP('Données projet'!$B$14,Paramètres!$A$1:$I$89,3,0)*0.475*44/12</f>
        <v>8.2171045858895584E-11</v>
      </c>
      <c r="ED108" s="22">
        <f t="shared" si="72"/>
        <v>2.8951215465030358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6.2527760746888816E-13</v>
      </c>
      <c r="EK108" s="17">
        <f>EJ108*VLOOKUP('Données projet'!$B$15,Paramètres!$A$1:$I$89,3,0)*VLOOKUP('Données projet'!$B$15,Paramètres!$A$1:$I$89,5,0)</f>
        <v>3.9017322706058616E-13</v>
      </c>
      <c r="EL108" s="13">
        <f t="shared" si="99"/>
        <v>5.0025007393608908E-12</v>
      </c>
      <c r="EM108" s="20">
        <f t="shared" si="73"/>
        <v>9.3922404915174053E-12</v>
      </c>
      <c r="EN108" s="59">
        <f t="shared" si="74"/>
        <v>293.33333333334269</v>
      </c>
      <c r="EO108" s="59">
        <f ca="1">AVERAGE(OFFSET($EN$3,0,0,'Données projet'!$E$15+1,1))-AVERAGE(OFFSET($H$3,0,0,'Données projet'!$E$15+1,1))</f>
        <v>209.93608079129638</v>
      </c>
      <c r="EP108" s="59">
        <f t="shared" si="100"/>
        <v>240.15652428700969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1.5744466738242497</v>
      </c>
      <c r="EW108" s="21">
        <f>EXP(-LN(2)/25)*EW107+(1-EXP(-LN(2)/25))/(LN(2)/25)*Calculateur!ER108*Calculateur!ET108*VLOOKUP('Données projet'!$B$15,Paramètres!$A$1:$I$89,3,0)*0.475*44/12</f>
        <v>2.598488557230112</v>
      </c>
      <c r="EX108" s="21">
        <f>EXP(-LN(2)/2)*EX107+(1-EXP(-LN(2)/2))/(LN(2)/2)*ER108*EU108*VLOOKUP('Données projet'!$B$15,Paramètres!$A$1:$I$89,3,0)*0.475*44/12</f>
        <v>1.038793020442494E-10</v>
      </c>
      <c r="EY108" s="22">
        <f t="shared" si="75"/>
        <v>4.1729352311582417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5.6843418860808015E-14</v>
      </c>
      <c r="O109" s="13">
        <f>N109*VLOOKUP('Données projet'!$B$9,Paramètres!$A$1:$I$89,3,0)*VLOOKUP('Données projet'!$B$9,Paramètres!$A$1:$I$89,5,0)</f>
        <v>4.5224624045658861E-14</v>
      </c>
      <c r="P109" s="13">
        <f t="shared" si="87"/>
        <v>7.4514601661523691E-13</v>
      </c>
      <c r="Q109" s="20">
        <f t="shared" si="107"/>
        <v>1.3765621991510601E-12</v>
      </c>
      <c r="R109" s="59">
        <f t="shared" si="55"/>
        <v>293.33333333333468</v>
      </c>
      <c r="S109" s="59">
        <f ca="1">AVERAGE(OFFSET($R$3,0,0,'Données projet'!$E$9+1,1))-AVERAGE(OFFSET($H$3,0,0,'Données projet'!$E$9+1,1))</f>
        <v>199.58763537752952</v>
      </c>
      <c r="T109" s="59">
        <f t="shared" si="88"/>
        <v>242.62852778451929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</v>
      </c>
      <c r="AA109" s="21">
        <f>EXP(-LN(2)/25)*AA108+(1-EXP(-LN(2)/25))/(LN(2)/25)*Calculateur!V109*Calculateur!X109*VLOOKUP('Données projet'!$B$9,Paramètres!$A$1:$I$89,3,0)*0.475*44/12</f>
        <v>1.2502234921371911</v>
      </c>
      <c r="AB109" s="21">
        <f>EXP(-LN(2)/2)*AB108+(1-EXP(-LN(2)/2))/(LN(2)/2)*V109*Y109*VLOOKUP('Données projet'!$B$9,Paramètres!$A$1:$I$89,3,0)*0.475*44/12</f>
        <v>3.9150321365815107E-11</v>
      </c>
      <c r="AC109" s="22">
        <f t="shared" si="57"/>
        <v>1.2502234921763413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566</v>
      </c>
      <c r="AJ109" s="13">
        <f>AI109*VLOOKUP('Données projet'!$B$10,Paramètres!$A$1:$I$89,3,0)*VLOOKUP('Données projet'!$B$10,Paramètres!$A$1:$I$89,5,0)</f>
        <v>338.46800000000002</v>
      </c>
      <c r="AK109" s="13">
        <f t="shared" si="89"/>
        <v>79.183342377469998</v>
      </c>
      <c r="AL109" s="20">
        <f t="shared" si="58"/>
        <v>727.4094213074269</v>
      </c>
      <c r="AM109" s="59">
        <f t="shared" si="59"/>
        <v>1020.7427546407603</v>
      </c>
      <c r="AN109" s="59">
        <f ca="1">AVERAGE(OFFSET($AM$3,0,0,'Données projet'!$E$10+1,1))-AVERAGE(OFFSET($H$3,0,0,'Données projet'!$E$10+1,1))</f>
        <v>287.78657453117694</v>
      </c>
      <c r="AO109" s="59">
        <f t="shared" si="90"/>
        <v>153.31562485362252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0.64981655758067736</v>
      </c>
      <c r="AV109" s="21">
        <f>EXP(-LN(2)/25)*AV108+(1-EXP(-LN(2)/25))/(LN(2)/25)*Calculateur!AQ109*Calculateur!AS109*VLOOKUP('Données projet'!$B$10,Paramètres!$A$1:$I$89,3,0)*0.475*44/12</f>
        <v>0.70899203671870614</v>
      </c>
      <c r="AW109" s="21">
        <f>EXP(-LN(2)/2)*AW108+(1-EXP(-LN(2)/2))/(LN(2)/2)*AQ109*AT109*VLOOKUP('Données projet'!$B$10,Paramètres!$A$1:$I$89,3,0)*0.475*44/12</f>
        <v>4.0396220677581825E-11</v>
      </c>
      <c r="AX109" s="21">
        <f t="shared" si="60"/>
        <v>1.3588085943397796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-6.7984728957526396E-14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250.93905519128998</v>
      </c>
      <c r="BJ109" s="59">
        <f t="shared" si="92"/>
        <v>222.32879462265032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0.2843927329889076</v>
      </c>
      <c r="BQ109" s="21">
        <f>EXP(-LN(2)/25)*BQ108+(1-EXP(-LN(2)/25))/(LN(2)/25)*Calculateur!BL109*Calculateur!BN109*VLOOKUP('Données projet'!$B$11,Paramètres!$A$1:$I$89,3,0)*0.475*44/12</f>
        <v>1.4072734162605403</v>
      </c>
      <c r="BR109" s="21">
        <f>EXP(-LN(2)/2)*BR108+(1-EXP(-LN(2)/2))/(LN(2)/2)*BL109*BO109*VLOOKUP('Données projet'!$B$11,Paramètres!$A$1:$I$89,3,0)*0.475*44/12</f>
        <v>6.8662431689389357E-12</v>
      </c>
      <c r="BS109" s="22">
        <f t="shared" si="63"/>
        <v>1.6916661492563141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-2.8421709430404007E-13</v>
      </c>
      <c r="BZ109" s="13">
        <f>BY109*VLOOKUP('Données projet'!$B$12,Paramètres!$A$1:$I$89,3,0)*VLOOKUP('Données projet'!$B$12,Paramètres!$A$1:$I$89,5,0)</f>
        <v>-1.69961822393816E-13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179.32848817523677</v>
      </c>
      <c r="CE109" s="59">
        <f t="shared" si="94"/>
        <v>131.3292389103035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1.6024585685925026</v>
      </c>
      <c r="CM109" s="21">
        <f>EXP(-LN(2)/2)*CM108+(1-EXP(-LN(2)/2))/(LN(2)/2)*CG109*CJ109*VLOOKUP('Données projet'!$B$12,Paramètres!$A$1:$I$89,3,0)*0.475*44/12</f>
        <v>1.9146207258910874E-11</v>
      </c>
      <c r="CN109" s="22">
        <f t="shared" si="66"/>
        <v>1.6024585686116488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7.2711538461538394</v>
      </c>
      <c r="CT109" s="12">
        <f>IF('Données projet'!$A$140&gt;35,CT108+CS109-DB108,IF(A109&lt;'Données projet'!$A$140,$CQ$205^A109,IF(A109='Données projet'!$A$140,'Données projet'!$B$140,CT108+CS109-DB108)))</f>
        <v>333.27435897435856</v>
      </c>
      <c r="CU109" s="17">
        <f>CT109*VLOOKUP('Données projet'!$B$13,Paramètres!$A$1:$I$89,3,0)*VLOOKUP('Données projet'!$B$13,Paramètres!$A$1:$I$89,5,0)</f>
        <v>301.54663999999963</v>
      </c>
      <c r="CV109" s="13">
        <f t="shared" si="95"/>
        <v>71.500601526763546</v>
      </c>
      <c r="CW109" s="20">
        <f t="shared" si="67"/>
        <v>649.72394565911247</v>
      </c>
      <c r="CX109" s="59">
        <f t="shared" si="68"/>
        <v>943.05727899244584</v>
      </c>
      <c r="CY109" s="59">
        <f ca="1">AVERAGE(OFFSET($CX$3,0,0,'Données projet'!$E$13+1,1))-AVERAGE(OFFSET($H$3,0,0,'Données projet'!$E$13+1,1))</f>
        <v>309.07357540707869</v>
      </c>
      <c r="CZ109" s="59">
        <f t="shared" si="96"/>
        <v>155.9593924683299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227.99999999999986</v>
      </c>
      <c r="DP109" s="17">
        <f>DO109*VLOOKUP('Données projet'!$B$14,Paramètres!$A$1:$I$89,3,0)*VLOOKUP('Données projet'!$B$14,Paramètres!$A$1:$I$89,5,0)</f>
        <v>199.18079999999992</v>
      </c>
      <c r="DQ109" s="13">
        <f t="shared" si="97"/>
        <v>49.564089376413683</v>
      </c>
      <c r="DR109" s="20">
        <f t="shared" si="70"/>
        <v>433.23068233058694</v>
      </c>
      <c r="DS109" s="59">
        <f t="shared" si="71"/>
        <v>726.56401566392026</v>
      </c>
      <c r="DT109" s="59">
        <f ca="1">AVERAGE(OFFSET($DS$3,0,0,'Données projet'!$E$14+1,1))-AVERAGE(OFFSET($H$3,0,0,'Données projet'!$E$14+1,1))</f>
        <v>210.07838338464626</v>
      </c>
      <c r="DU109" s="59">
        <f t="shared" si="98"/>
        <v>241.76003724236273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1.1765993006683584</v>
      </c>
      <c r="EB109" s="21">
        <f>EXP(-LN(2)/25)*EB108+(1-EXP(-LN(2)/25))/(LN(2)/25)*Calculateur!DW109*Calculateur!DY109*VLOOKUP('Données projet'!$B$14,Paramètres!$A$1:$I$89,3,0)*0.475*44/12</f>
        <v>1.648638820088842</v>
      </c>
      <c r="EC109" s="21">
        <f>EXP(-LN(2)/2)*EC108+(1-EXP(-LN(2)/2))/(LN(2)/2)*DW109*DZ109*VLOOKUP('Données projet'!$B$14,Paramètres!$A$1:$I$89,3,0)*0.475*44/12</f>
        <v>5.8103703744015845E-11</v>
      </c>
      <c r="ED109" s="22">
        <f t="shared" si="72"/>
        <v>2.8252381208153041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6.2527760746888816E-13</v>
      </c>
      <c r="EK109" s="17">
        <f>EJ109*VLOOKUP('Données projet'!$B$15,Paramètres!$A$1:$I$89,3,0)*VLOOKUP('Données projet'!$B$15,Paramètres!$A$1:$I$89,5,0)</f>
        <v>3.9017322706058616E-13</v>
      </c>
      <c r="EL109" s="13">
        <f t="shared" si="99"/>
        <v>5.0025007393608908E-12</v>
      </c>
      <c r="EM109" s="20">
        <f t="shared" si="73"/>
        <v>9.3922404915174053E-12</v>
      </c>
      <c r="EN109" s="59">
        <f t="shared" si="74"/>
        <v>293.33333333334269</v>
      </c>
      <c r="EO109" s="59">
        <f ca="1">AVERAGE(OFFSET($EN$3,0,0,'Données projet'!$E$15+1,1))-AVERAGE(OFFSET($H$3,0,0,'Données projet'!$E$15+1,1))</f>
        <v>209.93608079129638</v>
      </c>
      <c r="EP109" s="59">
        <f t="shared" si="100"/>
        <v>240.15652428700969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1.5435727348682038</v>
      </c>
      <c r="EW109" s="21">
        <f>EXP(-LN(2)/25)*EW108+(1-EXP(-LN(2)/25))/(LN(2)/25)*Calculateur!ER109*Calculateur!ET109*VLOOKUP('Données projet'!$B$15,Paramètres!$A$1:$I$89,3,0)*0.475*44/12</f>
        <v>2.5274327509840804</v>
      </c>
      <c r="EX109" s="21">
        <f>EXP(-LN(2)/2)*EX108+(1-EXP(-LN(2)/2))/(LN(2)/2)*ER109*EU109*VLOOKUP('Données projet'!$B$15,Paramètres!$A$1:$I$89,3,0)*0.475*44/12</f>
        <v>7.3453758900414338E-11</v>
      </c>
      <c r="EY109" s="22">
        <f t="shared" si="75"/>
        <v>4.0710054859257383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5.6843418860808015E-14</v>
      </c>
      <c r="O110" s="13">
        <f>N110*VLOOKUP('Données projet'!$B$9,Paramètres!$A$1:$I$89,3,0)*VLOOKUP('Données projet'!$B$9,Paramètres!$A$1:$I$89,5,0)</f>
        <v>4.5224624045658861E-14</v>
      </c>
      <c r="P110" s="13">
        <f t="shared" si="87"/>
        <v>7.4514601661523691E-13</v>
      </c>
      <c r="Q110" s="20">
        <f t="shared" si="107"/>
        <v>1.3765621991510601E-12</v>
      </c>
      <c r="R110" s="59">
        <f t="shared" si="55"/>
        <v>293.33333333333468</v>
      </c>
      <c r="S110" s="59">
        <f ca="1">AVERAGE(OFFSET($R$3,0,0,'Données projet'!$E$9+1,1))-AVERAGE(OFFSET($H$3,0,0,'Données projet'!$E$9+1,1))</f>
        <v>199.58763537752952</v>
      </c>
      <c r="T110" s="59">
        <f t="shared" si="88"/>
        <v>242.62852778451929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</v>
      </c>
      <c r="AA110" s="21">
        <f>EXP(-LN(2)/25)*AA109+(1-EXP(-LN(2)/25))/(LN(2)/25)*Calculateur!V110*Calculateur!X110*VLOOKUP('Données projet'!$B$9,Paramètres!$A$1:$I$89,3,0)*0.475*44/12</f>
        <v>1.2160360649983035</v>
      </c>
      <c r="AB110" s="21">
        <f>EXP(-LN(2)/2)*AB109+(1-EXP(-LN(2)/2))/(LN(2)/2)*V110*Y110*VLOOKUP('Données projet'!$B$9,Paramètres!$A$1:$I$89,3,0)*0.475*44/12</f>
        <v>2.7683457723400439E-11</v>
      </c>
      <c r="AC110" s="22">
        <f t="shared" si="57"/>
        <v>1.2160360650259869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566</v>
      </c>
      <c r="AJ110" s="13">
        <f>AI110*VLOOKUP('Données projet'!$B$10,Paramètres!$A$1:$I$89,3,0)*VLOOKUP('Données projet'!$B$10,Paramètres!$A$1:$I$89,5,0)</f>
        <v>338.46800000000002</v>
      </c>
      <c r="AK110" s="13">
        <f t="shared" si="89"/>
        <v>79.183342377469998</v>
      </c>
      <c r="AL110" s="20">
        <f t="shared" si="58"/>
        <v>727.4094213074269</v>
      </c>
      <c r="AM110" s="59">
        <f t="shared" si="59"/>
        <v>1020.7427546407603</v>
      </c>
      <c r="AN110" s="59">
        <f ca="1">AVERAGE(OFFSET($AM$3,0,0,'Données projet'!$E$10+1,1))-AVERAGE(OFFSET($H$3,0,0,'Données projet'!$E$10+1,1))</f>
        <v>287.78657453117694</v>
      </c>
      <c r="AO110" s="59">
        <f t="shared" si="90"/>
        <v>153.31562485362252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0.63707405123548422</v>
      </c>
      <c r="AV110" s="21">
        <f>EXP(-LN(2)/25)*AV109+(1-EXP(-LN(2)/25))/(LN(2)/25)*Calculateur!AQ110*Calculateur!AS110*VLOOKUP('Données projet'!$B$10,Paramètres!$A$1:$I$89,3,0)*0.475*44/12</f>
        <v>0.68960461219036229</v>
      </c>
      <c r="AW110" s="21">
        <f>EXP(-LN(2)/2)*AW109+(1-EXP(-LN(2)/2))/(LN(2)/2)*AQ110*AT110*VLOOKUP('Données projet'!$B$10,Paramètres!$A$1:$I$89,3,0)*0.475*44/12</f>
        <v>2.8564441575426339E-11</v>
      </c>
      <c r="AX110" s="21">
        <f t="shared" si="60"/>
        <v>1.326678663454411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-6.7984728957526396E-14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250.93905519128998</v>
      </c>
      <c r="BJ110" s="59">
        <f t="shared" si="92"/>
        <v>222.32879462265032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0.27881596495743427</v>
      </c>
      <c r="BQ110" s="21">
        <f>EXP(-LN(2)/25)*BQ109+(1-EXP(-LN(2)/25))/(LN(2)/25)*Calculateur!BL110*Calculateur!BN110*VLOOKUP('Données projet'!$B$11,Paramètres!$A$1:$I$89,3,0)*0.475*44/12</f>
        <v>1.3687914506876031</v>
      </c>
      <c r="BR110" s="21">
        <f>EXP(-LN(2)/2)*BR109+(1-EXP(-LN(2)/2))/(LN(2)/2)*BL110*BO110*VLOOKUP('Données projet'!$B$11,Paramètres!$A$1:$I$89,3,0)*0.475*44/12</f>
        <v>4.8551671060325306E-12</v>
      </c>
      <c r="BS110" s="22">
        <f t="shared" si="63"/>
        <v>1.6476074156498925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-2.8421709430404007E-13</v>
      </c>
      <c r="BZ110" s="13">
        <f>BY110*VLOOKUP('Données projet'!$B$12,Paramètres!$A$1:$I$89,3,0)*VLOOKUP('Données projet'!$B$12,Paramètres!$A$1:$I$89,5,0)</f>
        <v>-1.69961822393816E-13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179.32848817523677</v>
      </c>
      <c r="CE110" s="59">
        <f t="shared" si="94"/>
        <v>131.3292389103035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1.558639254764707</v>
      </c>
      <c r="CM110" s="21">
        <f>EXP(-LN(2)/2)*CM109+(1-EXP(-LN(2)/2))/(LN(2)/2)*CG110*CJ110*VLOOKUP('Données projet'!$B$12,Paramètres!$A$1:$I$89,3,0)*0.475*44/12</f>
        <v>1.3538412986778979E-11</v>
      </c>
      <c r="CN110" s="22">
        <f t="shared" si="66"/>
        <v>1.5586392547782455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7.2711538461538394</v>
      </c>
      <c r="CT110" s="12">
        <f>IF('Données projet'!$A$140&gt;35,CT109+CS110-DB109,IF(A110&lt;'Données projet'!$A$140,$CQ$205^A110,IF(A110='Données projet'!$A$140,'Données projet'!$B$140,CT109+CS110-DB109)))</f>
        <v>340.54551282051239</v>
      </c>
      <c r="CU110" s="17">
        <f>CT110*VLOOKUP('Données projet'!$B$13,Paramètres!$A$1:$I$89,3,0)*VLOOKUP('Données projet'!$B$13,Paramètres!$A$1:$I$89,5,0)</f>
        <v>308.12557999999962</v>
      </c>
      <c r="CV110" s="13">
        <f t="shared" si="95"/>
        <v>72.877238605529826</v>
      </c>
      <c r="CW110" s="20">
        <f t="shared" si="67"/>
        <v>663.57990907129715</v>
      </c>
      <c r="CX110" s="59">
        <f t="shared" si="68"/>
        <v>956.91324240463041</v>
      </c>
      <c r="CY110" s="59">
        <f ca="1">AVERAGE(OFFSET($CX$3,0,0,'Données projet'!$E$13+1,1))-AVERAGE(OFFSET($H$3,0,0,'Données projet'!$E$13+1,1))</f>
        <v>309.07357540707869</v>
      </c>
      <c r="CZ110" s="59">
        <f t="shared" si="96"/>
        <v>155.9593924683299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227.99999999999986</v>
      </c>
      <c r="DP110" s="17">
        <f>DO110*VLOOKUP('Données projet'!$B$14,Paramètres!$A$1:$I$89,3,0)*VLOOKUP('Données projet'!$B$14,Paramètres!$A$1:$I$89,5,0)</f>
        <v>199.18079999999992</v>
      </c>
      <c r="DQ110" s="13">
        <f t="shared" si="97"/>
        <v>49.564089376413683</v>
      </c>
      <c r="DR110" s="20">
        <f t="shared" si="70"/>
        <v>433.23068233058694</v>
      </c>
      <c r="DS110" s="59">
        <f t="shared" si="71"/>
        <v>726.56401566392026</v>
      </c>
      <c r="DT110" s="59">
        <f ca="1">AVERAGE(OFFSET($DS$3,0,0,'Données projet'!$E$14+1,1))-AVERAGE(OFFSET($H$3,0,0,'Données projet'!$E$14+1,1))</f>
        <v>210.07838338464626</v>
      </c>
      <c r="DU110" s="59">
        <f t="shared" si="98"/>
        <v>241.76003724236273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1.1535269060369628</v>
      </c>
      <c r="EB110" s="21">
        <f>EXP(-LN(2)/25)*EB109+(1-EXP(-LN(2)/25))/(LN(2)/25)*Calculateur!DW110*Calculateur!DY110*VLOOKUP('Données projet'!$B$14,Paramètres!$A$1:$I$89,3,0)*0.475*44/12</f>
        <v>1.6035567048553652</v>
      </c>
      <c r="EC110" s="21">
        <f>EXP(-LN(2)/2)*EC109+(1-EXP(-LN(2)/2))/(LN(2)/2)*DW110*DZ110*VLOOKUP('Données projet'!$B$14,Paramètres!$A$1:$I$89,3,0)*0.475*44/12</f>
        <v>4.1085522929447799E-11</v>
      </c>
      <c r="ED110" s="22">
        <f t="shared" si="72"/>
        <v>2.7570836109334134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6.2527760746888816E-13</v>
      </c>
      <c r="EK110" s="17">
        <f>EJ110*VLOOKUP('Données projet'!$B$15,Paramètres!$A$1:$I$89,3,0)*VLOOKUP('Données projet'!$B$15,Paramètres!$A$1:$I$89,5,0)</f>
        <v>3.9017322706058616E-13</v>
      </c>
      <c r="EL110" s="13">
        <f t="shared" si="99"/>
        <v>5.0025007393608908E-12</v>
      </c>
      <c r="EM110" s="20">
        <f t="shared" si="73"/>
        <v>9.3922404915174053E-12</v>
      </c>
      <c r="EN110" s="59">
        <f t="shared" si="74"/>
        <v>293.33333333334269</v>
      </c>
      <c r="EO110" s="59">
        <f ca="1">AVERAGE(OFFSET($EN$3,0,0,'Données projet'!$E$15+1,1))-AVERAGE(OFFSET($H$3,0,0,'Données projet'!$E$15+1,1))</f>
        <v>209.93608079129638</v>
      </c>
      <c r="EP110" s="59">
        <f t="shared" si="100"/>
        <v>240.15652428700969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1.5133042150238425</v>
      </c>
      <c r="EW110" s="21">
        <f>EXP(-LN(2)/25)*EW109+(1-EXP(-LN(2)/25))/(LN(2)/25)*Calculateur!ER110*Calculateur!ET110*VLOOKUP('Données projet'!$B$15,Paramètres!$A$1:$I$89,3,0)*0.475*44/12</f>
        <v>2.4583199694965088</v>
      </c>
      <c r="EX110" s="21">
        <f>EXP(-LN(2)/2)*EX109+(1-EXP(-LN(2)/2))/(LN(2)/2)*ER110*EU110*VLOOKUP('Données projet'!$B$15,Paramètres!$A$1:$I$89,3,0)*0.475*44/12</f>
        <v>5.1939651022124699E-11</v>
      </c>
      <c r="EY110" s="22">
        <f t="shared" si="75"/>
        <v>3.971624184572291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5.6843418860808015E-14</v>
      </c>
      <c r="O111" s="13">
        <f>N111*VLOOKUP('Données projet'!$B$9,Paramètres!$A$1:$I$89,3,0)*VLOOKUP('Données projet'!$B$9,Paramètres!$A$1:$I$89,5,0)</f>
        <v>4.5224624045658861E-14</v>
      </c>
      <c r="P111" s="13">
        <f t="shared" si="87"/>
        <v>7.4514601661523691E-13</v>
      </c>
      <c r="Q111" s="20">
        <f t="shared" si="107"/>
        <v>1.3765621991510601E-12</v>
      </c>
      <c r="R111" s="59">
        <f t="shared" si="55"/>
        <v>293.33333333333468</v>
      </c>
      <c r="S111" s="59">
        <f ca="1">AVERAGE(OFFSET($R$3,0,0,'Données projet'!$E$9+1,1))-AVERAGE(OFFSET($H$3,0,0,'Données projet'!$E$9+1,1))</f>
        <v>199.58763537752952</v>
      </c>
      <c r="T111" s="59">
        <f t="shared" si="88"/>
        <v>242.62852778451929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</v>
      </c>
      <c r="AA111" s="21">
        <f>EXP(-LN(2)/25)*AA110+(1-EXP(-LN(2)/25))/(LN(2)/25)*Calculateur!V111*Calculateur!X111*VLOOKUP('Données projet'!$B$9,Paramètres!$A$1:$I$89,3,0)*0.475*44/12</f>
        <v>1.1827834948523674</v>
      </c>
      <c r="AB111" s="21">
        <f>EXP(-LN(2)/2)*AB110+(1-EXP(-LN(2)/2))/(LN(2)/2)*V111*Y111*VLOOKUP('Données projet'!$B$9,Paramètres!$A$1:$I$89,3,0)*0.475*44/12</f>
        <v>1.9575160682907553E-11</v>
      </c>
      <c r="AC111" s="22">
        <f t="shared" si="57"/>
        <v>1.1827834948719427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566</v>
      </c>
      <c r="AJ111" s="13">
        <f>AI111*VLOOKUP('Données projet'!$B$10,Paramètres!$A$1:$I$89,3,0)*VLOOKUP('Données projet'!$B$10,Paramètres!$A$1:$I$89,5,0)</f>
        <v>338.46800000000002</v>
      </c>
      <c r="AK111" s="13">
        <f t="shared" si="89"/>
        <v>79.183342377469998</v>
      </c>
      <c r="AL111" s="20">
        <f t="shared" si="58"/>
        <v>727.4094213074269</v>
      </c>
      <c r="AM111" s="59">
        <f t="shared" si="59"/>
        <v>1020.7427546407603</v>
      </c>
      <c r="AN111" s="59">
        <f ca="1">AVERAGE(OFFSET($AM$3,0,0,'Données projet'!$E$10+1,1))-AVERAGE(OFFSET($H$3,0,0,'Données projet'!$E$10+1,1))</f>
        <v>287.78657453117694</v>
      </c>
      <c r="AO111" s="59">
        <f t="shared" si="90"/>
        <v>153.31562485362252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0.62458141766755881</v>
      </c>
      <c r="AV111" s="21">
        <f>EXP(-LN(2)/25)*AV110+(1-EXP(-LN(2)/25))/(LN(2)/25)*Calculateur!AQ111*Calculateur!AS111*VLOOKUP('Données projet'!$B$10,Paramètres!$A$1:$I$89,3,0)*0.475*44/12</f>
        <v>0.67074733780528639</v>
      </c>
      <c r="AW111" s="21">
        <f>EXP(-LN(2)/2)*AW110+(1-EXP(-LN(2)/2))/(LN(2)/2)*AQ111*AT111*VLOOKUP('Données projet'!$B$10,Paramètres!$A$1:$I$89,3,0)*0.475*44/12</f>
        <v>2.0198110338790916E-11</v>
      </c>
      <c r="AX111" s="21">
        <f t="shared" si="60"/>
        <v>1.2953287554930433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-6.7984728957526396E-14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250.93905519128998</v>
      </c>
      <c r="BJ111" s="59">
        <f t="shared" si="92"/>
        <v>222.32879462265032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0.27334855394556551</v>
      </c>
      <c r="BQ111" s="21">
        <f>EXP(-LN(2)/25)*BQ110+(1-EXP(-LN(2)/25))/(LN(2)/25)*Calculateur!BL111*Calculateur!BN111*VLOOKUP('Données projet'!$B$11,Paramètres!$A$1:$I$89,3,0)*0.475*44/12</f>
        <v>1.3313617764869365</v>
      </c>
      <c r="BR111" s="21">
        <f>EXP(-LN(2)/2)*BR110+(1-EXP(-LN(2)/2))/(LN(2)/2)*BL111*BO111*VLOOKUP('Données projet'!$B$11,Paramètres!$A$1:$I$89,3,0)*0.475*44/12</f>
        <v>3.4331215844694678E-12</v>
      </c>
      <c r="BS111" s="22">
        <f t="shared" si="63"/>
        <v>1.6047103304359351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-2.8421709430404007E-13</v>
      </c>
      <c r="BZ111" s="13">
        <f>BY111*VLOOKUP('Données projet'!$B$12,Paramètres!$A$1:$I$89,3,0)*VLOOKUP('Données projet'!$B$12,Paramètres!$A$1:$I$89,5,0)</f>
        <v>-1.69961822393816E-13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179.32848817523677</v>
      </c>
      <c r="CE111" s="59">
        <f t="shared" si="94"/>
        <v>131.3292389103035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1.51601818237789</v>
      </c>
      <c r="CM111" s="21">
        <f>EXP(-LN(2)/2)*CM110+(1-EXP(-LN(2)/2))/(LN(2)/2)*CG111*CJ111*VLOOKUP('Données projet'!$B$12,Paramètres!$A$1:$I$89,3,0)*0.475*44/12</f>
        <v>9.5731036294554369E-12</v>
      </c>
      <c r="CN111" s="22">
        <f t="shared" si="66"/>
        <v>1.516018182387463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7.2711538461538394</v>
      </c>
      <c r="CT111" s="12">
        <f>IF('Données projet'!$A$140&gt;35,CT110+CS111-DB110,IF(A111&lt;'Données projet'!$A$140,$CQ$205^A111,IF(A111='Données projet'!$A$140,'Données projet'!$B$140,CT110+CS111-DB110)))</f>
        <v>347.81666666666621</v>
      </c>
      <c r="CU111" s="17">
        <f>CT111*VLOOKUP('Données projet'!$B$13,Paramètres!$A$1:$I$89,3,0)*VLOOKUP('Données projet'!$B$13,Paramètres!$A$1:$I$89,5,0)</f>
        <v>314.70451999999955</v>
      </c>
      <c r="CV111" s="13">
        <f t="shared" si="95"/>
        <v>74.250458283407895</v>
      </c>
      <c r="CW111" s="20">
        <f t="shared" si="67"/>
        <v>677.42992051026795</v>
      </c>
      <c r="CX111" s="59">
        <f t="shared" si="68"/>
        <v>970.76325384360121</v>
      </c>
      <c r="CY111" s="59">
        <f ca="1">AVERAGE(OFFSET($CX$3,0,0,'Données projet'!$E$13+1,1))-AVERAGE(OFFSET($H$3,0,0,'Données projet'!$E$13+1,1))</f>
        <v>309.07357540707869</v>
      </c>
      <c r="CZ111" s="59">
        <f t="shared" si="96"/>
        <v>155.9593924683299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227.99999999999986</v>
      </c>
      <c r="DP111" s="17">
        <f>DO111*VLOOKUP('Données projet'!$B$14,Paramètres!$A$1:$I$89,3,0)*VLOOKUP('Données projet'!$B$14,Paramètres!$A$1:$I$89,5,0)</f>
        <v>199.18079999999992</v>
      </c>
      <c r="DQ111" s="13">
        <f t="shared" si="97"/>
        <v>49.564089376413683</v>
      </c>
      <c r="DR111" s="20">
        <f t="shared" si="70"/>
        <v>433.23068233058694</v>
      </c>
      <c r="DS111" s="59">
        <f t="shared" si="71"/>
        <v>726.56401566392026</v>
      </c>
      <c r="DT111" s="59">
        <f ca="1">AVERAGE(OFFSET($DS$3,0,0,'Données projet'!$E$14+1,1))-AVERAGE(OFFSET($H$3,0,0,'Données projet'!$E$14+1,1))</f>
        <v>210.07838338464626</v>
      </c>
      <c r="DU111" s="59">
        <f t="shared" si="98"/>
        <v>241.76003724236273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1.1309069469915178</v>
      </c>
      <c r="EB111" s="21">
        <f>EXP(-LN(2)/25)*EB110+(1-EXP(-LN(2)/25))/(LN(2)/25)*Calculateur!DW111*Calculateur!DY111*VLOOKUP('Données projet'!$B$14,Paramètres!$A$1:$I$89,3,0)*0.475*44/12</f>
        <v>1.559707362433713</v>
      </c>
      <c r="EC111" s="21">
        <f>EXP(-LN(2)/2)*EC110+(1-EXP(-LN(2)/2))/(LN(2)/2)*DW111*DZ111*VLOOKUP('Données projet'!$B$14,Paramètres!$A$1:$I$89,3,0)*0.475*44/12</f>
        <v>2.9051851872007929E-11</v>
      </c>
      <c r="ED111" s="22">
        <f t="shared" si="72"/>
        <v>2.6906143094542827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6.2527760746888816E-13</v>
      </c>
      <c r="EK111" s="17">
        <f>EJ111*VLOOKUP('Données projet'!$B$15,Paramètres!$A$1:$I$89,3,0)*VLOOKUP('Données projet'!$B$15,Paramètres!$A$1:$I$89,5,0)</f>
        <v>3.9017322706058616E-13</v>
      </c>
      <c r="EL111" s="13">
        <f t="shared" si="99"/>
        <v>5.0025007393608908E-12</v>
      </c>
      <c r="EM111" s="20">
        <f t="shared" si="73"/>
        <v>9.3922404915174053E-12</v>
      </c>
      <c r="EN111" s="59">
        <f t="shared" si="74"/>
        <v>293.33333333334269</v>
      </c>
      <c r="EO111" s="59">
        <f ca="1">AVERAGE(OFFSET($EN$3,0,0,'Données projet'!$E$15+1,1))-AVERAGE(OFFSET($H$3,0,0,'Données projet'!$E$15+1,1))</f>
        <v>209.93608079129638</v>
      </c>
      <c r="EP111" s="59">
        <f t="shared" si="100"/>
        <v>240.15652428700969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1.4836292423916551</v>
      </c>
      <c r="EW111" s="21">
        <f>EXP(-LN(2)/25)*EW110+(1-EXP(-LN(2)/25))/(LN(2)/25)*Calculateur!ER111*Calculateur!ET111*VLOOKUP('Données projet'!$B$15,Paramètres!$A$1:$I$89,3,0)*0.475*44/12</f>
        <v>2.3910970806531981</v>
      </c>
      <c r="EX111" s="21">
        <f>EXP(-LN(2)/2)*EX110+(1-EXP(-LN(2)/2))/(LN(2)/2)*ER111*EU111*VLOOKUP('Données projet'!$B$15,Paramètres!$A$1:$I$89,3,0)*0.475*44/12</f>
        <v>3.6726879450207169E-11</v>
      </c>
      <c r="EY111" s="22">
        <f t="shared" si="75"/>
        <v>3.87472632308158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5.6843418860808015E-14</v>
      </c>
      <c r="O112" s="13">
        <f>N112*VLOOKUP('Données projet'!$B$9,Paramètres!$A$1:$I$89,3,0)*VLOOKUP('Données projet'!$B$9,Paramètres!$A$1:$I$89,5,0)</f>
        <v>4.5224624045658861E-14</v>
      </c>
      <c r="P112" s="13">
        <f t="shared" si="87"/>
        <v>7.4514601661523691E-13</v>
      </c>
      <c r="Q112" s="20">
        <f t="shared" si="107"/>
        <v>1.3765621991510601E-12</v>
      </c>
      <c r="R112" s="59">
        <f t="shared" si="55"/>
        <v>293.33333333333468</v>
      </c>
      <c r="S112" s="59">
        <f ca="1">AVERAGE(OFFSET($R$3,0,0,'Données projet'!$E$9+1,1))-AVERAGE(OFFSET($H$3,0,0,'Données projet'!$E$9+1,1))</f>
        <v>199.58763537752952</v>
      </c>
      <c r="T112" s="59">
        <f t="shared" si="88"/>
        <v>242.62852778451929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</v>
      </c>
      <c r="AA112" s="21">
        <f>EXP(-LN(2)/25)*AA111+(1-EXP(-LN(2)/25))/(LN(2)/25)*Calculateur!V112*Calculateur!X112*VLOOKUP('Données projet'!$B$9,Paramètres!$A$1:$I$89,3,0)*0.475*44/12</f>
        <v>1.1504402179857487</v>
      </c>
      <c r="AB112" s="21">
        <f>EXP(-LN(2)/2)*AB111+(1-EXP(-LN(2)/2))/(LN(2)/2)*V112*Y112*VLOOKUP('Données projet'!$B$9,Paramètres!$A$1:$I$89,3,0)*0.475*44/12</f>
        <v>1.384172886170022E-11</v>
      </c>
      <c r="AC112" s="22">
        <f t="shared" si="57"/>
        <v>1.1504402179995905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566</v>
      </c>
      <c r="AJ112" s="13">
        <f>AI112*VLOOKUP('Données projet'!$B$10,Paramètres!$A$1:$I$89,3,0)*VLOOKUP('Données projet'!$B$10,Paramètres!$A$1:$I$89,5,0)</f>
        <v>338.46800000000002</v>
      </c>
      <c r="AK112" s="13">
        <f t="shared" si="89"/>
        <v>79.183342377469998</v>
      </c>
      <c r="AL112" s="20">
        <f t="shared" si="58"/>
        <v>727.4094213074269</v>
      </c>
      <c r="AM112" s="59">
        <f t="shared" si="59"/>
        <v>1020.7427546407603</v>
      </c>
      <c r="AN112" s="59">
        <f ca="1">AVERAGE(OFFSET($AM$3,0,0,'Données projet'!$E$10+1,1))-AVERAGE(OFFSET($H$3,0,0,'Données projet'!$E$10+1,1))</f>
        <v>287.78657453117694</v>
      </c>
      <c r="AO112" s="59">
        <f t="shared" si="90"/>
        <v>153.31562485362252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0.61233375702414639</v>
      </c>
      <c r="AV112" s="21">
        <f>EXP(-LN(2)/25)*AV111+(1-EXP(-LN(2)/25))/(LN(2)/25)*Calculateur!AQ112*Calculateur!AS112*VLOOKUP('Données projet'!$B$10,Paramètres!$A$1:$I$89,3,0)*0.475*44/12</f>
        <v>0.65240571657993141</v>
      </c>
      <c r="AW112" s="21">
        <f>EXP(-LN(2)/2)*AW111+(1-EXP(-LN(2)/2))/(LN(2)/2)*AQ112*AT112*VLOOKUP('Données projet'!$B$10,Paramètres!$A$1:$I$89,3,0)*0.475*44/12</f>
        <v>1.4282220787713173E-11</v>
      </c>
      <c r="AX112" s="21">
        <f t="shared" si="60"/>
        <v>1.2647394736183599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-6.7984728957526396E-14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250.93905519128998</v>
      </c>
      <c r="BJ112" s="59">
        <f t="shared" si="92"/>
        <v>222.32879462265032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0.26798835552884803</v>
      </c>
      <c r="BQ112" s="21">
        <f>EXP(-LN(2)/25)*BQ111+(1-EXP(-LN(2)/25))/(LN(2)/25)*Calculateur!BL112*Calculateur!BN112*VLOOKUP('Données projet'!$B$11,Paramètres!$A$1:$I$89,3,0)*0.475*44/12</f>
        <v>1.2949556186956284</v>
      </c>
      <c r="BR112" s="21">
        <f>EXP(-LN(2)/2)*BR111+(1-EXP(-LN(2)/2))/(LN(2)/2)*BL112*BO112*VLOOKUP('Données projet'!$B$11,Paramètres!$A$1:$I$89,3,0)*0.475*44/12</f>
        <v>2.4275835530162653E-12</v>
      </c>
      <c r="BS112" s="22">
        <f t="shared" si="63"/>
        <v>1.562943974226904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-2.8421709430404007E-13</v>
      </c>
      <c r="BZ112" s="13">
        <f>BY112*VLOOKUP('Données projet'!$B$12,Paramètres!$A$1:$I$89,3,0)*VLOOKUP('Données projet'!$B$12,Paramètres!$A$1:$I$89,5,0)</f>
        <v>-1.69961822393816E-13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179.32848817523677</v>
      </c>
      <c r="CE112" s="59">
        <f t="shared" si="94"/>
        <v>131.3292389103035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1.4745625854568354</v>
      </c>
      <c r="CM112" s="21">
        <f>EXP(-LN(2)/2)*CM111+(1-EXP(-LN(2)/2))/(LN(2)/2)*CG112*CJ112*VLOOKUP('Données projet'!$B$12,Paramètres!$A$1:$I$89,3,0)*0.475*44/12</f>
        <v>6.7692064933894896E-12</v>
      </c>
      <c r="CN112" s="22">
        <f t="shared" si="66"/>
        <v>1.4745625854636046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7.2711538461538394</v>
      </c>
      <c r="CT112" s="12">
        <f>IF('Données projet'!$A$140&gt;35,CT111+CS112-DB111,IF(A112&lt;'Données projet'!$A$140,$CQ$205^A112,IF(A112='Données projet'!$A$140,'Données projet'!$B$140,CT111+CS112-DB111)))</f>
        <v>355.08782051282003</v>
      </c>
      <c r="CU112" s="17">
        <f>CT112*VLOOKUP('Données projet'!$B$13,Paramètres!$A$1:$I$89,3,0)*VLOOKUP('Données projet'!$B$13,Paramètres!$A$1:$I$89,5,0)</f>
        <v>321.28345999999959</v>
      </c>
      <c r="CV112" s="13">
        <f t="shared" si="95"/>
        <v>75.620340232134694</v>
      </c>
      <c r="CW112" s="20">
        <f t="shared" si="67"/>
        <v>691.27411873763378</v>
      </c>
      <c r="CX112" s="59">
        <f t="shared" si="68"/>
        <v>984.60745207096716</v>
      </c>
      <c r="CY112" s="59">
        <f ca="1">AVERAGE(OFFSET($CX$3,0,0,'Données projet'!$E$13+1,1))-AVERAGE(OFFSET($H$3,0,0,'Données projet'!$E$13+1,1))</f>
        <v>309.07357540707869</v>
      </c>
      <c r="CZ112" s="59">
        <f t="shared" si="96"/>
        <v>155.9593924683299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227.99999999999986</v>
      </c>
      <c r="DP112" s="17">
        <f>DO112*VLOOKUP('Données projet'!$B$14,Paramètres!$A$1:$I$89,3,0)*VLOOKUP('Données projet'!$B$14,Paramètres!$A$1:$I$89,5,0)</f>
        <v>199.18079999999992</v>
      </c>
      <c r="DQ112" s="13">
        <f t="shared" si="97"/>
        <v>49.564089376413683</v>
      </c>
      <c r="DR112" s="20">
        <f t="shared" si="70"/>
        <v>433.23068233058694</v>
      </c>
      <c r="DS112" s="59">
        <f t="shared" si="71"/>
        <v>726.56401566392026</v>
      </c>
      <c r="DT112" s="59">
        <f ca="1">AVERAGE(OFFSET($DS$3,0,0,'Données projet'!$E$14+1,1))-AVERAGE(OFFSET($H$3,0,0,'Données projet'!$E$14+1,1))</f>
        <v>210.07838338464626</v>
      </c>
      <c r="DU112" s="59">
        <f t="shared" si="98"/>
        <v>241.76003724236273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1.1087305515461412</v>
      </c>
      <c r="EB112" s="21">
        <f>EXP(-LN(2)/25)*EB111+(1-EXP(-LN(2)/25))/(LN(2)/25)*Calculateur!DW112*Calculateur!DY112*VLOOKUP('Données projet'!$B$14,Paramètres!$A$1:$I$89,3,0)*0.475*44/12</f>
        <v>1.5170570825865177</v>
      </c>
      <c r="EC112" s="21">
        <f>EXP(-LN(2)/2)*EC111+(1-EXP(-LN(2)/2))/(LN(2)/2)*DW112*DZ112*VLOOKUP('Données projet'!$B$14,Paramètres!$A$1:$I$89,3,0)*0.475*44/12</f>
        <v>2.0542761464723903E-11</v>
      </c>
      <c r="ED112" s="22">
        <f t="shared" si="72"/>
        <v>2.6257876341532018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6.2527760746888816E-13</v>
      </c>
      <c r="EK112" s="17">
        <f>EJ112*VLOOKUP('Données projet'!$B$15,Paramètres!$A$1:$I$89,3,0)*VLOOKUP('Données projet'!$B$15,Paramètres!$A$1:$I$89,5,0)</f>
        <v>3.9017322706058616E-13</v>
      </c>
      <c r="EL112" s="13">
        <f t="shared" si="99"/>
        <v>5.0025007393608908E-12</v>
      </c>
      <c r="EM112" s="20">
        <f t="shared" si="73"/>
        <v>9.3922404915174053E-12</v>
      </c>
      <c r="EN112" s="59">
        <f t="shared" si="74"/>
        <v>293.33333333334269</v>
      </c>
      <c r="EO112" s="59">
        <f ca="1">AVERAGE(OFFSET($EN$3,0,0,'Données projet'!$E$15+1,1))-AVERAGE(OFFSET($H$3,0,0,'Données projet'!$E$15+1,1))</f>
        <v>209.93608079129638</v>
      </c>
      <c r="EP112" s="59">
        <f t="shared" si="100"/>
        <v>240.15652428700969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1.4545361778728387</v>
      </c>
      <c r="EW112" s="21">
        <f>EXP(-LN(2)/25)*EW111+(1-EXP(-LN(2)/25))/(LN(2)/25)*Calculateur!ER112*Calculateur!ET112*VLOOKUP('Données projet'!$B$15,Paramètres!$A$1:$I$89,3,0)*0.475*44/12</f>
        <v>2.3257124052404059</v>
      </c>
      <c r="EX112" s="21">
        <f>EXP(-LN(2)/2)*EX111+(1-EXP(-LN(2)/2))/(LN(2)/2)*ER112*EU112*VLOOKUP('Données projet'!$B$15,Paramètres!$A$1:$I$89,3,0)*0.475*44/12</f>
        <v>2.596982551106235E-11</v>
      </c>
      <c r="EY112" s="22">
        <f t="shared" si="75"/>
        <v>3.7802485831392145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5.6843418860808015E-14</v>
      </c>
      <c r="O113" s="13">
        <f>N113*VLOOKUP('Données projet'!$B$9,Paramètres!$A$1:$I$89,3,0)*VLOOKUP('Données projet'!$B$9,Paramètres!$A$1:$I$89,5,0)</f>
        <v>4.5224624045658861E-14</v>
      </c>
      <c r="P113" s="13">
        <f t="shared" si="87"/>
        <v>7.4514601661523691E-13</v>
      </c>
      <c r="Q113" s="20">
        <f t="shared" si="107"/>
        <v>1.3765621991510601E-12</v>
      </c>
      <c r="R113" s="59">
        <f t="shared" si="55"/>
        <v>293.33333333333468</v>
      </c>
      <c r="S113" s="59">
        <f ca="1">AVERAGE(OFFSET($R$3,0,0,'Données projet'!$E$9+1,1))-AVERAGE(OFFSET($H$3,0,0,'Données projet'!$E$9+1,1))</f>
        <v>199.58763537752952</v>
      </c>
      <c r="T113" s="59">
        <f t="shared" si="88"/>
        <v>242.62852778451929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</v>
      </c>
      <c r="AA113" s="21">
        <f>EXP(-LN(2)/25)*AA112+(1-EXP(-LN(2)/25))/(LN(2)/25)*Calculateur!V113*Calculateur!X113*VLOOKUP('Données projet'!$B$9,Paramètres!$A$1:$I$89,3,0)*0.475*44/12</f>
        <v>1.1189813697259068</v>
      </c>
      <c r="AB113" s="21">
        <f>EXP(-LN(2)/2)*AB112+(1-EXP(-LN(2)/2))/(LN(2)/2)*V113*Y113*VLOOKUP('Données projet'!$B$9,Paramètres!$A$1:$I$89,3,0)*0.475*44/12</f>
        <v>9.7875803414537767E-12</v>
      </c>
      <c r="AC113" s="22">
        <f t="shared" si="57"/>
        <v>1.1189813697356943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566</v>
      </c>
      <c r="AJ113" s="13">
        <f>AI113*VLOOKUP('Données projet'!$B$10,Paramètres!$A$1:$I$89,3,0)*VLOOKUP('Données projet'!$B$10,Paramètres!$A$1:$I$89,5,0)</f>
        <v>338.46800000000002</v>
      </c>
      <c r="AK113" s="13">
        <f t="shared" si="89"/>
        <v>79.183342377469998</v>
      </c>
      <c r="AL113" s="20">
        <f t="shared" si="58"/>
        <v>727.4094213074269</v>
      </c>
      <c r="AM113" s="59">
        <f t="shared" si="59"/>
        <v>1020.7427546407603</v>
      </c>
      <c r="AN113" s="59">
        <f ca="1">AVERAGE(OFFSET($AM$3,0,0,'Données projet'!$E$10+1,1))-AVERAGE(OFFSET($H$3,0,0,'Données projet'!$E$10+1,1))</f>
        <v>287.78657453117694</v>
      </c>
      <c r="AO113" s="59">
        <f t="shared" si="90"/>
        <v>153.31562485362252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0.60032626553561586</v>
      </c>
      <c r="AV113" s="21">
        <f>EXP(-LN(2)/25)*AV112+(1-EXP(-LN(2)/25))/(LN(2)/25)*Calculateur!AQ113*Calculateur!AS113*VLOOKUP('Données projet'!$B$10,Paramètres!$A$1:$I$89,3,0)*0.475*44/12</f>
        <v>0.63456564795152759</v>
      </c>
      <c r="AW113" s="21">
        <f>EXP(-LN(2)/2)*AW112+(1-EXP(-LN(2)/2))/(LN(2)/2)*AQ113*AT113*VLOOKUP('Données projet'!$B$10,Paramètres!$A$1:$I$89,3,0)*0.475*44/12</f>
        <v>1.009905516939546E-11</v>
      </c>
      <c r="AX113" s="21">
        <f t="shared" si="60"/>
        <v>1.2348919134972425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-6.7984728957526396E-14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250.93905519128998</v>
      </c>
      <c r="BJ113" s="59">
        <f t="shared" si="92"/>
        <v>222.32879462265032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0.26273326733368418</v>
      </c>
      <c r="BQ113" s="21">
        <f>EXP(-LN(2)/25)*BQ112+(1-EXP(-LN(2)/25))/(LN(2)/25)*Calculateur!BL113*Calculateur!BN113*VLOOKUP('Données projet'!$B$11,Paramètres!$A$1:$I$89,3,0)*0.475*44/12</f>
        <v>1.2595449892036401</v>
      </c>
      <c r="BR113" s="21">
        <f>EXP(-LN(2)/2)*BR112+(1-EXP(-LN(2)/2))/(LN(2)/2)*BL113*BO113*VLOOKUP('Données projet'!$B$11,Paramètres!$A$1:$I$89,3,0)*0.475*44/12</f>
        <v>1.7165607922347339E-12</v>
      </c>
      <c r="BS113" s="22">
        <f t="shared" si="63"/>
        <v>1.5222782565390409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-2.8421709430404007E-13</v>
      </c>
      <c r="BZ113" s="13">
        <f>BY113*VLOOKUP('Données projet'!$B$12,Paramètres!$A$1:$I$89,3,0)*VLOOKUP('Données projet'!$B$12,Paramètres!$A$1:$I$89,5,0)</f>
        <v>-1.69961822393816E-13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179.32848817523677</v>
      </c>
      <c r="CE113" s="59">
        <f t="shared" si="94"/>
        <v>131.3292389103035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1.434240594013642</v>
      </c>
      <c r="CM113" s="21">
        <f>EXP(-LN(2)/2)*CM112+(1-EXP(-LN(2)/2))/(LN(2)/2)*CG113*CJ113*VLOOKUP('Données projet'!$B$12,Paramètres!$A$1:$I$89,3,0)*0.475*44/12</f>
        <v>4.7865518147277184E-12</v>
      </c>
      <c r="CN113" s="22">
        <f t="shared" si="66"/>
        <v>1.4342405940184286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362.35897435897431</v>
      </c>
      <c r="CR113" s="12">
        <f>VLOOKUP(A113,'Données projet'!$A$139:$I$159,9,0)</f>
        <v>7.2711538461538394</v>
      </c>
      <c r="CS113" s="12">
        <f t="array" ref="CS113">INDEX(CR:CR,MIN(IF(ISNUMBER(CR113:CR309),ROW(CR113:CR309),"")))</f>
        <v>7.2711538461538394</v>
      </c>
      <c r="CT113" s="12">
        <f>IF('Données projet'!$A$140&gt;35,CT112+CS113-DB112,IF(A113&lt;'Données projet'!$A$140,$CQ$205^A113,IF(A113='Données projet'!$A$140,'Données projet'!$B$140,CT112+CS113-DB112)))</f>
        <v>362.35897435897385</v>
      </c>
      <c r="CU113" s="17">
        <f>CT113*VLOOKUP('Données projet'!$B$13,Paramètres!$A$1:$I$89,3,0)*VLOOKUP('Données projet'!$B$13,Paramètres!$A$1:$I$89,5,0)</f>
        <v>327.86239999999952</v>
      </c>
      <c r="CV113" s="13">
        <f t="shared" si="95"/>
        <v>76.98696067405001</v>
      </c>
      <c r="CW113" s="20">
        <f t="shared" si="67"/>
        <v>705.11263650730291</v>
      </c>
      <c r="CX113" s="59">
        <f t="shared" si="68"/>
        <v>998.44596984063628</v>
      </c>
      <c r="CY113" s="59">
        <f ca="1">AVERAGE(OFFSET($CX$3,0,0,'Données projet'!$E$13+1,1))-AVERAGE(OFFSET($H$3,0,0,'Données projet'!$E$13+1,1))</f>
        <v>309.07357540707869</v>
      </c>
      <c r="CZ113" s="59">
        <f t="shared" si="96"/>
        <v>155.9593924683299</v>
      </c>
      <c r="DA113" s="15">
        <f>IF(ISNA(VLOOKUP(A113,'Données projet'!$A$139:$I$159,3,0)),0,VLOOKUP(A113,'Données projet'!$A$139:$I$159,3,0))</f>
        <v>10</v>
      </c>
      <c r="DB113" s="15">
        <f>IF(ISNA(VLOOKUP(A113,'Données projet'!$A$139:$I$159,4,0)),0,VLOOKUP(A113,'Données projet'!$A$139:$I$159,4,0))</f>
        <v>50.051282051282051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227.99999999999986</v>
      </c>
      <c r="DP113" s="17">
        <f>DO113*VLOOKUP('Données projet'!$B$14,Paramètres!$A$1:$I$89,3,0)*VLOOKUP('Données projet'!$B$14,Paramètres!$A$1:$I$89,5,0)</f>
        <v>199.18079999999992</v>
      </c>
      <c r="DQ113" s="13">
        <f t="shared" si="97"/>
        <v>49.564089376413683</v>
      </c>
      <c r="DR113" s="20">
        <f t="shared" si="70"/>
        <v>433.23068233058694</v>
      </c>
      <c r="DS113" s="59">
        <f t="shared" si="71"/>
        <v>726.56401566392026</v>
      </c>
      <c r="DT113" s="59">
        <f ca="1">AVERAGE(OFFSET($DS$3,0,0,'Données projet'!$E$14+1,1))-AVERAGE(OFFSET($H$3,0,0,'Données projet'!$E$14+1,1))</f>
        <v>210.07838338464626</v>
      </c>
      <c r="DU113" s="59">
        <f t="shared" si="98"/>
        <v>241.76003724236273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1.0869890216891829</v>
      </c>
      <c r="EB113" s="21">
        <f>EXP(-LN(2)/25)*EB112+(1-EXP(-LN(2)/25))/(LN(2)/25)*Calculateur!DW113*Calculateur!DY113*VLOOKUP('Données projet'!$B$14,Paramètres!$A$1:$I$89,3,0)*0.475*44/12</f>
        <v>1.4755730768846247</v>
      </c>
      <c r="EC113" s="21">
        <f>EXP(-LN(2)/2)*EC112+(1-EXP(-LN(2)/2))/(LN(2)/2)*DW113*DZ113*VLOOKUP('Données projet'!$B$14,Paramètres!$A$1:$I$89,3,0)*0.475*44/12</f>
        <v>1.4525925936003966E-11</v>
      </c>
      <c r="ED113" s="22">
        <f t="shared" si="72"/>
        <v>2.5625620985883333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6.2527760746888816E-13</v>
      </c>
      <c r="EK113" s="17">
        <f>EJ113*VLOOKUP('Données projet'!$B$15,Paramètres!$A$1:$I$89,3,0)*VLOOKUP('Données projet'!$B$15,Paramètres!$A$1:$I$89,5,0)</f>
        <v>3.9017322706058616E-13</v>
      </c>
      <c r="EL113" s="13">
        <f t="shared" si="99"/>
        <v>5.0025007393608908E-12</v>
      </c>
      <c r="EM113" s="20">
        <f t="shared" si="73"/>
        <v>9.3922404915174053E-12</v>
      </c>
      <c r="EN113" s="59">
        <f t="shared" si="74"/>
        <v>293.33333333334269</v>
      </c>
      <c r="EO113" s="59">
        <f ca="1">AVERAGE(OFFSET($EN$3,0,0,'Données projet'!$E$15+1,1))-AVERAGE(OFFSET($H$3,0,0,'Données projet'!$E$15+1,1))</f>
        <v>209.93608079129638</v>
      </c>
      <c r="EP113" s="59">
        <f t="shared" si="100"/>
        <v>240.15652428700969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1.4260136106042192</v>
      </c>
      <c r="EW113" s="21">
        <f>EXP(-LN(2)/25)*EW112+(1-EXP(-LN(2)/25))/(LN(2)/25)*Calculateur!ER113*Calculateur!ET113*VLOOKUP('Données projet'!$B$15,Paramètres!$A$1:$I$89,3,0)*0.475*44/12</f>
        <v>2.2621156772152071</v>
      </c>
      <c r="EX113" s="21">
        <f>EXP(-LN(2)/2)*EX112+(1-EXP(-LN(2)/2))/(LN(2)/2)*ER113*EU113*VLOOKUP('Données projet'!$B$15,Paramètres!$A$1:$I$89,3,0)*0.475*44/12</f>
        <v>1.8363439725103584E-11</v>
      </c>
      <c r="EY113" s="22">
        <f t="shared" si="75"/>
        <v>3.6881292878377896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5.6843418860808015E-14</v>
      </c>
      <c r="O114" s="13">
        <f>N114*VLOOKUP('Données projet'!$B$9,Paramètres!$A$1:$I$89,3,0)*VLOOKUP('Données projet'!$B$9,Paramètres!$A$1:$I$89,5,0)</f>
        <v>4.5224624045658861E-14</v>
      </c>
      <c r="P114" s="13">
        <f t="shared" si="87"/>
        <v>7.4514601661523691E-13</v>
      </c>
      <c r="Q114" s="20">
        <f t="shared" si="107"/>
        <v>1.3765621991510601E-12</v>
      </c>
      <c r="R114" s="59">
        <f t="shared" si="55"/>
        <v>293.33333333333468</v>
      </c>
      <c r="S114" s="59">
        <f ca="1">AVERAGE(OFFSET($R$3,0,0,'Données projet'!$E$9+1,1))-AVERAGE(OFFSET($H$3,0,0,'Données projet'!$E$9+1,1))</f>
        <v>199.58763537752952</v>
      </c>
      <c r="T114" s="59">
        <f t="shared" si="88"/>
        <v>242.62852778451929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</v>
      </c>
      <c r="AA114" s="21">
        <f>EXP(-LN(2)/25)*AA113+(1-EXP(-LN(2)/25))/(LN(2)/25)*Calculateur!V114*Calculateur!X114*VLOOKUP('Données projet'!$B$9,Paramètres!$A$1:$I$89,3,0)*0.475*44/12</f>
        <v>1.0883827653260791</v>
      </c>
      <c r="AB114" s="21">
        <f>EXP(-LN(2)/2)*AB113+(1-EXP(-LN(2)/2))/(LN(2)/2)*V114*Y114*VLOOKUP('Données projet'!$B$9,Paramètres!$A$1:$I$89,3,0)*0.475*44/12</f>
        <v>6.9208644308501099E-12</v>
      </c>
      <c r="AC114" s="22">
        <f t="shared" si="57"/>
        <v>1.088382765333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566</v>
      </c>
      <c r="AJ114" s="13">
        <f>AI114*VLOOKUP('Données projet'!$B$10,Paramètres!$A$1:$I$89,3,0)*VLOOKUP('Données projet'!$B$10,Paramètres!$A$1:$I$89,5,0)</f>
        <v>338.46800000000002</v>
      </c>
      <c r="AK114" s="13">
        <f t="shared" si="89"/>
        <v>79.183342377469998</v>
      </c>
      <c r="AL114" s="20">
        <f t="shared" si="58"/>
        <v>727.4094213074269</v>
      </c>
      <c r="AM114" s="59">
        <f t="shared" si="59"/>
        <v>1020.7427546407603</v>
      </c>
      <c r="AN114" s="59">
        <f ca="1">AVERAGE(OFFSET($AM$3,0,0,'Données projet'!$E$10+1,1))-AVERAGE(OFFSET($H$3,0,0,'Données projet'!$E$10+1,1))</f>
        <v>287.78657453117694</v>
      </c>
      <c r="AO114" s="59">
        <f t="shared" si="90"/>
        <v>153.31562485362252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0.58855423363132886</v>
      </c>
      <c r="AV114" s="21">
        <f>EXP(-LN(2)/25)*AV113+(1-EXP(-LN(2)/25))/(LN(2)/25)*Calculateur!AQ114*Calculateur!AS114*VLOOKUP('Données projet'!$B$10,Paramètres!$A$1:$I$89,3,0)*0.475*44/12</f>
        <v>0.61721341693793597</v>
      </c>
      <c r="AW114" s="21">
        <f>EXP(-LN(2)/2)*AW113+(1-EXP(-LN(2)/2))/(LN(2)/2)*AQ114*AT114*VLOOKUP('Données projet'!$B$10,Paramètres!$A$1:$I$89,3,0)*0.475*44/12</f>
        <v>7.1411103938565872E-12</v>
      </c>
      <c r="AX114" s="21">
        <f t="shared" si="60"/>
        <v>1.2057676505764061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-6.7984728957526396E-14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250.93905519128998</v>
      </c>
      <c r="BJ114" s="59">
        <f t="shared" si="92"/>
        <v>222.32879462265032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0.25758122821274021</v>
      </c>
      <c r="BQ114" s="21">
        <f>EXP(-LN(2)/25)*BQ113+(1-EXP(-LN(2)/25))/(LN(2)/25)*Calculateur!BL114*Calculateur!BN114*VLOOKUP('Données projet'!$B$11,Paramètres!$A$1:$I$89,3,0)*0.475*44/12</f>
        <v>1.2251026652372743</v>
      </c>
      <c r="BR114" s="21">
        <f>EXP(-LN(2)/2)*BR113+(1-EXP(-LN(2)/2))/(LN(2)/2)*BL114*BO114*VLOOKUP('Données projet'!$B$11,Paramètres!$A$1:$I$89,3,0)*0.475*44/12</f>
        <v>1.2137917765081327E-12</v>
      </c>
      <c r="BS114" s="22">
        <f t="shared" si="63"/>
        <v>1.4826838934512283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-2.8421709430404007E-13</v>
      </c>
      <c r="BZ114" s="13">
        <f>BY114*VLOOKUP('Données projet'!$B$12,Paramètres!$A$1:$I$89,3,0)*VLOOKUP('Données projet'!$B$12,Paramètres!$A$1:$I$89,5,0)</f>
        <v>-1.69961822393816E-13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179.32848817523677</v>
      </c>
      <c r="CE114" s="59">
        <f t="shared" si="94"/>
        <v>131.3292389103035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1.3950212095469041</v>
      </c>
      <c r="CM114" s="21">
        <f>EXP(-LN(2)/2)*CM113+(1-EXP(-LN(2)/2))/(LN(2)/2)*CG114*CJ114*VLOOKUP('Données projet'!$B$12,Paramètres!$A$1:$I$89,3,0)*0.475*44/12</f>
        <v>3.3846032466947448E-12</v>
      </c>
      <c r="CN114" s="22">
        <f t="shared" si="66"/>
        <v>1.3950212095502887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7.1749999999999998</v>
      </c>
      <c r="CT114" s="12">
        <f>IF('Données projet'!$A$140&gt;35,CT113+CS114-DB113,IF(A114&lt;'Données projet'!$A$140,$CQ$205^A114,IF(A114='Données projet'!$A$140,'Données projet'!$B$140,CT113+CS114-DB113)))</f>
        <v>319.48269230769182</v>
      </c>
      <c r="CU114" s="17">
        <f>CT114*VLOOKUP('Données projet'!$B$13,Paramètres!$A$1:$I$89,3,0)*VLOOKUP('Données projet'!$B$13,Paramètres!$A$1:$I$89,5,0)</f>
        <v>289.06793999999957</v>
      </c>
      <c r="CV114" s="13">
        <f t="shared" si="95"/>
        <v>68.879756132176865</v>
      </c>
      <c r="CW114" s="20">
        <f t="shared" si="67"/>
        <v>623.42557076354058</v>
      </c>
      <c r="CX114" s="59">
        <f t="shared" si="68"/>
        <v>916.75890409687395</v>
      </c>
      <c r="CY114" s="59">
        <f ca="1">AVERAGE(OFFSET($CX$3,0,0,'Données projet'!$E$13+1,1))-AVERAGE(OFFSET($H$3,0,0,'Données projet'!$E$13+1,1))</f>
        <v>309.07357540707869</v>
      </c>
      <c r="CZ114" s="59">
        <f t="shared" si="96"/>
        <v>155.9593924683299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227.99999999999986</v>
      </c>
      <c r="DP114" s="17">
        <f>DO114*VLOOKUP('Données projet'!$B$14,Paramètres!$A$1:$I$89,3,0)*VLOOKUP('Données projet'!$B$14,Paramètres!$A$1:$I$89,5,0)</f>
        <v>199.18079999999992</v>
      </c>
      <c r="DQ114" s="13">
        <f t="shared" si="97"/>
        <v>49.564089376413683</v>
      </c>
      <c r="DR114" s="20">
        <f t="shared" si="70"/>
        <v>433.23068233058694</v>
      </c>
      <c r="DS114" s="59">
        <f t="shared" si="71"/>
        <v>726.56401566392026</v>
      </c>
      <c r="DT114" s="59">
        <f ca="1">AVERAGE(OFFSET($DS$3,0,0,'Données projet'!$E$14+1,1))-AVERAGE(OFFSET($H$3,0,0,'Données projet'!$E$14+1,1))</f>
        <v>210.07838338464626</v>
      </c>
      <c r="DU114" s="59">
        <f t="shared" si="98"/>
        <v>241.76003724236273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1.0656738299716957</v>
      </c>
      <c r="EB114" s="21">
        <f>EXP(-LN(2)/25)*EB113+(1-EXP(-LN(2)/25))/(LN(2)/25)*Calculateur!DW114*Calculateur!DY114*VLOOKUP('Données projet'!$B$14,Paramètres!$A$1:$I$89,3,0)*0.475*44/12</f>
        <v>1.4352234535001991</v>
      </c>
      <c r="EC114" s="21">
        <f>EXP(-LN(2)/2)*EC113+(1-EXP(-LN(2)/2))/(LN(2)/2)*DW114*DZ114*VLOOKUP('Données projet'!$B$14,Paramètres!$A$1:$I$89,3,0)*0.475*44/12</f>
        <v>1.0271380732361953E-11</v>
      </c>
      <c r="ED114" s="22">
        <f t="shared" si="72"/>
        <v>2.5008972834821663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6.2527760746888816E-13</v>
      </c>
      <c r="EK114" s="17">
        <f>EJ114*VLOOKUP('Données projet'!$B$15,Paramètres!$A$1:$I$89,3,0)*VLOOKUP('Données projet'!$B$15,Paramètres!$A$1:$I$89,5,0)</f>
        <v>3.9017322706058616E-13</v>
      </c>
      <c r="EL114" s="13">
        <f t="shared" si="99"/>
        <v>5.0025007393608908E-12</v>
      </c>
      <c r="EM114" s="20">
        <f t="shared" si="73"/>
        <v>9.3922404915174053E-12</v>
      </c>
      <c r="EN114" s="59">
        <f t="shared" si="74"/>
        <v>293.33333333334269</v>
      </c>
      <c r="EO114" s="59">
        <f ca="1">AVERAGE(OFFSET($EN$3,0,0,'Données projet'!$E$15+1,1))-AVERAGE(OFFSET($H$3,0,0,'Données projet'!$E$15+1,1))</f>
        <v>209.93608079129638</v>
      </c>
      <c r="EP114" s="59">
        <f t="shared" si="100"/>
        <v>240.15652428700969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1.3980503534826889</v>
      </c>
      <c r="EW114" s="21">
        <f>EXP(-LN(2)/25)*EW113+(1-EXP(-LN(2)/25))/(LN(2)/25)*Calculateur!ER114*Calculateur!ET114*VLOOKUP('Données projet'!$B$15,Paramètres!$A$1:$I$89,3,0)*0.475*44/12</f>
        <v>2.2002580050622638</v>
      </c>
      <c r="EX114" s="21">
        <f>EXP(-LN(2)/2)*EX113+(1-EXP(-LN(2)/2))/(LN(2)/2)*ER114*EU114*VLOOKUP('Données projet'!$B$15,Paramètres!$A$1:$I$89,3,0)*0.475*44/12</f>
        <v>1.2984912755531175E-11</v>
      </c>
      <c r="EY114" s="22">
        <f t="shared" si="75"/>
        <v>3.5983083585579374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5.6843418860808015E-14</v>
      </c>
      <c r="O115" s="13">
        <f>N115*VLOOKUP('Données projet'!$B$9,Paramètres!$A$1:$I$89,3,0)*VLOOKUP('Données projet'!$B$9,Paramètres!$A$1:$I$89,5,0)</f>
        <v>4.5224624045658861E-14</v>
      </c>
      <c r="P115" s="13">
        <f t="shared" si="87"/>
        <v>7.4514601661523691E-13</v>
      </c>
      <c r="Q115" s="20">
        <f t="shared" si="107"/>
        <v>1.3765621991510601E-12</v>
      </c>
      <c r="R115" s="59">
        <f t="shared" si="55"/>
        <v>293.33333333333468</v>
      </c>
      <c r="S115" s="59">
        <f ca="1">AVERAGE(OFFSET($R$3,0,0,'Données projet'!$E$9+1,1))-AVERAGE(OFFSET($H$3,0,0,'Données projet'!$E$9+1,1))</f>
        <v>199.58763537752952</v>
      </c>
      <c r="T115" s="59">
        <f t="shared" si="88"/>
        <v>242.62852778451929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</v>
      </c>
      <c r="AA115" s="21">
        <f>EXP(-LN(2)/25)*AA114+(1-EXP(-LN(2)/25))/(LN(2)/25)*Calculateur!V115*Calculateur!X115*VLOOKUP('Données projet'!$B$9,Paramètres!$A$1:$I$89,3,0)*0.475*44/12</f>
        <v>1.0586208813726754</v>
      </c>
      <c r="AB115" s="21">
        <f>EXP(-LN(2)/2)*AB114+(1-EXP(-LN(2)/2))/(LN(2)/2)*V115*Y115*VLOOKUP('Données projet'!$B$9,Paramètres!$A$1:$I$89,3,0)*0.475*44/12</f>
        <v>4.8937901707268883E-12</v>
      </c>
      <c r="AC115" s="22">
        <f t="shared" si="57"/>
        <v>1.0586208813775693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566</v>
      </c>
      <c r="AJ115" s="13">
        <f>AI115*VLOOKUP('Données projet'!$B$10,Paramètres!$A$1:$I$89,3,0)*VLOOKUP('Données projet'!$B$10,Paramètres!$A$1:$I$89,5,0)</f>
        <v>338.46800000000002</v>
      </c>
      <c r="AK115" s="13">
        <f t="shared" si="89"/>
        <v>79.183342377469998</v>
      </c>
      <c r="AL115" s="20">
        <f t="shared" si="58"/>
        <v>727.4094213074269</v>
      </c>
      <c r="AM115" s="59">
        <f t="shared" si="59"/>
        <v>1020.7427546407603</v>
      </c>
      <c r="AN115" s="59">
        <f ca="1">AVERAGE(OFFSET($AM$3,0,0,'Données projet'!$E$10+1,1))-AVERAGE(OFFSET($H$3,0,0,'Données projet'!$E$10+1,1))</f>
        <v>287.78657453117694</v>
      </c>
      <c r="AO115" s="59">
        <f t="shared" si="90"/>
        <v>153.31562485362252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0.57701304409245446</v>
      </c>
      <c r="AV115" s="21">
        <f>EXP(-LN(2)/25)*AV114+(1-EXP(-LN(2)/25))/(LN(2)/25)*Calculateur!AQ115*Calculateur!AS115*VLOOKUP('Données projet'!$B$10,Paramètres!$A$1:$I$89,3,0)*0.475*44/12</f>
        <v>0.6003356835939252</v>
      </c>
      <c r="AW115" s="21">
        <f>EXP(-LN(2)/2)*AW114+(1-EXP(-LN(2)/2))/(LN(2)/2)*AQ115*AT115*VLOOKUP('Données projet'!$B$10,Paramètres!$A$1:$I$89,3,0)*0.475*44/12</f>
        <v>5.0495275846977306E-12</v>
      </c>
      <c r="AX115" s="21">
        <f t="shared" si="60"/>
        <v>1.1773487276914292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-6.7984728957526396E-14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250.93905519128998</v>
      </c>
      <c r="BJ115" s="59">
        <f t="shared" si="92"/>
        <v>222.32879462265032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0.25253021743652437</v>
      </c>
      <c r="BQ115" s="21">
        <f>EXP(-LN(2)/25)*BQ114+(1-EXP(-LN(2)/25))/(LN(2)/25)*Calculateur!BL115*Calculateur!BN115*VLOOKUP('Données projet'!$B$11,Paramètres!$A$1:$I$89,3,0)*0.475*44/12</f>
        <v>1.1916021684310119</v>
      </c>
      <c r="BR115" s="21">
        <f>EXP(-LN(2)/2)*BR114+(1-EXP(-LN(2)/2))/(LN(2)/2)*BL115*BO115*VLOOKUP('Données projet'!$B$11,Paramètres!$A$1:$I$89,3,0)*0.475*44/12</f>
        <v>8.5828039611736696E-13</v>
      </c>
      <c r="BS115" s="22">
        <f t="shared" si="63"/>
        <v>1.4441323858683945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-2.8421709430404007E-13</v>
      </c>
      <c r="BZ115" s="13">
        <f>BY115*VLOOKUP('Données projet'!$B$12,Paramètres!$A$1:$I$89,3,0)*VLOOKUP('Données projet'!$B$12,Paramètres!$A$1:$I$89,5,0)</f>
        <v>-1.69961822393816E-13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179.32848817523677</v>
      </c>
      <c r="CE115" s="59">
        <f t="shared" si="94"/>
        <v>131.3292389103035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1.356874281210867</v>
      </c>
      <c r="CM115" s="21">
        <f>EXP(-LN(2)/2)*CM114+(1-EXP(-LN(2)/2))/(LN(2)/2)*CG115*CJ115*VLOOKUP('Données projet'!$B$12,Paramètres!$A$1:$I$89,3,0)*0.475*44/12</f>
        <v>2.3932759073638592E-12</v>
      </c>
      <c r="CN115" s="22">
        <f t="shared" si="66"/>
        <v>1.3568742812132601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7.1749999999999998</v>
      </c>
      <c r="CT115" s="12">
        <f>IF('Données projet'!$A$140&gt;35,CT114+CS115-DB114,IF(A115&lt;'Données projet'!$A$140,$CQ$205^A115,IF(A115='Données projet'!$A$140,'Données projet'!$B$140,CT114+CS115-DB114)))</f>
        <v>326.65769230769183</v>
      </c>
      <c r="CU115" s="17">
        <f>CT115*VLOOKUP('Données projet'!$B$13,Paramètres!$A$1:$I$89,3,0)*VLOOKUP('Données projet'!$B$13,Paramètres!$A$1:$I$89,5,0)</f>
        <v>295.55987999999957</v>
      </c>
      <c r="CV115" s="13">
        <f t="shared" si="95"/>
        <v>70.244837533317892</v>
      </c>
      <c r="CW115" s="20">
        <f t="shared" si="67"/>
        <v>637.10988303719455</v>
      </c>
      <c r="CX115" s="59">
        <f t="shared" si="68"/>
        <v>930.44321637052781</v>
      </c>
      <c r="CY115" s="59">
        <f ca="1">AVERAGE(OFFSET($CX$3,0,0,'Données projet'!$E$13+1,1))-AVERAGE(OFFSET($H$3,0,0,'Données projet'!$E$13+1,1))</f>
        <v>309.07357540707869</v>
      </c>
      <c r="CZ115" s="59">
        <f t="shared" si="96"/>
        <v>155.9593924683299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227.99999999999986</v>
      </c>
      <c r="DP115" s="17">
        <f>DO115*VLOOKUP('Données projet'!$B$14,Paramètres!$A$1:$I$89,3,0)*VLOOKUP('Données projet'!$B$14,Paramètres!$A$1:$I$89,5,0)</f>
        <v>199.18079999999992</v>
      </c>
      <c r="DQ115" s="13">
        <f t="shared" si="97"/>
        <v>49.564089376413683</v>
      </c>
      <c r="DR115" s="20">
        <f t="shared" si="70"/>
        <v>433.23068233058694</v>
      </c>
      <c r="DS115" s="59">
        <f t="shared" si="71"/>
        <v>726.56401566392026</v>
      </c>
      <c r="DT115" s="59">
        <f ca="1">AVERAGE(OFFSET($DS$3,0,0,'Données projet'!$E$14+1,1))-AVERAGE(OFFSET($H$3,0,0,'Données projet'!$E$14+1,1))</f>
        <v>210.07838338464626</v>
      </c>
      <c r="DU115" s="59">
        <f t="shared" si="98"/>
        <v>241.76003724236273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1.0447766161628051</v>
      </c>
      <c r="EB115" s="21">
        <f>EXP(-LN(2)/25)*EB114+(1-EXP(-LN(2)/25))/(LN(2)/25)*Calculateur!DW115*Calculateur!DY115*VLOOKUP('Données projet'!$B$14,Paramètres!$A$1:$I$89,3,0)*0.475*44/12</f>
        <v>1.3959771926891149</v>
      </c>
      <c r="EC115" s="21">
        <f>EXP(-LN(2)/2)*EC114+(1-EXP(-LN(2)/2))/(LN(2)/2)*DW115*DZ115*VLOOKUP('Données projet'!$B$14,Paramètres!$A$1:$I$89,3,0)*0.475*44/12</f>
        <v>7.2629629680019838E-12</v>
      </c>
      <c r="ED115" s="22">
        <f t="shared" si="72"/>
        <v>2.4407538088591831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6.2527760746888816E-13</v>
      </c>
      <c r="EK115" s="17">
        <f>EJ115*VLOOKUP('Données projet'!$B$15,Paramètres!$A$1:$I$89,3,0)*VLOOKUP('Données projet'!$B$15,Paramètres!$A$1:$I$89,5,0)</f>
        <v>3.9017322706058616E-13</v>
      </c>
      <c r="EL115" s="13">
        <f t="shared" si="99"/>
        <v>5.0025007393608908E-12</v>
      </c>
      <c r="EM115" s="20">
        <f t="shared" si="73"/>
        <v>9.3922404915174053E-12</v>
      </c>
      <c r="EN115" s="59">
        <f t="shared" si="74"/>
        <v>293.33333333334269</v>
      </c>
      <c r="EO115" s="59">
        <f ca="1">AVERAGE(OFFSET($EN$3,0,0,'Données projet'!$E$15+1,1))-AVERAGE(OFFSET($H$3,0,0,'Données projet'!$E$15+1,1))</f>
        <v>209.93608079129638</v>
      </c>
      <c r="EP115" s="59">
        <f t="shared" si="100"/>
        <v>240.15652428700969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1.3706354387774093</v>
      </c>
      <c r="EW115" s="21">
        <f>EXP(-LN(2)/25)*EW114+(1-EXP(-LN(2)/25))/(LN(2)/25)*Calculateur!ER115*Calculateur!ET115*VLOOKUP('Données projet'!$B$15,Paramètres!$A$1:$I$89,3,0)*0.475*44/12</f>
        <v>2.1400918342072965</v>
      </c>
      <c r="EX115" s="21">
        <f>EXP(-LN(2)/2)*EX114+(1-EXP(-LN(2)/2))/(LN(2)/2)*ER115*EU115*VLOOKUP('Données projet'!$B$15,Paramètres!$A$1:$I$89,3,0)*0.475*44/12</f>
        <v>9.1817198625517922E-12</v>
      </c>
      <c r="EY115" s="22">
        <f t="shared" si="75"/>
        <v>3.5107272729938876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5.6843418860808015E-14</v>
      </c>
      <c r="O116" s="13">
        <f>N116*VLOOKUP('Données projet'!$B$9,Paramètres!$A$1:$I$89,3,0)*VLOOKUP('Données projet'!$B$9,Paramètres!$A$1:$I$89,5,0)</f>
        <v>4.5224624045658861E-14</v>
      </c>
      <c r="P116" s="13">
        <f t="shared" si="87"/>
        <v>7.4514601661523691E-13</v>
      </c>
      <c r="Q116" s="20">
        <f t="shared" si="107"/>
        <v>1.3765621991510601E-12</v>
      </c>
      <c r="R116" s="59">
        <f t="shared" si="55"/>
        <v>293.33333333333468</v>
      </c>
      <c r="S116" s="59">
        <f ca="1">AVERAGE(OFFSET($R$3,0,0,'Données projet'!$E$9+1,1))-AVERAGE(OFFSET($H$3,0,0,'Données projet'!$E$9+1,1))</f>
        <v>199.58763537752952</v>
      </c>
      <c r="T116" s="59">
        <f t="shared" si="88"/>
        <v>242.62852778451929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</v>
      </c>
      <c r="AA116" s="21">
        <f>EXP(-LN(2)/25)*AA115+(1-EXP(-LN(2)/25))/(LN(2)/25)*Calculateur!V116*Calculateur!X116*VLOOKUP('Données projet'!$B$9,Paramètres!$A$1:$I$89,3,0)*0.475*44/12</f>
        <v>1.0296728377010869</v>
      </c>
      <c r="AB116" s="21">
        <f>EXP(-LN(2)/2)*AB115+(1-EXP(-LN(2)/2))/(LN(2)/2)*V116*Y116*VLOOKUP('Données projet'!$B$9,Paramètres!$A$1:$I$89,3,0)*0.475*44/12</f>
        <v>3.4604322154250549E-12</v>
      </c>
      <c r="AC116" s="22">
        <f t="shared" si="57"/>
        <v>1.0296728377045472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566</v>
      </c>
      <c r="AJ116" s="13">
        <f>AI116*VLOOKUP('Données projet'!$B$10,Paramètres!$A$1:$I$89,3,0)*VLOOKUP('Données projet'!$B$10,Paramètres!$A$1:$I$89,5,0)</f>
        <v>338.46800000000002</v>
      </c>
      <c r="AK116" s="13">
        <f t="shared" si="89"/>
        <v>79.183342377469998</v>
      </c>
      <c r="AL116" s="20">
        <f t="shared" si="58"/>
        <v>727.4094213074269</v>
      </c>
      <c r="AM116" s="59">
        <f t="shared" si="59"/>
        <v>1020.7427546407603</v>
      </c>
      <c r="AN116" s="59">
        <f ca="1">AVERAGE(OFFSET($AM$3,0,0,'Données projet'!$E$10+1,1))-AVERAGE(OFFSET($H$3,0,0,'Données projet'!$E$10+1,1))</f>
        <v>287.78657453117694</v>
      </c>
      <c r="AO116" s="59">
        <f t="shared" si="90"/>
        <v>153.31562485362252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0.56569817024100677</v>
      </c>
      <c r="AV116" s="21">
        <f>EXP(-LN(2)/25)*AV115+(1-EXP(-LN(2)/25))/(LN(2)/25)*Calculateur!AQ116*Calculateur!AS116*VLOOKUP('Données projet'!$B$10,Paramètres!$A$1:$I$89,3,0)*0.475*44/12</f>
        <v>0.58391947275576783</v>
      </c>
      <c r="AW116" s="21">
        <f>EXP(-LN(2)/2)*AW115+(1-EXP(-LN(2)/2))/(LN(2)/2)*AQ116*AT116*VLOOKUP('Données projet'!$B$10,Paramètres!$A$1:$I$89,3,0)*0.475*44/12</f>
        <v>3.5705551969282944E-12</v>
      </c>
      <c r="AX116" s="21">
        <f t="shared" si="60"/>
        <v>1.1496176430003451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-6.7984728957526396E-14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250.93905519128998</v>
      </c>
      <c r="BJ116" s="59">
        <f t="shared" si="92"/>
        <v>222.32879462265032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0.24757825390081775</v>
      </c>
      <c r="BQ116" s="21">
        <f>EXP(-LN(2)/25)*BQ115+(1-EXP(-LN(2)/25))/(LN(2)/25)*Calculateur!BL116*Calculateur!BN116*VLOOKUP('Données projet'!$B$11,Paramètres!$A$1:$I$89,3,0)*0.475*44/12</f>
        <v>1.1590177444716312</v>
      </c>
      <c r="BR116" s="21">
        <f>EXP(-LN(2)/2)*BR115+(1-EXP(-LN(2)/2))/(LN(2)/2)*BL116*BO116*VLOOKUP('Données projet'!$B$11,Paramètres!$A$1:$I$89,3,0)*0.475*44/12</f>
        <v>6.0689588825406633E-13</v>
      </c>
      <c r="BS116" s="22">
        <f t="shared" si="63"/>
        <v>1.4065959983730558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-2.8421709430404007E-13</v>
      </c>
      <c r="BZ116" s="13">
        <f>BY116*VLOOKUP('Données projet'!$B$12,Paramètres!$A$1:$I$89,3,0)*VLOOKUP('Données projet'!$B$12,Paramètres!$A$1:$I$89,5,0)</f>
        <v>-1.69961822393816E-13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179.32848817523677</v>
      </c>
      <c r="CE116" s="59">
        <f t="shared" si="94"/>
        <v>131.3292389103035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1.3197704826362384</v>
      </c>
      <c r="CM116" s="21">
        <f>EXP(-LN(2)/2)*CM115+(1-EXP(-LN(2)/2))/(LN(2)/2)*CG116*CJ116*VLOOKUP('Données projet'!$B$12,Paramètres!$A$1:$I$89,3,0)*0.475*44/12</f>
        <v>1.6923016233473724E-12</v>
      </c>
      <c r="CN116" s="22">
        <f t="shared" si="66"/>
        <v>1.3197704826379306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7.1749999999999998</v>
      </c>
      <c r="CT116" s="12">
        <f>IF('Données projet'!$A$140&gt;35,CT115+CS116-DB115,IF(A116&lt;'Données projet'!$A$140,$CQ$205^A116,IF(A116='Données projet'!$A$140,'Données projet'!$B$140,CT115+CS116-DB115)))</f>
        <v>333.83269230769184</v>
      </c>
      <c r="CU116" s="17">
        <f>CT116*VLOOKUP('Données projet'!$B$13,Paramètres!$A$1:$I$89,3,0)*VLOOKUP('Données projet'!$B$13,Paramètres!$A$1:$I$89,5,0)</f>
        <v>302.05181999999957</v>
      </c>
      <c r="CV116" s="13">
        <f t="shared" si="95"/>
        <v>71.606432974509374</v>
      </c>
      <c r="CW116" s="20">
        <f t="shared" si="67"/>
        <v>650.78812393060309</v>
      </c>
      <c r="CX116" s="59">
        <f t="shared" si="68"/>
        <v>944.12145726393646</v>
      </c>
      <c r="CY116" s="59">
        <f ca="1">AVERAGE(OFFSET($CX$3,0,0,'Données projet'!$E$13+1,1))-AVERAGE(OFFSET($H$3,0,0,'Données projet'!$E$13+1,1))</f>
        <v>309.07357540707869</v>
      </c>
      <c r="CZ116" s="59">
        <f t="shared" si="96"/>
        <v>155.9593924683299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227.99999999999986</v>
      </c>
      <c r="DP116" s="17">
        <f>DO116*VLOOKUP('Données projet'!$B$14,Paramètres!$A$1:$I$89,3,0)*VLOOKUP('Données projet'!$B$14,Paramètres!$A$1:$I$89,5,0)</f>
        <v>199.18079999999992</v>
      </c>
      <c r="DQ116" s="13">
        <f t="shared" si="97"/>
        <v>49.564089376413683</v>
      </c>
      <c r="DR116" s="20">
        <f t="shared" si="70"/>
        <v>433.23068233058694</v>
      </c>
      <c r="DS116" s="59">
        <f t="shared" si="71"/>
        <v>726.56401566392026</v>
      </c>
      <c r="DT116" s="59">
        <f ca="1">AVERAGE(OFFSET($DS$3,0,0,'Données projet'!$E$14+1,1))-AVERAGE(OFFSET($H$3,0,0,'Données projet'!$E$14+1,1))</f>
        <v>210.07838338464626</v>
      </c>
      <c r="DU116" s="59">
        <f t="shared" si="98"/>
        <v>241.76003724236273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1.0242891839706652</v>
      </c>
      <c r="EB116" s="21">
        <f>EXP(-LN(2)/25)*EB115+(1-EXP(-LN(2)/25))/(LN(2)/25)*Calculateur!DW116*Calculateur!DY116*VLOOKUP('Données projet'!$B$14,Paramètres!$A$1:$I$89,3,0)*0.475*44/12</f>
        <v>1.3578041229437809</v>
      </c>
      <c r="EC116" s="21">
        <f>EXP(-LN(2)/2)*EC115+(1-EXP(-LN(2)/2))/(LN(2)/2)*DW116*DZ116*VLOOKUP('Données projet'!$B$14,Paramètres!$A$1:$I$89,3,0)*0.475*44/12</f>
        <v>5.1356903661809773E-12</v>
      </c>
      <c r="ED116" s="22">
        <f t="shared" si="72"/>
        <v>2.382093306919582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6.2527760746888816E-13</v>
      </c>
      <c r="EK116" s="17">
        <f>EJ116*VLOOKUP('Données projet'!$B$15,Paramètres!$A$1:$I$89,3,0)*VLOOKUP('Données projet'!$B$15,Paramètres!$A$1:$I$89,5,0)</f>
        <v>3.9017322706058616E-13</v>
      </c>
      <c r="EL116" s="13">
        <f t="shared" si="99"/>
        <v>5.0025007393608908E-12</v>
      </c>
      <c r="EM116" s="20">
        <f t="shared" si="73"/>
        <v>9.3922404915174053E-12</v>
      </c>
      <c r="EN116" s="59">
        <f t="shared" si="74"/>
        <v>293.33333333334269</v>
      </c>
      <c r="EO116" s="59">
        <f ca="1">AVERAGE(OFFSET($EN$3,0,0,'Données projet'!$E$15+1,1))-AVERAGE(OFFSET($H$3,0,0,'Données projet'!$E$15+1,1))</f>
        <v>209.93608079129638</v>
      </c>
      <c r="EP116" s="59">
        <f t="shared" si="100"/>
        <v>240.15652428700969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1.3437581138280534</v>
      </c>
      <c r="EW116" s="21">
        <f>EXP(-LN(2)/25)*EW115+(1-EXP(-LN(2)/25))/(LN(2)/25)*Calculateur!ER116*Calculateur!ET116*VLOOKUP('Données projet'!$B$15,Paramètres!$A$1:$I$89,3,0)*0.475*44/12</f>
        <v>2.0815709104583595</v>
      </c>
      <c r="EX116" s="21">
        <f>EXP(-LN(2)/2)*EX115+(1-EXP(-LN(2)/2))/(LN(2)/2)*ER116*EU116*VLOOKUP('Données projet'!$B$15,Paramètres!$A$1:$I$89,3,0)*0.475*44/12</f>
        <v>6.4924563777655874E-12</v>
      </c>
      <c r="EY116" s="22">
        <f t="shared" si="75"/>
        <v>3.4253290242929055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5.6843418860808015E-14</v>
      </c>
      <c r="O117" s="13">
        <f>N117*VLOOKUP('Données projet'!$B$9,Paramètres!$A$1:$I$89,3,0)*VLOOKUP('Données projet'!$B$9,Paramètres!$A$1:$I$89,5,0)</f>
        <v>4.5224624045658861E-14</v>
      </c>
      <c r="P117" s="13">
        <f t="shared" si="87"/>
        <v>7.4514601661523691E-13</v>
      </c>
      <c r="Q117" s="20">
        <f t="shared" si="107"/>
        <v>1.3765621991510601E-12</v>
      </c>
      <c r="R117" s="59">
        <f t="shared" si="55"/>
        <v>293.33333333333468</v>
      </c>
      <c r="S117" s="59">
        <f ca="1">AVERAGE(OFFSET($R$3,0,0,'Données projet'!$E$9+1,1))-AVERAGE(OFFSET($H$3,0,0,'Données projet'!$E$9+1,1))</f>
        <v>199.58763537752952</v>
      </c>
      <c r="T117" s="59">
        <f t="shared" si="88"/>
        <v>242.62852778451929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</v>
      </c>
      <c r="AA117" s="21">
        <f>EXP(-LN(2)/25)*AA116+(1-EXP(-LN(2)/25))/(LN(2)/25)*Calculateur!V117*Calculateur!X117*VLOOKUP('Données projet'!$B$9,Paramètres!$A$1:$I$89,3,0)*0.475*44/12</f>
        <v>1.0015163798060094</v>
      </c>
      <c r="AB117" s="21">
        <f>EXP(-LN(2)/2)*AB116+(1-EXP(-LN(2)/2))/(LN(2)/2)*V117*Y117*VLOOKUP('Données projet'!$B$9,Paramètres!$A$1:$I$89,3,0)*0.475*44/12</f>
        <v>2.4468950853634442E-12</v>
      </c>
      <c r="AC117" s="22">
        <f t="shared" si="57"/>
        <v>1.0015163798084563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566</v>
      </c>
      <c r="AJ117" s="13">
        <f>AI117*VLOOKUP('Données projet'!$B$10,Paramètres!$A$1:$I$89,3,0)*VLOOKUP('Données projet'!$B$10,Paramètres!$A$1:$I$89,5,0)</f>
        <v>338.46800000000002</v>
      </c>
      <c r="AK117" s="13">
        <f t="shared" si="89"/>
        <v>79.183342377469998</v>
      </c>
      <c r="AL117" s="20">
        <f t="shared" si="58"/>
        <v>727.4094213074269</v>
      </c>
      <c r="AM117" s="59">
        <f t="shared" si="59"/>
        <v>1020.7427546407603</v>
      </c>
      <c r="AN117" s="59">
        <f ca="1">AVERAGE(OFFSET($AM$3,0,0,'Données projet'!$E$10+1,1))-AVERAGE(OFFSET($H$3,0,0,'Données projet'!$E$10+1,1))</f>
        <v>287.78657453117694</v>
      </c>
      <c r="AO117" s="59">
        <f t="shared" si="90"/>
        <v>153.31562485362252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0.55460517416439448</v>
      </c>
      <c r="AV117" s="21">
        <f>EXP(-LN(2)/25)*AV116+(1-EXP(-LN(2)/25))/(LN(2)/25)*Calculateur!AQ117*Calculateur!AS117*VLOOKUP('Données projet'!$B$10,Paramètres!$A$1:$I$89,3,0)*0.475*44/12</f>
        <v>0.5679521640662708</v>
      </c>
      <c r="AW117" s="21">
        <f>EXP(-LN(2)/2)*AW116+(1-EXP(-LN(2)/2))/(LN(2)/2)*AQ117*AT117*VLOOKUP('Données projet'!$B$10,Paramètres!$A$1:$I$89,3,0)*0.475*44/12</f>
        <v>2.5247637923488657E-12</v>
      </c>
      <c r="AX117" s="21">
        <f t="shared" si="60"/>
        <v>1.1225573382331901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-6.7984728957526396E-14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250.93905519128998</v>
      </c>
      <c r="BJ117" s="59">
        <f t="shared" si="92"/>
        <v>222.32879462265032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0.24272339534964682</v>
      </c>
      <c r="BQ117" s="21">
        <f>EXP(-LN(2)/25)*BQ116+(1-EXP(-LN(2)/25))/(LN(2)/25)*Calculateur!BL117*Calculateur!BN117*VLOOKUP('Données projet'!$B$11,Paramètres!$A$1:$I$89,3,0)*0.475*44/12</f>
        <v>1.1273243432989601</v>
      </c>
      <c r="BR117" s="21">
        <f>EXP(-LN(2)/2)*BR116+(1-EXP(-LN(2)/2))/(LN(2)/2)*BL117*BO117*VLOOKUP('Données projet'!$B$11,Paramètres!$A$1:$I$89,3,0)*0.475*44/12</f>
        <v>4.2914019805868348E-13</v>
      </c>
      <c r="BS117" s="22">
        <f t="shared" si="63"/>
        <v>1.3700477386490362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-2.8421709430404007E-13</v>
      </c>
      <c r="BZ117" s="13">
        <f>BY117*VLOOKUP('Données projet'!$B$12,Paramètres!$A$1:$I$89,3,0)*VLOOKUP('Données projet'!$B$12,Paramètres!$A$1:$I$89,5,0)</f>
        <v>-1.69961822393816E-13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179.32848817523677</v>
      </c>
      <c r="CE117" s="59">
        <f t="shared" si="94"/>
        <v>131.3292389103035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1.2836812893848373</v>
      </c>
      <c r="CM117" s="21">
        <f>EXP(-LN(2)/2)*CM116+(1-EXP(-LN(2)/2))/(LN(2)/2)*CG117*CJ117*VLOOKUP('Données projet'!$B$12,Paramètres!$A$1:$I$89,3,0)*0.475*44/12</f>
        <v>1.1966379536819296E-12</v>
      </c>
      <c r="CN117" s="22">
        <f t="shared" si="66"/>
        <v>1.2836812893860339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7.1749999999999998</v>
      </c>
      <c r="CT117" s="12">
        <f>IF('Données projet'!$A$140&gt;35,CT116+CS117-DB116,IF(A117&lt;'Données projet'!$A$140,$CQ$205^A117,IF(A117='Données projet'!$A$140,'Données projet'!$B$140,CT116+CS117-DB116)))</f>
        <v>341.00769230769185</v>
      </c>
      <c r="CU117" s="17">
        <f>CT117*VLOOKUP('Données projet'!$B$13,Paramètres!$A$1:$I$89,3,0)*VLOOKUP('Données projet'!$B$13,Paramètres!$A$1:$I$89,5,0)</f>
        <v>308.54375999999962</v>
      </c>
      <c r="CV117" s="13">
        <f t="shared" si="95"/>
        <v>72.964626008291646</v>
      </c>
      <c r="CW117" s="20">
        <f t="shared" si="67"/>
        <v>664.46043896444064</v>
      </c>
      <c r="CX117" s="59">
        <f t="shared" si="68"/>
        <v>957.79377229777401</v>
      </c>
      <c r="CY117" s="59">
        <f ca="1">AVERAGE(OFFSET($CX$3,0,0,'Données projet'!$E$13+1,1))-AVERAGE(OFFSET($H$3,0,0,'Données projet'!$E$13+1,1))</f>
        <v>309.07357540707869</v>
      </c>
      <c r="CZ117" s="59">
        <f t="shared" si="96"/>
        <v>155.9593924683299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227.99999999999986</v>
      </c>
      <c r="DP117" s="17">
        <f>DO117*VLOOKUP('Données projet'!$B$14,Paramètres!$A$1:$I$89,3,0)*VLOOKUP('Données projet'!$B$14,Paramètres!$A$1:$I$89,5,0)</f>
        <v>199.18079999999992</v>
      </c>
      <c r="DQ117" s="13">
        <f t="shared" si="97"/>
        <v>49.564089376413683</v>
      </c>
      <c r="DR117" s="20">
        <f t="shared" si="70"/>
        <v>433.23068233058694</v>
      </c>
      <c r="DS117" s="59">
        <f t="shared" si="71"/>
        <v>726.56401566392026</v>
      </c>
      <c r="DT117" s="59">
        <f ca="1">AVERAGE(OFFSET($DS$3,0,0,'Données projet'!$E$14+1,1))-AVERAGE(OFFSET($H$3,0,0,'Données projet'!$E$14+1,1))</f>
        <v>210.07838338464626</v>
      </c>
      <c r="DU117" s="59">
        <f t="shared" si="98"/>
        <v>241.76003724236273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1.0042034978277132</v>
      </c>
      <c r="EB117" s="21">
        <f>EXP(-LN(2)/25)*EB116+(1-EXP(-LN(2)/25))/(LN(2)/25)*Calculateur!DW117*Calculateur!DY117*VLOOKUP('Données projet'!$B$14,Paramètres!$A$1:$I$89,3,0)*0.475*44/12</f>
        <v>1.3206748977980678</v>
      </c>
      <c r="EC117" s="21">
        <f>EXP(-LN(2)/2)*EC116+(1-EXP(-LN(2)/2))/(LN(2)/2)*DW117*DZ117*VLOOKUP('Données projet'!$B$14,Paramètres!$A$1:$I$89,3,0)*0.475*44/12</f>
        <v>3.6314814840009927E-12</v>
      </c>
      <c r="ED117" s="22">
        <f t="shared" si="72"/>
        <v>2.3248783956294123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6.2527760746888816E-13</v>
      </c>
      <c r="EK117" s="17">
        <f>EJ117*VLOOKUP('Données projet'!$B$15,Paramètres!$A$1:$I$89,3,0)*VLOOKUP('Données projet'!$B$15,Paramètres!$A$1:$I$89,5,0)</f>
        <v>3.9017322706058616E-13</v>
      </c>
      <c r="EL117" s="13">
        <f t="shared" si="99"/>
        <v>5.0025007393608908E-12</v>
      </c>
      <c r="EM117" s="20">
        <f t="shared" si="73"/>
        <v>9.3922404915174053E-12</v>
      </c>
      <c r="EN117" s="59">
        <f t="shared" si="74"/>
        <v>293.33333333334269</v>
      </c>
      <c r="EO117" s="59">
        <f ca="1">AVERAGE(OFFSET($EN$3,0,0,'Données projet'!$E$15+1,1))-AVERAGE(OFFSET($H$3,0,0,'Données projet'!$E$15+1,1))</f>
        <v>209.93608079129638</v>
      </c>
      <c r="EP117" s="59">
        <f t="shared" si="100"/>
        <v>240.15652428700969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1.3174078368274049</v>
      </c>
      <c r="EW117" s="21">
        <f>EXP(-LN(2)/25)*EW116+(1-EXP(-LN(2)/25))/(LN(2)/25)*Calculateur!ER117*Calculateur!ET117*VLOOKUP('Données projet'!$B$15,Paramètres!$A$1:$I$89,3,0)*0.475*44/12</f>
        <v>2.0246502444468191</v>
      </c>
      <c r="EX117" s="21">
        <f>EXP(-LN(2)/2)*EX116+(1-EXP(-LN(2)/2))/(LN(2)/2)*ER117*EU117*VLOOKUP('Données projet'!$B$15,Paramètres!$A$1:$I$89,3,0)*0.475*44/12</f>
        <v>4.5908599312758961E-12</v>
      </c>
      <c r="EY117" s="22">
        <f t="shared" si="75"/>
        <v>3.342058081278815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5.6843418860808015E-14</v>
      </c>
      <c r="O118" s="13">
        <f>N118*VLOOKUP('Données projet'!$B$9,Paramètres!$A$1:$I$89,3,0)*VLOOKUP('Données projet'!$B$9,Paramètres!$A$1:$I$89,5,0)</f>
        <v>4.5224624045658861E-14</v>
      </c>
      <c r="P118" s="13">
        <f t="shared" si="87"/>
        <v>7.4514601661523691E-13</v>
      </c>
      <c r="Q118" s="20">
        <f t="shared" si="107"/>
        <v>1.3765621991510601E-12</v>
      </c>
      <c r="R118" s="59">
        <f t="shared" si="55"/>
        <v>293.33333333333468</v>
      </c>
      <c r="S118" s="59">
        <f ca="1">AVERAGE(OFFSET($R$3,0,0,'Données projet'!$E$9+1,1))-AVERAGE(OFFSET($H$3,0,0,'Données projet'!$E$9+1,1))</f>
        <v>199.58763537752952</v>
      </c>
      <c r="T118" s="59">
        <f t="shared" si="88"/>
        <v>242.62852778451929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</v>
      </c>
      <c r="AA118" s="21">
        <f>EXP(-LN(2)/25)*AA117+(1-EXP(-LN(2)/25))/(LN(2)/25)*Calculateur!V118*Calculateur!X118*VLOOKUP('Données projet'!$B$9,Paramètres!$A$1:$I$89,3,0)*0.475*44/12</f>
        <v>0.97412986173275662</v>
      </c>
      <c r="AB118" s="21">
        <f>EXP(-LN(2)/2)*AB117+(1-EXP(-LN(2)/2))/(LN(2)/2)*V118*Y118*VLOOKUP('Données projet'!$B$9,Paramètres!$A$1:$I$89,3,0)*0.475*44/12</f>
        <v>1.7302161077125275E-12</v>
      </c>
      <c r="AC118" s="22">
        <f t="shared" si="57"/>
        <v>0.97412986173448679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566</v>
      </c>
      <c r="AJ118" s="13">
        <f>AI118*VLOOKUP('Données projet'!$B$10,Paramètres!$A$1:$I$89,3,0)*VLOOKUP('Données projet'!$B$10,Paramètres!$A$1:$I$89,5,0)</f>
        <v>338.46800000000002</v>
      </c>
      <c r="AK118" s="13">
        <f t="shared" si="89"/>
        <v>79.183342377469998</v>
      </c>
      <c r="AL118" s="20">
        <f t="shared" si="58"/>
        <v>727.4094213074269</v>
      </c>
      <c r="AM118" s="59">
        <f t="shared" si="59"/>
        <v>1020.7427546407603</v>
      </c>
      <c r="AN118" s="59">
        <f ca="1">AVERAGE(OFFSET($AM$3,0,0,'Données projet'!$E$10+1,1))-AVERAGE(OFFSET($H$3,0,0,'Données projet'!$E$10+1,1))</f>
        <v>287.78657453117694</v>
      </c>
      <c r="AO118" s="59">
        <f t="shared" si="90"/>
        <v>153.31562485362252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0.54372970497478501</v>
      </c>
      <c r="AV118" s="21">
        <f>EXP(-LN(2)/25)*AV117+(1-EXP(-LN(2)/25))/(LN(2)/25)*Calculateur!AQ118*Calculateur!AS118*VLOOKUP('Données projet'!$B$10,Paramètres!$A$1:$I$89,3,0)*0.475*44/12</f>
        <v>0.55242148227257237</v>
      </c>
      <c r="AW118" s="21">
        <f>EXP(-LN(2)/2)*AW117+(1-EXP(-LN(2)/2))/(LN(2)/2)*AQ118*AT118*VLOOKUP('Données projet'!$B$10,Paramètres!$A$1:$I$89,3,0)*0.475*44/12</f>
        <v>1.7852775984641474E-12</v>
      </c>
      <c r="AX118" s="21">
        <f t="shared" si="60"/>
        <v>1.0961511872491427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-6.7984728957526396E-14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250.93905519128998</v>
      </c>
      <c r="BJ118" s="59">
        <f t="shared" si="92"/>
        <v>222.32879462265032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0.23796373761349301</v>
      </c>
      <c r="BQ118" s="21">
        <f>EXP(-LN(2)/25)*BQ117+(1-EXP(-LN(2)/25))/(LN(2)/25)*Calculateur!BL118*Calculateur!BN118*VLOOKUP('Données projet'!$B$11,Paramètres!$A$1:$I$89,3,0)*0.475*44/12</f>
        <v>1.0964975998480393</v>
      </c>
      <c r="BR118" s="21">
        <f>EXP(-LN(2)/2)*BR117+(1-EXP(-LN(2)/2))/(LN(2)/2)*BL118*BO118*VLOOKUP('Données projet'!$B$11,Paramètres!$A$1:$I$89,3,0)*0.475*44/12</f>
        <v>3.0344794412703316E-13</v>
      </c>
      <c r="BS118" s="22">
        <f t="shared" si="63"/>
        <v>1.3344613374618359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-2.8421709430404007E-13</v>
      </c>
      <c r="BZ118" s="13">
        <f>BY118*VLOOKUP('Données projet'!$B$12,Paramètres!$A$1:$I$89,3,0)*VLOOKUP('Données projet'!$B$12,Paramètres!$A$1:$I$89,5,0)</f>
        <v>-1.69961822393816E-13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179.32848817523677</v>
      </c>
      <c r="CE118" s="59">
        <f t="shared" si="94"/>
        <v>131.3292389103035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1.2485789570207437</v>
      </c>
      <c r="CM118" s="21">
        <f>EXP(-LN(2)/2)*CM117+(1-EXP(-LN(2)/2))/(LN(2)/2)*CG118*CJ118*VLOOKUP('Données projet'!$B$12,Paramètres!$A$1:$I$89,3,0)*0.475*44/12</f>
        <v>8.461508116736862E-13</v>
      </c>
      <c r="CN118" s="22">
        <f t="shared" si="66"/>
        <v>1.2485789570215899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7.1749999999999998</v>
      </c>
      <c r="CT118" s="12">
        <f>IF('Données projet'!$A$140&gt;35,CT117+CS118-DB117,IF(A118&lt;'Données projet'!$A$140,$CQ$205^A118,IF(A118='Données projet'!$A$140,'Données projet'!$B$140,CT117+CS118-DB117)))</f>
        <v>348.18269230769187</v>
      </c>
      <c r="CU118" s="17">
        <f>CT118*VLOOKUP('Données projet'!$B$13,Paramètres!$A$1:$I$89,3,0)*VLOOKUP('Données projet'!$B$13,Paramètres!$A$1:$I$89,5,0)</f>
        <v>315.03569999999957</v>
      </c>
      <c r="CV118" s="13">
        <f t="shared" si="95"/>
        <v>74.319496470315627</v>
      </c>
      <c r="CW118" s="20">
        <f t="shared" si="67"/>
        <v>678.12696718579889</v>
      </c>
      <c r="CX118" s="59">
        <f t="shared" si="68"/>
        <v>971.46030051913226</v>
      </c>
      <c r="CY118" s="59">
        <f ca="1">AVERAGE(OFFSET($CX$3,0,0,'Données projet'!$E$13+1,1))-AVERAGE(OFFSET($H$3,0,0,'Données projet'!$E$13+1,1))</f>
        <v>309.07357540707869</v>
      </c>
      <c r="CZ118" s="59">
        <f t="shared" si="96"/>
        <v>155.9593924683299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227.99999999999986</v>
      </c>
      <c r="DP118" s="17">
        <f>DO118*VLOOKUP('Données projet'!$B$14,Paramètres!$A$1:$I$89,3,0)*VLOOKUP('Données projet'!$B$14,Paramètres!$A$1:$I$89,5,0)</f>
        <v>199.18079999999992</v>
      </c>
      <c r="DQ118" s="13">
        <f t="shared" si="97"/>
        <v>49.564089376413683</v>
      </c>
      <c r="DR118" s="20">
        <f t="shared" si="70"/>
        <v>433.23068233058694</v>
      </c>
      <c r="DS118" s="59">
        <f t="shared" si="71"/>
        <v>726.56401566392026</v>
      </c>
      <c r="DT118" s="59">
        <f ca="1">AVERAGE(OFFSET($DS$3,0,0,'Données projet'!$E$14+1,1))-AVERAGE(OFFSET($H$3,0,0,'Données projet'!$E$14+1,1))</f>
        <v>210.07838338464626</v>
      </c>
      <c r="DU118" s="59">
        <f t="shared" si="98"/>
        <v>241.76003724236273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0.98451167973896569</v>
      </c>
      <c r="EB118" s="21">
        <f>EXP(-LN(2)/25)*EB117+(1-EXP(-LN(2)/25))/(LN(2)/25)*Calculateur!DW118*Calculateur!DY118*VLOOKUP('Données projet'!$B$14,Paramètres!$A$1:$I$89,3,0)*0.475*44/12</f>
        <v>1.2845609732665051</v>
      </c>
      <c r="EC118" s="21">
        <f>EXP(-LN(2)/2)*EC117+(1-EXP(-LN(2)/2))/(LN(2)/2)*DW118*DZ118*VLOOKUP('Données projet'!$B$14,Paramètres!$A$1:$I$89,3,0)*0.475*44/12</f>
        <v>2.567845183090489E-12</v>
      </c>
      <c r="ED118" s="22">
        <f t="shared" si="72"/>
        <v>2.2690726530080383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6.2527760746888816E-13</v>
      </c>
      <c r="EK118" s="17">
        <f>EJ118*VLOOKUP('Données projet'!$B$15,Paramètres!$A$1:$I$89,3,0)*VLOOKUP('Données projet'!$B$15,Paramètres!$A$1:$I$89,5,0)</f>
        <v>3.9017322706058616E-13</v>
      </c>
      <c r="EL118" s="13">
        <f t="shared" si="99"/>
        <v>5.0025007393608908E-12</v>
      </c>
      <c r="EM118" s="20">
        <f t="shared" si="73"/>
        <v>9.3922404915174053E-12</v>
      </c>
      <c r="EN118" s="59">
        <f t="shared" si="74"/>
        <v>293.33333333334269</v>
      </c>
      <c r="EO118" s="59">
        <f ca="1">AVERAGE(OFFSET($EN$3,0,0,'Données projet'!$E$15+1,1))-AVERAGE(OFFSET($H$3,0,0,'Données projet'!$E$15+1,1))</f>
        <v>209.93608079129638</v>
      </c>
      <c r="EP118" s="59">
        <f t="shared" si="100"/>
        <v>240.15652428700969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1.291574272686657</v>
      </c>
      <c r="EW118" s="21">
        <f>EXP(-LN(2)/25)*EW117+(1-EXP(-LN(2)/25))/(LN(2)/25)*Calculateur!ER118*Calculateur!ET118*VLOOKUP('Données projet'!$B$15,Paramètres!$A$1:$I$89,3,0)*0.475*44/12</f>
        <v>1.9692860770406919</v>
      </c>
      <c r="EX118" s="21">
        <f>EXP(-LN(2)/2)*EX117+(1-EXP(-LN(2)/2))/(LN(2)/2)*ER118*EU118*VLOOKUP('Données projet'!$B$15,Paramètres!$A$1:$I$89,3,0)*0.475*44/12</f>
        <v>3.2462281888827937E-12</v>
      </c>
      <c r="EY118" s="22">
        <f t="shared" si="75"/>
        <v>3.2608603497305952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5.6843418860808015E-14</v>
      </c>
      <c r="O119" s="13">
        <f>N119*VLOOKUP('Données projet'!$B$9,Paramètres!$A$1:$I$89,3,0)*VLOOKUP('Données projet'!$B$9,Paramètres!$A$1:$I$89,5,0)</f>
        <v>4.5224624045658861E-14</v>
      </c>
      <c r="P119" s="13">
        <f t="shared" si="87"/>
        <v>7.4514601661523691E-13</v>
      </c>
      <c r="Q119" s="20">
        <f t="shared" si="107"/>
        <v>1.3765621991510601E-12</v>
      </c>
      <c r="R119" s="59">
        <f t="shared" si="55"/>
        <v>293.33333333333468</v>
      </c>
      <c r="S119" s="59">
        <f ca="1">AVERAGE(OFFSET($R$3,0,0,'Données projet'!$E$9+1,1))-AVERAGE(OFFSET($H$3,0,0,'Données projet'!$E$9+1,1))</f>
        <v>199.58763537752952</v>
      </c>
      <c r="T119" s="59">
        <f t="shared" si="88"/>
        <v>242.62852778451929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</v>
      </c>
      <c r="AA119" s="21">
        <f>EXP(-LN(2)/25)*AA118+(1-EXP(-LN(2)/25))/(LN(2)/25)*Calculateur!V119*Calculateur!X119*VLOOKUP('Données projet'!$B$9,Paramètres!$A$1:$I$89,3,0)*0.475*44/12</f>
        <v>0.94749222943641132</v>
      </c>
      <c r="AB119" s="21">
        <f>EXP(-LN(2)/2)*AB118+(1-EXP(-LN(2)/2))/(LN(2)/2)*V119*Y119*VLOOKUP('Données projet'!$B$9,Paramètres!$A$1:$I$89,3,0)*0.475*44/12</f>
        <v>1.2234475426817221E-12</v>
      </c>
      <c r="AC119" s="22">
        <f t="shared" si="57"/>
        <v>0.94749222943763478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566</v>
      </c>
      <c r="AJ119" s="13">
        <f>AI119*VLOOKUP('Données projet'!$B$10,Paramètres!$A$1:$I$89,3,0)*VLOOKUP('Données projet'!$B$10,Paramètres!$A$1:$I$89,5,0)</f>
        <v>338.46800000000002</v>
      </c>
      <c r="AK119" s="13">
        <f t="shared" si="89"/>
        <v>79.183342377469998</v>
      </c>
      <c r="AL119" s="20">
        <f t="shared" si="58"/>
        <v>727.4094213074269</v>
      </c>
      <c r="AM119" s="59">
        <f t="shared" si="59"/>
        <v>1020.7427546407603</v>
      </c>
      <c r="AN119" s="59">
        <f ca="1">AVERAGE(OFFSET($AM$3,0,0,'Données projet'!$E$10+1,1))-AVERAGE(OFFSET($H$3,0,0,'Données projet'!$E$10+1,1))</f>
        <v>287.78657453117694</v>
      </c>
      <c r="AO119" s="59">
        <f t="shared" si="90"/>
        <v>153.31562485362252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0.53306749710260259</v>
      </c>
      <c r="AV119" s="21">
        <f>EXP(-LN(2)/25)*AV118+(1-EXP(-LN(2)/25))/(LN(2)/25)*Calculateur!AQ119*Calculateur!AS119*VLOOKUP('Données projet'!$B$10,Paramètres!$A$1:$I$89,3,0)*0.475*44/12</f>
        <v>0.53731548778924576</v>
      </c>
      <c r="AW119" s="21">
        <f>EXP(-LN(2)/2)*AW118+(1-EXP(-LN(2)/2))/(LN(2)/2)*AQ119*AT119*VLOOKUP('Données projet'!$B$10,Paramètres!$A$1:$I$89,3,0)*0.475*44/12</f>
        <v>1.2623818961744331E-12</v>
      </c>
      <c r="AX119" s="21">
        <f t="shared" si="60"/>
        <v>1.0703829848931108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-6.7984728957526396E-14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250.93905519128998</v>
      </c>
      <c r="BJ119" s="59">
        <f t="shared" si="92"/>
        <v>222.32879462265032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0.23329741386244063</v>
      </c>
      <c r="BQ119" s="21">
        <f>EXP(-LN(2)/25)*BQ118+(1-EXP(-LN(2)/25))/(LN(2)/25)*Calculateur!BL119*Calculateur!BN119*VLOOKUP('Données projet'!$B$11,Paramètres!$A$1:$I$89,3,0)*0.475*44/12</f>
        <v>1.0665138153178919</v>
      </c>
      <c r="BR119" s="21">
        <f>EXP(-LN(2)/2)*BR118+(1-EXP(-LN(2)/2))/(LN(2)/2)*BL119*BO119*VLOOKUP('Données projet'!$B$11,Paramètres!$A$1:$I$89,3,0)*0.475*44/12</f>
        <v>2.1457009902934174E-13</v>
      </c>
      <c r="BS119" s="22">
        <f t="shared" si="63"/>
        <v>1.299811229180547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-2.8421709430404007E-13</v>
      </c>
      <c r="BZ119" s="13">
        <f>BY119*VLOOKUP('Données projet'!$B$12,Paramètres!$A$1:$I$89,3,0)*VLOOKUP('Données projet'!$B$12,Paramètres!$A$1:$I$89,5,0)</f>
        <v>-1.69961822393816E-13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179.32848817523677</v>
      </c>
      <c r="CE119" s="59">
        <f t="shared" si="94"/>
        <v>131.3292389103035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1.2144364997810979</v>
      </c>
      <c r="CM119" s="21">
        <f>EXP(-LN(2)/2)*CM118+(1-EXP(-LN(2)/2))/(LN(2)/2)*CG119*CJ119*VLOOKUP('Données projet'!$B$12,Paramètres!$A$1:$I$89,3,0)*0.475*44/12</f>
        <v>5.983189768409648E-13</v>
      </c>
      <c r="CN119" s="22">
        <f t="shared" si="66"/>
        <v>1.2144364997816963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7.1749999999999998</v>
      </c>
      <c r="CT119" s="12">
        <f>IF('Données projet'!$A$140&gt;35,CT118+CS119-DB118,IF(A119&lt;'Données projet'!$A$140,$CQ$205^A119,IF(A119='Données projet'!$A$140,'Données projet'!$B$140,CT118+CS119-DB118)))</f>
        <v>355.35769230769188</v>
      </c>
      <c r="CU119" s="17">
        <f>CT119*VLOOKUP('Données projet'!$B$13,Paramètres!$A$1:$I$89,3,0)*VLOOKUP('Données projet'!$B$13,Paramètres!$A$1:$I$89,5,0)</f>
        <v>321.52763999999962</v>
      </c>
      <c r="CV119" s="13">
        <f t="shared" si="95"/>
        <v>75.67112071782168</v>
      </c>
      <c r="CW119" s="20">
        <f t="shared" si="67"/>
        <v>691.78784158353881</v>
      </c>
      <c r="CX119" s="59">
        <f t="shared" si="68"/>
        <v>985.12117491687218</v>
      </c>
      <c r="CY119" s="59">
        <f ca="1">AVERAGE(OFFSET($CX$3,0,0,'Données projet'!$E$13+1,1))-AVERAGE(OFFSET($H$3,0,0,'Données projet'!$E$13+1,1))</f>
        <v>309.07357540707869</v>
      </c>
      <c r="CZ119" s="59">
        <f t="shared" si="96"/>
        <v>155.9593924683299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227.99999999999986</v>
      </c>
      <c r="DP119" s="17">
        <f>DO119*VLOOKUP('Données projet'!$B$14,Paramètres!$A$1:$I$89,3,0)*VLOOKUP('Données projet'!$B$14,Paramètres!$A$1:$I$89,5,0)</f>
        <v>199.18079999999992</v>
      </c>
      <c r="DQ119" s="13">
        <f t="shared" si="97"/>
        <v>49.564089376413683</v>
      </c>
      <c r="DR119" s="20">
        <f t="shared" si="70"/>
        <v>433.23068233058694</v>
      </c>
      <c r="DS119" s="59">
        <f t="shared" si="71"/>
        <v>726.56401566392026</v>
      </c>
      <c r="DT119" s="59">
        <f ca="1">AVERAGE(OFFSET($DS$3,0,0,'Données projet'!$E$14+1,1))-AVERAGE(OFFSET($H$3,0,0,'Données projet'!$E$14+1,1))</f>
        <v>210.07838338464626</v>
      </c>
      <c r="DU119" s="59">
        <f t="shared" si="98"/>
        <v>241.76003724236273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0.9652060061921155</v>
      </c>
      <c r="EB119" s="21">
        <f>EXP(-LN(2)/25)*EB118+(1-EXP(-LN(2)/25))/(LN(2)/25)*Calculateur!DW119*Calculateur!DY119*VLOOKUP('Données projet'!$B$14,Paramètres!$A$1:$I$89,3,0)*0.475*44/12</f>
        <v>1.2494345859004068</v>
      </c>
      <c r="EC119" s="21">
        <f>EXP(-LN(2)/2)*EC118+(1-EXP(-LN(2)/2))/(LN(2)/2)*DW119*DZ119*VLOOKUP('Données projet'!$B$14,Paramètres!$A$1:$I$89,3,0)*0.475*44/12</f>
        <v>1.8157407420004966E-12</v>
      </c>
      <c r="ED119" s="22">
        <f t="shared" si="72"/>
        <v>2.2146405920943382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6.2527760746888816E-13</v>
      </c>
      <c r="EK119" s="17">
        <f>EJ119*VLOOKUP('Données projet'!$B$15,Paramètres!$A$1:$I$89,3,0)*VLOOKUP('Données projet'!$B$15,Paramètres!$A$1:$I$89,5,0)</f>
        <v>3.9017322706058616E-13</v>
      </c>
      <c r="EL119" s="13">
        <f t="shared" si="99"/>
        <v>5.0025007393608908E-12</v>
      </c>
      <c r="EM119" s="20">
        <f t="shared" si="73"/>
        <v>9.3922404915174053E-12</v>
      </c>
      <c r="EN119" s="59">
        <f t="shared" si="74"/>
        <v>293.33333333334269</v>
      </c>
      <c r="EO119" s="59">
        <f ca="1">AVERAGE(OFFSET($EN$3,0,0,'Données projet'!$E$15+1,1))-AVERAGE(OFFSET($H$3,0,0,'Données projet'!$E$15+1,1))</f>
        <v>209.93608079129638</v>
      </c>
      <c r="EP119" s="59">
        <f t="shared" si="100"/>
        <v>240.15652428700969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1.2662472889817911</v>
      </c>
      <c r="EW119" s="21">
        <f>EXP(-LN(2)/25)*EW118+(1-EXP(-LN(2)/25))/(LN(2)/25)*Calculateur!ER119*Calculateur!ET119*VLOOKUP('Données projet'!$B$15,Paramètres!$A$1:$I$89,3,0)*0.475*44/12</f>
        <v>1.9154358457037604</v>
      </c>
      <c r="EX119" s="21">
        <f>EXP(-LN(2)/2)*EX118+(1-EXP(-LN(2)/2))/(LN(2)/2)*ER119*EU119*VLOOKUP('Données projet'!$B$15,Paramètres!$A$1:$I$89,3,0)*0.475*44/12</f>
        <v>2.295429965637948E-12</v>
      </c>
      <c r="EY119" s="22">
        <f t="shared" si="75"/>
        <v>3.1816831346878467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5.6843418860808015E-14</v>
      </c>
      <c r="O120" s="13">
        <f>N120*VLOOKUP('Données projet'!$B$9,Paramètres!$A$1:$I$89,3,0)*VLOOKUP('Données projet'!$B$9,Paramètres!$A$1:$I$89,5,0)</f>
        <v>4.5224624045658861E-14</v>
      </c>
      <c r="P120" s="13">
        <f t="shared" si="87"/>
        <v>7.4514601661523691E-13</v>
      </c>
      <c r="Q120" s="20">
        <f t="shared" si="107"/>
        <v>1.3765621991510601E-12</v>
      </c>
      <c r="R120" s="59">
        <f t="shared" si="55"/>
        <v>293.33333333333468</v>
      </c>
      <c r="S120" s="59">
        <f ca="1">AVERAGE(OFFSET($R$3,0,0,'Données projet'!$E$9+1,1))-AVERAGE(OFFSET($H$3,0,0,'Données projet'!$E$9+1,1))</f>
        <v>199.58763537752952</v>
      </c>
      <c r="T120" s="59">
        <f t="shared" si="88"/>
        <v>242.62852778451929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</v>
      </c>
      <c r="AA120" s="21">
        <f>EXP(-LN(2)/25)*AA119+(1-EXP(-LN(2)/25))/(LN(2)/25)*Calculateur!V120*Calculateur!X120*VLOOKUP('Données projet'!$B$9,Paramètres!$A$1:$I$89,3,0)*0.475*44/12</f>
        <v>0.92158300459602183</v>
      </c>
      <c r="AB120" s="21">
        <f>EXP(-LN(2)/2)*AB119+(1-EXP(-LN(2)/2))/(LN(2)/2)*V120*Y120*VLOOKUP('Données projet'!$B$9,Paramètres!$A$1:$I$89,3,0)*0.475*44/12</f>
        <v>8.6510805385626373E-13</v>
      </c>
      <c r="AC120" s="22">
        <f t="shared" si="57"/>
        <v>0.92158300459688691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566</v>
      </c>
      <c r="AJ120" s="13">
        <f>AI120*VLOOKUP('Données projet'!$B$10,Paramètres!$A$1:$I$89,3,0)*VLOOKUP('Données projet'!$B$10,Paramètres!$A$1:$I$89,5,0)</f>
        <v>338.46800000000002</v>
      </c>
      <c r="AK120" s="13">
        <f t="shared" si="89"/>
        <v>79.183342377469998</v>
      </c>
      <c r="AL120" s="20">
        <f t="shared" si="58"/>
        <v>727.4094213074269</v>
      </c>
      <c r="AM120" s="59">
        <f t="shared" si="59"/>
        <v>1020.7427546407603</v>
      </c>
      <c r="AN120" s="59">
        <f ca="1">AVERAGE(OFFSET($AM$3,0,0,'Données projet'!$E$10+1,1))-AVERAGE(OFFSET($H$3,0,0,'Données projet'!$E$10+1,1))</f>
        <v>287.78657453117694</v>
      </c>
      <c r="AO120" s="59">
        <f t="shared" si="90"/>
        <v>153.31562485362252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0.52261436862348898</v>
      </c>
      <c r="AV120" s="21">
        <f>EXP(-LN(2)/25)*AV119+(1-EXP(-LN(2)/25))/(LN(2)/25)*Calculateur!AQ120*Calculateur!AS120*VLOOKUP('Données projet'!$B$10,Paramètres!$A$1:$I$89,3,0)*0.475*44/12</f>
        <v>0.52262256751945535</v>
      </c>
      <c r="AW120" s="21">
        <f>EXP(-LN(2)/2)*AW119+(1-EXP(-LN(2)/2))/(LN(2)/2)*AQ120*AT120*VLOOKUP('Données projet'!$B$10,Paramètres!$A$1:$I$89,3,0)*0.475*44/12</f>
        <v>8.9263879923207381E-13</v>
      </c>
      <c r="AX120" s="21">
        <f t="shared" si="60"/>
        <v>1.0452369361438369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-6.7984728957526396E-14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250.93905519128998</v>
      </c>
      <c r="BJ120" s="59">
        <f t="shared" si="92"/>
        <v>222.32879462265032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0.22872259387396993</v>
      </c>
      <c r="BQ120" s="21">
        <f>EXP(-LN(2)/25)*BQ119+(1-EXP(-LN(2)/25))/(LN(2)/25)*Calculateur!BL120*Calculateur!BN120*VLOOKUP('Données projet'!$B$11,Paramètres!$A$1:$I$89,3,0)*0.475*44/12</f>
        <v>1.0373499389525001</v>
      </c>
      <c r="BR120" s="21">
        <f>EXP(-LN(2)/2)*BR119+(1-EXP(-LN(2)/2))/(LN(2)/2)*BL120*BO120*VLOOKUP('Données projet'!$B$11,Paramètres!$A$1:$I$89,3,0)*0.475*44/12</f>
        <v>1.5172397206351658E-13</v>
      </c>
      <c r="BS120" s="22">
        <f t="shared" si="63"/>
        <v>1.2660725328266216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-2.8421709430404007E-13</v>
      </c>
      <c r="BZ120" s="13">
        <f>BY120*VLOOKUP('Données projet'!$B$12,Paramètres!$A$1:$I$89,3,0)*VLOOKUP('Données projet'!$B$12,Paramètres!$A$1:$I$89,5,0)</f>
        <v>-1.69961822393816E-13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179.32848817523677</v>
      </c>
      <c r="CE120" s="59">
        <f t="shared" si="94"/>
        <v>131.3292389103035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1.1812276698301438</v>
      </c>
      <c r="CM120" s="21">
        <f>EXP(-LN(2)/2)*CM119+(1-EXP(-LN(2)/2))/(LN(2)/2)*CG120*CJ120*VLOOKUP('Données projet'!$B$12,Paramètres!$A$1:$I$89,3,0)*0.475*44/12</f>
        <v>4.230754058368431E-13</v>
      </c>
      <c r="CN120" s="22">
        <f t="shared" si="66"/>
        <v>1.1812276698305668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7.1749999999999998</v>
      </c>
      <c r="CT120" s="12">
        <f>IF('Données projet'!$A$140&gt;35,CT119+CS120-DB119,IF(A120&lt;'Données projet'!$A$140,$CQ$205^A120,IF(A120='Données projet'!$A$140,'Données projet'!$B$140,CT119+CS120-DB119)))</f>
        <v>362.53269230769189</v>
      </c>
      <c r="CU120" s="17">
        <f>CT120*VLOOKUP('Données projet'!$B$13,Paramètres!$A$1:$I$89,3,0)*VLOOKUP('Données projet'!$B$13,Paramètres!$A$1:$I$89,5,0)</f>
        <v>328.01957999999956</v>
      </c>
      <c r="CV120" s="13">
        <f t="shared" si="95"/>
        <v>77.019571848313717</v>
      </c>
      <c r="CW120" s="20">
        <f t="shared" si="67"/>
        <v>705.44318946914564</v>
      </c>
      <c r="CX120" s="59">
        <f t="shared" si="68"/>
        <v>998.77652280247889</v>
      </c>
      <c r="CY120" s="59">
        <f ca="1">AVERAGE(OFFSET($CX$3,0,0,'Données projet'!$E$13+1,1))-AVERAGE(OFFSET($H$3,0,0,'Données projet'!$E$13+1,1))</f>
        <v>309.07357540707869</v>
      </c>
      <c r="CZ120" s="59">
        <f t="shared" si="96"/>
        <v>155.9593924683299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227.99999999999986</v>
      </c>
      <c r="DP120" s="17">
        <f>DO120*VLOOKUP('Données projet'!$B$14,Paramètres!$A$1:$I$89,3,0)*VLOOKUP('Données projet'!$B$14,Paramètres!$A$1:$I$89,5,0)</f>
        <v>199.18079999999992</v>
      </c>
      <c r="DQ120" s="13">
        <f t="shared" si="97"/>
        <v>49.564089376413683</v>
      </c>
      <c r="DR120" s="20">
        <f t="shared" si="70"/>
        <v>433.23068233058694</v>
      </c>
      <c r="DS120" s="59">
        <f t="shared" si="71"/>
        <v>726.56401566392026</v>
      </c>
      <c r="DT120" s="59">
        <f ca="1">AVERAGE(OFFSET($DS$3,0,0,'Données projet'!$E$14+1,1))-AVERAGE(OFFSET($H$3,0,0,'Données projet'!$E$14+1,1))</f>
        <v>210.07838338464626</v>
      </c>
      <c r="DU120" s="59">
        <f t="shared" si="98"/>
        <v>241.76003724236273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0.94627890512822088</v>
      </c>
      <c r="EB120" s="21">
        <f>EXP(-LN(2)/25)*EB119+(1-EXP(-LN(2)/25))/(LN(2)/25)*Calculateur!DW120*Calculateur!DY120*VLOOKUP('Données projet'!$B$14,Paramètres!$A$1:$I$89,3,0)*0.475*44/12</f>
        <v>1.2152687314440509</v>
      </c>
      <c r="EC120" s="21">
        <f>EXP(-LN(2)/2)*EC119+(1-EXP(-LN(2)/2))/(LN(2)/2)*DW120*DZ120*VLOOKUP('Données projet'!$B$14,Paramètres!$A$1:$I$89,3,0)*0.475*44/12</f>
        <v>1.2839225915452447E-12</v>
      </c>
      <c r="ED120" s="22">
        <f t="shared" si="72"/>
        <v>2.1615476365735558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6.2527760746888816E-13</v>
      </c>
      <c r="EK120" s="17">
        <f>EJ120*VLOOKUP('Données projet'!$B$15,Paramètres!$A$1:$I$89,3,0)*VLOOKUP('Données projet'!$B$15,Paramètres!$A$1:$I$89,5,0)</f>
        <v>3.9017322706058616E-13</v>
      </c>
      <c r="EL120" s="13">
        <f t="shared" si="99"/>
        <v>5.0025007393608908E-12</v>
      </c>
      <c r="EM120" s="20">
        <f t="shared" si="73"/>
        <v>9.3922404915174053E-12</v>
      </c>
      <c r="EN120" s="59">
        <f t="shared" si="74"/>
        <v>293.33333333334269</v>
      </c>
      <c r="EO120" s="59">
        <f ca="1">AVERAGE(OFFSET($EN$3,0,0,'Données projet'!$E$15+1,1))-AVERAGE(OFFSET($H$3,0,0,'Données projet'!$E$15+1,1))</f>
        <v>209.93608079129638</v>
      </c>
      <c r="EP120" s="59">
        <f t="shared" si="100"/>
        <v>240.15652428700969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1.2414169519794427</v>
      </c>
      <c r="EW120" s="21">
        <f>EXP(-LN(2)/25)*EW119+(1-EXP(-LN(2)/25))/(LN(2)/25)*Calculateur!ER120*Calculateur!ET120*VLOOKUP('Données projet'!$B$15,Paramètres!$A$1:$I$89,3,0)*0.475*44/12</f>
        <v>1.8630581517745977</v>
      </c>
      <c r="EX120" s="21">
        <f>EXP(-LN(2)/2)*EX119+(1-EXP(-LN(2)/2))/(LN(2)/2)*ER120*EU120*VLOOKUP('Données projet'!$B$15,Paramètres!$A$1:$I$89,3,0)*0.475*44/12</f>
        <v>1.6231140944413969E-12</v>
      </c>
      <c r="EY120" s="22">
        <f t="shared" si="75"/>
        <v>3.1044751037556635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5.6843418860808015E-14</v>
      </c>
      <c r="O121" s="13">
        <f>N121*VLOOKUP('Données projet'!$B$9,Paramètres!$A$1:$I$89,3,0)*VLOOKUP('Données projet'!$B$9,Paramètres!$A$1:$I$89,5,0)</f>
        <v>4.5224624045658861E-14</v>
      </c>
      <c r="P121" s="13">
        <f t="shared" si="87"/>
        <v>7.4514601661523691E-13</v>
      </c>
      <c r="Q121" s="20">
        <f t="shared" si="107"/>
        <v>1.3765621991510601E-12</v>
      </c>
      <c r="R121" s="59">
        <f t="shared" si="55"/>
        <v>293.33333333333468</v>
      </c>
      <c r="S121" s="59">
        <f ca="1">AVERAGE(OFFSET($R$3,0,0,'Données projet'!$E$9+1,1))-AVERAGE(OFFSET($H$3,0,0,'Données projet'!$E$9+1,1))</f>
        <v>199.58763537752952</v>
      </c>
      <c r="T121" s="59">
        <f t="shared" si="88"/>
        <v>242.62852778451929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</v>
      </c>
      <c r="AA121" s="21">
        <f>EXP(-LN(2)/25)*AA120+(1-EXP(-LN(2)/25))/(LN(2)/25)*Calculateur!V121*Calculateur!X121*VLOOKUP('Données projet'!$B$9,Paramètres!$A$1:$I$89,3,0)*0.475*44/12</f>
        <v>0.89638226887139971</v>
      </c>
      <c r="AB121" s="21">
        <f>EXP(-LN(2)/2)*AB120+(1-EXP(-LN(2)/2))/(LN(2)/2)*V121*Y121*VLOOKUP('Données projet'!$B$9,Paramètres!$A$1:$I$89,3,0)*0.475*44/12</f>
        <v>6.1172377134086104E-13</v>
      </c>
      <c r="AC121" s="22">
        <f t="shared" si="57"/>
        <v>0.89638226887201145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566</v>
      </c>
      <c r="AJ121" s="13">
        <f>AI121*VLOOKUP('Données projet'!$B$10,Paramètres!$A$1:$I$89,3,0)*VLOOKUP('Données projet'!$B$10,Paramètres!$A$1:$I$89,5,0)</f>
        <v>338.46800000000002</v>
      </c>
      <c r="AK121" s="13">
        <f t="shared" si="89"/>
        <v>79.183342377469998</v>
      </c>
      <c r="AL121" s="20">
        <f t="shared" si="58"/>
        <v>727.4094213074269</v>
      </c>
      <c r="AM121" s="59">
        <f t="shared" si="59"/>
        <v>1020.7427546407603</v>
      </c>
      <c r="AN121" s="59">
        <f ca="1">AVERAGE(OFFSET($AM$3,0,0,'Données projet'!$E$10+1,1))-AVERAGE(OFFSET($H$3,0,0,'Données projet'!$E$10+1,1))</f>
        <v>287.78657453117694</v>
      </c>
      <c r="AO121" s="59">
        <f t="shared" si="90"/>
        <v>153.31562485362252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0.51236621961807194</v>
      </c>
      <c r="AV121" s="21">
        <f>EXP(-LN(2)/25)*AV120+(1-EXP(-LN(2)/25))/(LN(2)/25)*Calculateur!AQ121*Calculateur!AS121*VLOOKUP('Données projet'!$B$10,Paramètres!$A$1:$I$89,3,0)*0.475*44/12</f>
        <v>0.50833142592710945</v>
      </c>
      <c r="AW121" s="21">
        <f>EXP(-LN(2)/2)*AW120+(1-EXP(-LN(2)/2))/(LN(2)/2)*AQ121*AT121*VLOOKUP('Données projet'!$B$10,Paramètres!$A$1:$I$89,3,0)*0.475*44/12</f>
        <v>6.3119094808721663E-13</v>
      </c>
      <c r="AX121" s="21">
        <f t="shared" si="60"/>
        <v>1.0206976455458128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-6.7984728957526396E-14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250.93905519128998</v>
      </c>
      <c r="BJ121" s="59">
        <f t="shared" si="92"/>
        <v>222.32879462265032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0.22423748331510845</v>
      </c>
      <c r="BQ121" s="21">
        <f>EXP(-LN(2)/25)*BQ120+(1-EXP(-LN(2)/25))/(LN(2)/25)*Calculateur!BL121*Calculateur!BN121*VLOOKUP('Données projet'!$B$11,Paramètres!$A$1:$I$89,3,0)*0.475*44/12</f>
        <v>1.0089835503199815</v>
      </c>
      <c r="BR121" s="21">
        <f>EXP(-LN(2)/2)*BR120+(1-EXP(-LN(2)/2))/(LN(2)/2)*BL121*BO121*VLOOKUP('Données projet'!$B$11,Paramètres!$A$1:$I$89,3,0)*0.475*44/12</f>
        <v>1.0728504951467087E-13</v>
      </c>
      <c r="BS121" s="22">
        <f t="shared" si="63"/>
        <v>1.2332210336351972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-2.8421709430404007E-13</v>
      </c>
      <c r="BZ121" s="13">
        <f>BY121*VLOOKUP('Données projet'!$B$12,Paramètres!$A$1:$I$89,3,0)*VLOOKUP('Données projet'!$B$12,Paramètres!$A$1:$I$89,5,0)</f>
        <v>-1.69961822393816E-13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179.32848817523677</v>
      </c>
      <c r="CE121" s="59">
        <f t="shared" si="94"/>
        <v>131.3292389103035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1.148926937080575</v>
      </c>
      <c r="CM121" s="21">
        <f>EXP(-LN(2)/2)*CM120+(1-EXP(-LN(2)/2))/(LN(2)/2)*CG121*CJ121*VLOOKUP('Données projet'!$B$12,Paramètres!$A$1:$I$89,3,0)*0.475*44/12</f>
        <v>2.991594884204824E-13</v>
      </c>
      <c r="CN121" s="22">
        <f t="shared" si="66"/>
        <v>1.1489269370808741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7.1749999999999998</v>
      </c>
      <c r="CT121" s="12">
        <f>IF('Données projet'!$A$140&gt;35,CT120+CS121-DB120,IF(A121&lt;'Données projet'!$A$140,$CQ$205^A121,IF(A121='Données projet'!$A$140,'Données projet'!$B$140,CT120+CS121-DB120)))</f>
        <v>369.7076923076919</v>
      </c>
      <c r="CU121" s="17">
        <f>CT121*VLOOKUP('Données projet'!$B$13,Paramètres!$A$1:$I$89,3,0)*VLOOKUP('Données projet'!$B$13,Paramètres!$A$1:$I$89,5,0)</f>
        <v>334.51151999999962</v>
      </c>
      <c r="CV121" s="13">
        <f t="shared" si="95"/>
        <v>78.364919900433733</v>
      </c>
      <c r="CW121" s="20">
        <f t="shared" si="67"/>
        <v>719.09313282658798</v>
      </c>
      <c r="CX121" s="59">
        <f t="shared" si="68"/>
        <v>1012.4264661599213</v>
      </c>
      <c r="CY121" s="59">
        <f ca="1">AVERAGE(OFFSET($CX$3,0,0,'Données projet'!$E$13+1,1))-AVERAGE(OFFSET($H$3,0,0,'Données projet'!$E$13+1,1))</f>
        <v>309.07357540707869</v>
      </c>
      <c r="CZ121" s="59">
        <f t="shared" si="96"/>
        <v>155.9593924683299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227.99999999999986</v>
      </c>
      <c r="DP121" s="17">
        <f>DO121*VLOOKUP('Données projet'!$B$14,Paramètres!$A$1:$I$89,3,0)*VLOOKUP('Données projet'!$B$14,Paramètres!$A$1:$I$89,5,0)</f>
        <v>199.18079999999992</v>
      </c>
      <c r="DQ121" s="13">
        <f t="shared" si="97"/>
        <v>49.564089376413683</v>
      </c>
      <c r="DR121" s="20">
        <f t="shared" si="70"/>
        <v>433.23068233058694</v>
      </c>
      <c r="DS121" s="59">
        <f t="shared" si="71"/>
        <v>726.56401566392026</v>
      </c>
      <c r="DT121" s="59">
        <f ca="1">AVERAGE(OFFSET($DS$3,0,0,'Données projet'!$E$14+1,1))-AVERAGE(OFFSET($H$3,0,0,'Données projet'!$E$14+1,1))</f>
        <v>210.07838338464626</v>
      </c>
      <c r="DU121" s="59">
        <f t="shared" si="98"/>
        <v>241.76003724236273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0.92772295297179752</v>
      </c>
      <c r="EB121" s="21">
        <f>EXP(-LN(2)/25)*EB120+(1-EXP(-LN(2)/25))/(LN(2)/25)*Calculateur!DW121*Calculateur!DY121*VLOOKUP('Données projet'!$B$14,Paramètres!$A$1:$I$89,3,0)*0.475*44/12</f>
        <v>1.1820371440745083</v>
      </c>
      <c r="EC121" s="21">
        <f>EXP(-LN(2)/2)*EC120+(1-EXP(-LN(2)/2))/(LN(2)/2)*DW121*DZ121*VLOOKUP('Données projet'!$B$14,Paramètres!$A$1:$I$89,3,0)*0.475*44/12</f>
        <v>9.0787037100024849E-13</v>
      </c>
      <c r="ED121" s="22">
        <f t="shared" si="72"/>
        <v>2.1097600970472135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6.2527760746888816E-13</v>
      </c>
      <c r="EK121" s="17">
        <f>EJ121*VLOOKUP('Données projet'!$B$15,Paramètres!$A$1:$I$89,3,0)*VLOOKUP('Données projet'!$B$15,Paramètres!$A$1:$I$89,5,0)</f>
        <v>3.9017322706058616E-13</v>
      </c>
      <c r="EL121" s="13">
        <f t="shared" si="99"/>
        <v>5.0025007393608908E-12</v>
      </c>
      <c r="EM121" s="20">
        <f t="shared" si="73"/>
        <v>9.3922404915174053E-12</v>
      </c>
      <c r="EN121" s="59">
        <f t="shared" si="74"/>
        <v>293.33333333334269</v>
      </c>
      <c r="EO121" s="59">
        <f ca="1">AVERAGE(OFFSET($EN$3,0,0,'Données projet'!$E$15+1,1))-AVERAGE(OFFSET($H$3,0,0,'Données projet'!$E$15+1,1))</f>
        <v>209.93608079129638</v>
      </c>
      <c r="EP121" s="59">
        <f t="shared" si="100"/>
        <v>240.15652428700969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1.2170735227407004</v>
      </c>
      <c r="EW121" s="21">
        <f>EXP(-LN(2)/25)*EW120+(1-EXP(-LN(2)/25))/(LN(2)/25)*Calculateur!ER121*Calculateur!ET121*VLOOKUP('Données projet'!$B$15,Paramètres!$A$1:$I$89,3,0)*0.475*44/12</f>
        <v>1.8121127286403511</v>
      </c>
      <c r="EX121" s="21">
        <f>EXP(-LN(2)/2)*EX120+(1-EXP(-LN(2)/2))/(LN(2)/2)*ER121*EU121*VLOOKUP('Données projet'!$B$15,Paramètres!$A$1:$I$89,3,0)*0.475*44/12</f>
        <v>1.147714982818974E-12</v>
      </c>
      <c r="EY121" s="22">
        <f t="shared" si="75"/>
        <v>3.0291862513821988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5.6843418860808015E-14</v>
      </c>
      <c r="O122" s="13">
        <f>N122*VLOOKUP('Données projet'!$B$9,Paramètres!$A$1:$I$89,3,0)*VLOOKUP('Données projet'!$B$9,Paramètres!$A$1:$I$89,5,0)</f>
        <v>4.5224624045658861E-14</v>
      </c>
      <c r="P122" s="13">
        <f t="shared" si="87"/>
        <v>7.4514601661523691E-13</v>
      </c>
      <c r="Q122" s="20">
        <f t="shared" si="107"/>
        <v>1.3765621991510601E-12</v>
      </c>
      <c r="R122" s="59">
        <f t="shared" si="55"/>
        <v>293.33333333333468</v>
      </c>
      <c r="S122" s="59">
        <f ca="1">AVERAGE(OFFSET($R$3,0,0,'Données projet'!$E$9+1,1))-AVERAGE(OFFSET($H$3,0,0,'Données projet'!$E$9+1,1))</f>
        <v>199.58763537752952</v>
      </c>
      <c r="T122" s="59">
        <f t="shared" si="88"/>
        <v>242.62852778451929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</v>
      </c>
      <c r="AA122" s="21">
        <f>EXP(-LN(2)/25)*AA121+(1-EXP(-LN(2)/25))/(LN(2)/25)*Calculateur!V122*Calculateur!X122*VLOOKUP('Données projet'!$B$9,Paramètres!$A$1:$I$89,3,0)*0.475*44/12</f>
        <v>0.87187064859041652</v>
      </c>
      <c r="AB122" s="21">
        <f>EXP(-LN(2)/2)*AB121+(1-EXP(-LN(2)/2))/(LN(2)/2)*V122*Y122*VLOOKUP('Données projet'!$B$9,Paramètres!$A$1:$I$89,3,0)*0.475*44/12</f>
        <v>4.3255402692813187E-13</v>
      </c>
      <c r="AC122" s="22">
        <f t="shared" si="57"/>
        <v>0.87187064859084906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566</v>
      </c>
      <c r="AJ122" s="13">
        <f>AI122*VLOOKUP('Données projet'!$B$10,Paramètres!$A$1:$I$89,3,0)*VLOOKUP('Données projet'!$B$10,Paramètres!$A$1:$I$89,5,0)</f>
        <v>338.46800000000002</v>
      </c>
      <c r="AK122" s="13">
        <f t="shared" si="89"/>
        <v>79.183342377469998</v>
      </c>
      <c r="AL122" s="20">
        <f t="shared" si="58"/>
        <v>727.4094213074269</v>
      </c>
      <c r="AM122" s="59">
        <f t="shared" si="59"/>
        <v>1020.7427546407603</v>
      </c>
      <c r="AN122" s="59">
        <f ca="1">AVERAGE(OFFSET($AM$3,0,0,'Données projet'!$E$10+1,1))-AVERAGE(OFFSET($H$3,0,0,'Données projet'!$E$10+1,1))</f>
        <v>287.78657453117694</v>
      </c>
      <c r="AO122" s="59">
        <f t="shared" si="90"/>
        <v>153.31562485362252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0.50231903056389748</v>
      </c>
      <c r="AV122" s="21">
        <f>EXP(-LN(2)/25)*AV121+(1-EXP(-LN(2)/25))/(LN(2)/25)*Calculateur!AQ122*Calculateur!AS122*VLOOKUP('Données projet'!$B$10,Paramètres!$A$1:$I$89,3,0)*0.475*44/12</f>
        <v>0.49443107635314476</v>
      </c>
      <c r="AW122" s="21">
        <f>EXP(-LN(2)/2)*AW121+(1-EXP(-LN(2)/2))/(LN(2)/2)*AQ122*AT122*VLOOKUP('Données projet'!$B$10,Paramètres!$A$1:$I$89,3,0)*0.475*44/12</f>
        <v>4.46319399616037E-13</v>
      </c>
      <c r="AX122" s="21">
        <f t="shared" si="60"/>
        <v>0.99675010691748855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-6.7984728957526396E-14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250.93905519128998</v>
      </c>
      <c r="BJ122" s="59">
        <f t="shared" si="92"/>
        <v>222.32879462265032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0.21984032303865894</v>
      </c>
      <c r="BQ122" s="21">
        <f>EXP(-LN(2)/25)*BQ121+(1-EXP(-LN(2)/25))/(LN(2)/25)*Calculateur!BL122*Calculateur!BN122*VLOOKUP('Données projet'!$B$11,Paramètres!$A$1:$I$89,3,0)*0.475*44/12</f>
        <v>0.98139284207634281</v>
      </c>
      <c r="BR122" s="21">
        <f>EXP(-LN(2)/2)*BR121+(1-EXP(-LN(2)/2))/(LN(2)/2)*BL122*BO122*VLOOKUP('Données projet'!$B$11,Paramètres!$A$1:$I$89,3,0)*0.475*44/12</f>
        <v>7.5861986031758291E-14</v>
      </c>
      <c r="BS122" s="22">
        <f t="shared" si="63"/>
        <v>1.2012331651150776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-2.8421709430404007E-13</v>
      </c>
      <c r="BZ122" s="13">
        <f>BY122*VLOOKUP('Données projet'!$B$12,Paramètres!$A$1:$I$89,3,0)*VLOOKUP('Données projet'!$B$12,Paramètres!$A$1:$I$89,5,0)</f>
        <v>-1.69961822393816E-13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179.32848817523677</v>
      </c>
      <c r="CE122" s="59">
        <f t="shared" si="94"/>
        <v>131.3292389103035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1.117509469566665</v>
      </c>
      <c r="CM122" s="21">
        <f>EXP(-LN(2)/2)*CM121+(1-EXP(-LN(2)/2))/(LN(2)/2)*CG122*CJ122*VLOOKUP('Données projet'!$B$12,Paramètres!$A$1:$I$89,3,0)*0.475*44/12</f>
        <v>2.1153770291842155E-13</v>
      </c>
      <c r="CN122" s="22">
        <f t="shared" si="66"/>
        <v>1.1175094695668766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7.1749999999999998</v>
      </c>
      <c r="CT122" s="12">
        <f>IF('Données projet'!$A$140&gt;35,CT121+CS122-DB121,IF(A122&lt;'Données projet'!$A$140,$CQ$205^A122,IF(A122='Données projet'!$A$140,'Données projet'!$B$140,CT121+CS122-DB121)))</f>
        <v>376.88269230769191</v>
      </c>
      <c r="CU122" s="17">
        <f>CT122*VLOOKUP('Données projet'!$B$13,Paramètres!$A$1:$I$89,3,0)*VLOOKUP('Données projet'!$B$13,Paramètres!$A$1:$I$89,5,0)</f>
        <v>341.00345999999962</v>
      </c>
      <c r="CV122" s="13">
        <f t="shared" si="95"/>
        <v>79.707232038800896</v>
      </c>
      <c r="CW122" s="20">
        <f t="shared" si="67"/>
        <v>732.73778863424411</v>
      </c>
      <c r="CX122" s="59">
        <f t="shared" si="68"/>
        <v>1026.0711219675775</v>
      </c>
      <c r="CY122" s="59">
        <f ca="1">AVERAGE(OFFSET($CX$3,0,0,'Données projet'!$E$13+1,1))-AVERAGE(OFFSET($H$3,0,0,'Données projet'!$E$13+1,1))</f>
        <v>309.07357540707869</v>
      </c>
      <c r="CZ122" s="59">
        <f t="shared" si="96"/>
        <v>155.9593924683299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227.99999999999986</v>
      </c>
      <c r="DP122" s="17">
        <f>DO122*VLOOKUP('Données projet'!$B$14,Paramètres!$A$1:$I$89,3,0)*VLOOKUP('Données projet'!$B$14,Paramètres!$A$1:$I$89,5,0)</f>
        <v>199.18079999999992</v>
      </c>
      <c r="DQ122" s="13">
        <f t="shared" si="97"/>
        <v>49.564089376413683</v>
      </c>
      <c r="DR122" s="20">
        <f t="shared" si="70"/>
        <v>433.23068233058694</v>
      </c>
      <c r="DS122" s="59">
        <f t="shared" si="71"/>
        <v>726.56401566392026</v>
      </c>
      <c r="DT122" s="59">
        <f ca="1">AVERAGE(OFFSET($DS$3,0,0,'Données projet'!$E$14+1,1))-AVERAGE(OFFSET($H$3,0,0,'Données projet'!$E$14+1,1))</f>
        <v>210.07838338464626</v>
      </c>
      <c r="DU122" s="59">
        <f t="shared" si="98"/>
        <v>241.76003724236273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0.90953087171914837</v>
      </c>
      <c r="EB122" s="21">
        <f>EXP(-LN(2)/25)*EB121+(1-EXP(-LN(2)/25))/(LN(2)/25)*Calculateur!DW122*Calculateur!DY122*VLOOKUP('Données projet'!$B$14,Paramètres!$A$1:$I$89,3,0)*0.475*44/12</f>
        <v>1.149714276209159</v>
      </c>
      <c r="EC122" s="21">
        <f>EXP(-LN(2)/2)*EC121+(1-EXP(-LN(2)/2))/(LN(2)/2)*DW122*DZ122*VLOOKUP('Données projet'!$B$14,Paramètres!$A$1:$I$89,3,0)*0.475*44/12</f>
        <v>6.4196129577262246E-13</v>
      </c>
      <c r="ED122" s="22">
        <f t="shared" si="72"/>
        <v>2.0592451479289497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6.2527760746888816E-13</v>
      </c>
      <c r="EK122" s="17">
        <f>EJ122*VLOOKUP('Données projet'!$B$15,Paramètres!$A$1:$I$89,3,0)*VLOOKUP('Données projet'!$B$15,Paramètres!$A$1:$I$89,5,0)</f>
        <v>3.9017322706058616E-13</v>
      </c>
      <c r="EL122" s="13">
        <f t="shared" si="99"/>
        <v>5.0025007393608908E-12</v>
      </c>
      <c r="EM122" s="20">
        <f t="shared" si="73"/>
        <v>9.3922404915174053E-12</v>
      </c>
      <c r="EN122" s="59">
        <f t="shared" si="74"/>
        <v>293.33333333334269</v>
      </c>
      <c r="EO122" s="59">
        <f ca="1">AVERAGE(OFFSET($EN$3,0,0,'Données projet'!$E$15+1,1))-AVERAGE(OFFSET($H$3,0,0,'Données projet'!$E$15+1,1))</f>
        <v>209.93608079129638</v>
      </c>
      <c r="EP122" s="59">
        <f t="shared" si="100"/>
        <v>240.15652428700969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1.193207453301304</v>
      </c>
      <c r="EW122" s="21">
        <f>EXP(-LN(2)/25)*EW121+(1-EXP(-LN(2)/25))/(LN(2)/25)*Calculateur!ER122*Calculateur!ET122*VLOOKUP('Données projet'!$B$15,Paramètres!$A$1:$I$89,3,0)*0.475*44/12</f>
        <v>1.7625604107808139</v>
      </c>
      <c r="EX122" s="21">
        <f>EXP(-LN(2)/2)*EX121+(1-EXP(-LN(2)/2))/(LN(2)/2)*ER122*EU122*VLOOKUP('Données projet'!$B$15,Paramètres!$A$1:$I$89,3,0)*0.475*44/12</f>
        <v>8.1155704722069843E-13</v>
      </c>
      <c r="EY122" s="22">
        <f t="shared" si="75"/>
        <v>2.955767864082929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5.6843418860808015E-14</v>
      </c>
      <c r="O123" s="13">
        <f>N123*VLOOKUP('Données projet'!$B$9,Paramètres!$A$1:$I$89,3,0)*VLOOKUP('Données projet'!$B$9,Paramètres!$A$1:$I$89,5,0)</f>
        <v>4.5224624045658861E-14</v>
      </c>
      <c r="P123" s="13">
        <f t="shared" si="87"/>
        <v>7.4514601661523691E-13</v>
      </c>
      <c r="Q123" s="20">
        <f t="shared" si="107"/>
        <v>1.3765621991510601E-12</v>
      </c>
      <c r="R123" s="59">
        <f t="shared" si="55"/>
        <v>293.33333333333468</v>
      </c>
      <c r="S123" s="59">
        <f ca="1">AVERAGE(OFFSET($R$3,0,0,'Données projet'!$E$9+1,1))-AVERAGE(OFFSET($H$3,0,0,'Données projet'!$E$9+1,1))</f>
        <v>199.58763537752952</v>
      </c>
      <c r="T123" s="59">
        <f t="shared" si="88"/>
        <v>242.62852778451929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</v>
      </c>
      <c r="AA123" s="21">
        <f>EXP(-LN(2)/25)*AA122+(1-EXP(-LN(2)/25))/(LN(2)/25)*Calculateur!V123*Calculateur!X123*VLOOKUP('Données projet'!$B$9,Paramètres!$A$1:$I$89,3,0)*0.475*44/12</f>
        <v>0.84802929985502684</v>
      </c>
      <c r="AB123" s="21">
        <f>EXP(-LN(2)/2)*AB122+(1-EXP(-LN(2)/2))/(LN(2)/2)*V123*Y123*VLOOKUP('Données projet'!$B$9,Paramètres!$A$1:$I$89,3,0)*0.475*44/12</f>
        <v>3.0586188567043052E-13</v>
      </c>
      <c r="AC123" s="22">
        <f t="shared" si="57"/>
        <v>0.84802929985533271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566</v>
      </c>
      <c r="AJ123" s="13">
        <f>AI123*VLOOKUP('Données projet'!$B$10,Paramètres!$A$1:$I$89,3,0)*VLOOKUP('Données projet'!$B$10,Paramètres!$A$1:$I$89,5,0)</f>
        <v>338.46800000000002</v>
      </c>
      <c r="AK123" s="13">
        <f t="shared" si="89"/>
        <v>79.183342377469998</v>
      </c>
      <c r="AL123" s="20">
        <f t="shared" si="58"/>
        <v>727.4094213074269</v>
      </c>
      <c r="AM123" s="59">
        <f t="shared" si="59"/>
        <v>1020.7427546407603</v>
      </c>
      <c r="AN123" s="59">
        <f ca="1">AVERAGE(OFFSET($AM$3,0,0,'Données projet'!$E$10+1,1))-AVERAGE(OFFSET($H$3,0,0,'Données projet'!$E$10+1,1))</f>
        <v>287.78657453117694</v>
      </c>
      <c r="AO123" s="59">
        <f t="shared" si="90"/>
        <v>153.31562485362252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0.49246886075889518</v>
      </c>
      <c r="AV123" s="21">
        <f>EXP(-LN(2)/25)*AV122+(1-EXP(-LN(2)/25))/(LN(2)/25)*Calculateur!AQ123*Calculateur!AS123*VLOOKUP('Données projet'!$B$10,Paramètres!$A$1:$I$89,3,0)*0.475*44/12</f>
        <v>0.48091083256926775</v>
      </c>
      <c r="AW123" s="21">
        <f>EXP(-LN(2)/2)*AW122+(1-EXP(-LN(2)/2))/(LN(2)/2)*AQ123*AT123*VLOOKUP('Données projet'!$B$10,Paramètres!$A$1:$I$89,3,0)*0.475*44/12</f>
        <v>3.1559547404360836E-13</v>
      </c>
      <c r="AX123" s="21">
        <f t="shared" si="60"/>
        <v>0.97337969332847851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-6.7984728957526396E-14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250.93905519128998</v>
      </c>
      <c r="BJ123" s="59">
        <f t="shared" si="92"/>
        <v>222.32879462265032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0.21552938839322766</v>
      </c>
      <c r="BQ123" s="21">
        <f>EXP(-LN(2)/25)*BQ122+(1-EXP(-LN(2)/25))/(LN(2)/25)*Calculateur!BL123*Calculateur!BN123*VLOOKUP('Données projet'!$B$11,Paramètres!$A$1:$I$89,3,0)*0.475*44/12</f>
        <v>0.95455660320055868</v>
      </c>
      <c r="BR123" s="21">
        <f>EXP(-LN(2)/2)*BR122+(1-EXP(-LN(2)/2))/(LN(2)/2)*BL123*BO123*VLOOKUP('Données projet'!$B$11,Paramètres!$A$1:$I$89,3,0)*0.475*44/12</f>
        <v>5.3642524757335435E-14</v>
      </c>
      <c r="BS123" s="22">
        <f t="shared" si="63"/>
        <v>1.1700859915938402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-2.8421709430404007E-13</v>
      </c>
      <c r="BZ123" s="13">
        <f>BY123*VLOOKUP('Données projet'!$B$12,Paramètres!$A$1:$I$89,3,0)*VLOOKUP('Données projet'!$B$12,Paramètres!$A$1:$I$89,5,0)</f>
        <v>-1.69961822393816E-13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179.32848817523677</v>
      </c>
      <c r="CE123" s="59">
        <f t="shared" si="94"/>
        <v>131.3292389103035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1.0869511143540955</v>
      </c>
      <c r="CM123" s="21">
        <f>EXP(-LN(2)/2)*CM122+(1-EXP(-LN(2)/2))/(LN(2)/2)*CG123*CJ123*VLOOKUP('Données projet'!$B$12,Paramètres!$A$1:$I$89,3,0)*0.475*44/12</f>
        <v>1.495797442102412E-13</v>
      </c>
      <c r="CN123" s="22">
        <f t="shared" si="66"/>
        <v>1.0869511143542452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384.05769230769226</v>
      </c>
      <c r="CR123" s="12">
        <f>VLOOKUP(A123,'Données projet'!$A$139:$I$159,9,0)</f>
        <v>7.1749999999999998</v>
      </c>
      <c r="CS123" s="12">
        <f t="array" ref="CS123">INDEX(CR:CR,MIN(IF(ISNUMBER(CR123:CR319),ROW(CR123:CR319),"")))</f>
        <v>7.1749999999999998</v>
      </c>
      <c r="CT123" s="12">
        <f>IF('Données projet'!$A$140&gt;35,CT122+CS123-DB122,IF(A123&lt;'Données projet'!$A$140,$CQ$205^A123,IF(A123='Données projet'!$A$140,'Données projet'!$B$140,CT122+CS123-DB122)))</f>
        <v>384.05769230769192</v>
      </c>
      <c r="CU123" s="17">
        <f>CT123*VLOOKUP('Données projet'!$B$13,Paramètres!$A$1:$I$89,3,0)*VLOOKUP('Données projet'!$B$13,Paramètres!$A$1:$I$89,5,0)</f>
        <v>347.49539999999962</v>
      </c>
      <c r="CV123" s="13">
        <f t="shared" si="95"/>
        <v>81.046572724377867</v>
      </c>
      <c r="CW123" s="20">
        <f t="shared" si="67"/>
        <v>746.3772691616241</v>
      </c>
      <c r="CX123" s="59">
        <f t="shared" si="68"/>
        <v>1039.7106024949574</v>
      </c>
      <c r="CY123" s="59">
        <f ca="1">AVERAGE(OFFSET($CX$3,0,0,'Données projet'!$E$13+1,1))-AVERAGE(OFFSET($H$3,0,0,'Données projet'!$E$13+1,1))</f>
        <v>309.07357540707869</v>
      </c>
      <c r="CZ123" s="59">
        <f t="shared" si="96"/>
        <v>155.9593924683299</v>
      </c>
      <c r="DA123" s="15">
        <f>IF(ISNA(VLOOKUP(A123,'Données projet'!$A$139:$I$159,3,0)),0,VLOOKUP(A123,'Données projet'!$A$139:$I$159,3,0))</f>
        <v>11</v>
      </c>
      <c r="DB123" s="15">
        <f>IF(ISNA(VLOOKUP(A123,'Données projet'!$A$139:$I$159,4,0)),0,VLOOKUP(A123,'Données projet'!$A$139:$I$159,4,0))</f>
        <v>44.929487179487182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227.99999999999986</v>
      </c>
      <c r="DP123" s="17">
        <f>DO123*VLOOKUP('Données projet'!$B$14,Paramètres!$A$1:$I$89,3,0)*VLOOKUP('Données projet'!$B$14,Paramètres!$A$1:$I$89,5,0)</f>
        <v>199.18079999999992</v>
      </c>
      <c r="DQ123" s="13">
        <f t="shared" si="97"/>
        <v>49.564089376413683</v>
      </c>
      <c r="DR123" s="20">
        <f t="shared" si="70"/>
        <v>433.23068233058694</v>
      </c>
      <c r="DS123" s="59">
        <f t="shared" si="71"/>
        <v>726.56401566392026</v>
      </c>
      <c r="DT123" s="59">
        <f ca="1">AVERAGE(OFFSET($DS$3,0,0,'Données projet'!$E$14+1,1))-AVERAGE(OFFSET($H$3,0,0,'Données projet'!$E$14+1,1))</f>
        <v>210.07838338464626</v>
      </c>
      <c r="DU123" s="59">
        <f t="shared" si="98"/>
        <v>241.76003724236273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0.89169552608378966</v>
      </c>
      <c r="EB123" s="21">
        <f>EXP(-LN(2)/25)*EB122+(1-EXP(-LN(2)/25))/(LN(2)/25)*Calculateur!DW123*Calculateur!DY123*VLOOKUP('Données projet'!$B$14,Paramètres!$A$1:$I$89,3,0)*0.475*44/12</f>
        <v>1.1182752788653734</v>
      </c>
      <c r="EC123" s="21">
        <f>EXP(-LN(2)/2)*EC122+(1-EXP(-LN(2)/2))/(LN(2)/2)*DW123*DZ123*VLOOKUP('Données projet'!$B$14,Paramètres!$A$1:$I$89,3,0)*0.475*44/12</f>
        <v>4.5393518550012429E-13</v>
      </c>
      <c r="ED123" s="22">
        <f t="shared" si="72"/>
        <v>2.0099708049496168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6.2527760746888816E-13</v>
      </c>
      <c r="EK123" s="17">
        <f>EJ123*VLOOKUP('Données projet'!$B$15,Paramètres!$A$1:$I$89,3,0)*VLOOKUP('Données projet'!$B$15,Paramètres!$A$1:$I$89,5,0)</f>
        <v>3.9017322706058616E-13</v>
      </c>
      <c r="EL123" s="13">
        <f t="shared" si="99"/>
        <v>5.0025007393608908E-12</v>
      </c>
      <c r="EM123" s="20">
        <f t="shared" si="73"/>
        <v>9.3922404915174053E-12</v>
      </c>
      <c r="EN123" s="59">
        <f t="shared" si="74"/>
        <v>293.33333333334269</v>
      </c>
      <c r="EO123" s="59">
        <f ca="1">AVERAGE(OFFSET($EN$3,0,0,'Données projet'!$E$15+1,1))-AVERAGE(OFFSET($H$3,0,0,'Données projet'!$E$15+1,1))</f>
        <v>209.93608079129638</v>
      </c>
      <c r="EP123" s="59">
        <f t="shared" si="100"/>
        <v>240.15652428700969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1.1698093829267491</v>
      </c>
      <c r="EW123" s="21">
        <f>EXP(-LN(2)/25)*EW122+(1-EXP(-LN(2)/25))/(LN(2)/25)*Calculateur!ER123*Calculateur!ET123*VLOOKUP('Données projet'!$B$15,Paramètres!$A$1:$I$89,3,0)*0.475*44/12</f>
        <v>1.714363103658989</v>
      </c>
      <c r="EX123" s="21">
        <f>EXP(-LN(2)/2)*EX122+(1-EXP(-LN(2)/2))/(LN(2)/2)*ER123*EU123*VLOOKUP('Données projet'!$B$15,Paramètres!$A$1:$I$89,3,0)*0.475*44/12</f>
        <v>5.7385749140948701E-13</v>
      </c>
      <c r="EY123" s="22">
        <f t="shared" si="75"/>
        <v>2.8841724865863121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5.6843418860808015E-14</v>
      </c>
      <c r="O124" s="13">
        <f>N124*VLOOKUP('Données projet'!$B$9,Paramètres!$A$1:$I$89,3,0)*VLOOKUP('Données projet'!$B$9,Paramètres!$A$1:$I$89,5,0)</f>
        <v>4.5224624045658861E-14</v>
      </c>
      <c r="P124" s="13">
        <f t="shared" si="87"/>
        <v>7.4514601661523691E-13</v>
      </c>
      <c r="Q124" s="20">
        <f t="shared" si="107"/>
        <v>1.3765621991510601E-12</v>
      </c>
      <c r="R124" s="59">
        <f t="shared" si="55"/>
        <v>293.33333333333468</v>
      </c>
      <c r="S124" s="59">
        <f ca="1">AVERAGE(OFFSET($R$3,0,0,'Données projet'!$E$9+1,1))-AVERAGE(OFFSET($H$3,0,0,'Données projet'!$E$9+1,1))</f>
        <v>199.58763537752952</v>
      </c>
      <c r="T124" s="59">
        <f t="shared" si="88"/>
        <v>242.62852778451929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</v>
      </c>
      <c r="AA124" s="21">
        <f>EXP(-LN(2)/25)*AA123+(1-EXP(-LN(2)/25))/(LN(2)/25)*Calculateur!V124*Calculateur!X124*VLOOKUP('Données projet'!$B$9,Paramètres!$A$1:$I$89,3,0)*0.475*44/12</f>
        <v>0.82483989405456848</v>
      </c>
      <c r="AB124" s="21">
        <f>EXP(-LN(2)/2)*AB123+(1-EXP(-LN(2)/2))/(LN(2)/2)*V124*Y124*VLOOKUP('Données projet'!$B$9,Paramètres!$A$1:$I$89,3,0)*0.475*44/12</f>
        <v>2.1627701346406593E-13</v>
      </c>
      <c r="AC124" s="22">
        <f t="shared" si="57"/>
        <v>0.82483989405478475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566</v>
      </c>
      <c r="AJ124" s="13">
        <f>AI124*VLOOKUP('Données projet'!$B$10,Paramètres!$A$1:$I$89,3,0)*VLOOKUP('Données projet'!$B$10,Paramètres!$A$1:$I$89,5,0)</f>
        <v>338.46800000000002</v>
      </c>
      <c r="AK124" s="13">
        <f t="shared" si="89"/>
        <v>79.183342377469998</v>
      </c>
      <c r="AL124" s="20">
        <f t="shared" si="58"/>
        <v>727.4094213074269</v>
      </c>
      <c r="AM124" s="59">
        <f t="shared" si="59"/>
        <v>1020.7427546407603</v>
      </c>
      <c r="AN124" s="59">
        <f ca="1">AVERAGE(OFFSET($AM$3,0,0,'Données projet'!$E$10+1,1))-AVERAGE(OFFSET($H$3,0,0,'Données projet'!$E$10+1,1))</f>
        <v>287.78657453117694</v>
      </c>
      <c r="AO124" s="59">
        <f t="shared" si="90"/>
        <v>153.31562485362252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0.48281184677575861</v>
      </c>
      <c r="AV124" s="21">
        <f>EXP(-LN(2)/25)*AV123+(1-EXP(-LN(2)/25))/(LN(2)/25)*Calculateur!AQ124*Calculateur!AS124*VLOOKUP('Données projet'!$B$10,Paramètres!$A$1:$I$89,3,0)*0.475*44/12</f>
        <v>0.4677603005626596</v>
      </c>
      <c r="AW124" s="21">
        <f>EXP(-LN(2)/2)*AW123+(1-EXP(-LN(2)/2))/(LN(2)/2)*AQ124*AT124*VLOOKUP('Données projet'!$B$10,Paramètres!$A$1:$I$89,3,0)*0.475*44/12</f>
        <v>2.2315969980801853E-13</v>
      </c>
      <c r="AX124" s="21">
        <f t="shared" si="60"/>
        <v>0.95057214733864137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-6.7984728957526396E-14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250.93905519128998</v>
      </c>
      <c r="BJ124" s="59">
        <f t="shared" si="92"/>
        <v>222.32879462265032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0.21130298854678278</v>
      </c>
      <c r="BQ124" s="21">
        <f>EXP(-LN(2)/25)*BQ123+(1-EXP(-LN(2)/25))/(LN(2)/25)*Calculateur!BL124*Calculateur!BN124*VLOOKUP('Données projet'!$B$11,Paramètres!$A$1:$I$89,3,0)*0.475*44/12</f>
        <v>0.92845420268808931</v>
      </c>
      <c r="BR124" s="21">
        <f>EXP(-LN(2)/2)*BR123+(1-EXP(-LN(2)/2))/(LN(2)/2)*BL124*BO124*VLOOKUP('Données projet'!$B$11,Paramètres!$A$1:$I$89,3,0)*0.475*44/12</f>
        <v>3.7930993015879145E-14</v>
      </c>
      <c r="BS124" s="22">
        <f t="shared" si="63"/>
        <v>1.13975719123491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-2.8421709430404007E-13</v>
      </c>
      <c r="BZ124" s="13">
        <f>BY124*VLOOKUP('Données projet'!$B$12,Paramètres!$A$1:$I$89,3,0)*VLOOKUP('Données projet'!$B$12,Paramètres!$A$1:$I$89,5,0)</f>
        <v>-1.69961822393816E-13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179.32848817523677</v>
      </c>
      <c r="CE124" s="59">
        <f t="shared" si="94"/>
        <v>131.3292389103035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1.057228378971808</v>
      </c>
      <c r="CM124" s="21">
        <f>EXP(-LN(2)/2)*CM123+(1-EXP(-LN(2)/2))/(LN(2)/2)*CG124*CJ124*VLOOKUP('Données projet'!$B$12,Paramètres!$A$1:$I$89,3,0)*0.475*44/12</f>
        <v>1.0576885145921077E-13</v>
      </c>
      <c r="CN124" s="22">
        <f t="shared" si="66"/>
        <v>1.0572283789719137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7.1730769230769287</v>
      </c>
      <c r="CT124" s="12">
        <f>IF('Données projet'!$A$140&gt;35,CT123+CS124-DB123,IF(A124&lt;'Données projet'!$A$140,$CQ$205^A124,IF(A124='Données projet'!$A$140,'Données projet'!$B$140,CT123+CS124-DB123)))</f>
        <v>346.30128205128165</v>
      </c>
      <c r="CU124" s="17">
        <f>CT124*VLOOKUP('Données projet'!$B$13,Paramètres!$A$1:$I$89,3,0)*VLOOKUP('Données projet'!$B$13,Paramètres!$A$1:$I$89,5,0)</f>
        <v>313.33339999999964</v>
      </c>
      <c r="CV124" s="13">
        <f t="shared" si="95"/>
        <v>73.964542836466293</v>
      </c>
      <c r="CW124" s="20">
        <f t="shared" si="67"/>
        <v>674.5439171068449</v>
      </c>
      <c r="CX124" s="59">
        <f t="shared" si="68"/>
        <v>967.87725044017816</v>
      </c>
      <c r="CY124" s="59">
        <f ca="1">AVERAGE(OFFSET($CX$3,0,0,'Données projet'!$E$13+1,1))-AVERAGE(OFFSET($H$3,0,0,'Données projet'!$E$13+1,1))</f>
        <v>309.07357540707869</v>
      </c>
      <c r="CZ124" s="59">
        <f t="shared" si="96"/>
        <v>155.9593924683299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227.99999999999986</v>
      </c>
      <c r="DP124" s="17">
        <f>DO124*VLOOKUP('Données projet'!$B$14,Paramètres!$A$1:$I$89,3,0)*VLOOKUP('Données projet'!$B$14,Paramètres!$A$1:$I$89,5,0)</f>
        <v>199.18079999999992</v>
      </c>
      <c r="DQ124" s="13">
        <f t="shared" si="97"/>
        <v>49.564089376413683</v>
      </c>
      <c r="DR124" s="20">
        <f t="shared" si="70"/>
        <v>433.23068233058694</v>
      </c>
      <c r="DS124" s="59">
        <f t="shared" si="71"/>
        <v>726.56401566392026</v>
      </c>
      <c r="DT124" s="59">
        <f ca="1">AVERAGE(OFFSET($DS$3,0,0,'Données projet'!$E$14+1,1))-AVERAGE(OFFSET($H$3,0,0,'Données projet'!$E$14+1,1))</f>
        <v>210.07838338464626</v>
      </c>
      <c r="DU124" s="59">
        <f t="shared" si="98"/>
        <v>241.76003724236273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0.87420992069785375</v>
      </c>
      <c r="EB124" s="21">
        <f>EXP(-LN(2)/25)*EB123+(1-EXP(-LN(2)/25))/(LN(2)/25)*Calculateur!DW124*Calculateur!DY124*VLOOKUP('Données projet'!$B$14,Paramètres!$A$1:$I$89,3,0)*0.475*44/12</f>
        <v>1.0876959825572587</v>
      </c>
      <c r="EC124" s="21">
        <f>EXP(-LN(2)/2)*EC123+(1-EXP(-LN(2)/2))/(LN(2)/2)*DW124*DZ124*VLOOKUP('Données projet'!$B$14,Paramètres!$A$1:$I$89,3,0)*0.475*44/12</f>
        <v>3.2098064788631128E-13</v>
      </c>
      <c r="ED124" s="22">
        <f t="shared" si="72"/>
        <v>1.9619059032554336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6.2527760746888816E-13</v>
      </c>
      <c r="EK124" s="17">
        <f>EJ124*VLOOKUP('Données projet'!$B$15,Paramètres!$A$1:$I$89,3,0)*VLOOKUP('Données projet'!$B$15,Paramètres!$A$1:$I$89,5,0)</f>
        <v>3.9017322706058616E-13</v>
      </c>
      <c r="EL124" s="13">
        <f t="shared" si="99"/>
        <v>5.0025007393608908E-12</v>
      </c>
      <c r="EM124" s="20">
        <f t="shared" si="73"/>
        <v>9.3922404915174053E-12</v>
      </c>
      <c r="EN124" s="59">
        <f t="shared" si="74"/>
        <v>293.33333333334269</v>
      </c>
      <c r="EO124" s="59">
        <f ca="1">AVERAGE(OFFSET($EN$3,0,0,'Données projet'!$E$15+1,1))-AVERAGE(OFFSET($H$3,0,0,'Données projet'!$E$15+1,1))</f>
        <v>209.93608079129638</v>
      </c>
      <c r="EP124" s="59">
        <f t="shared" si="100"/>
        <v>240.15652428700969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1.1468701344408254</v>
      </c>
      <c r="EW124" s="21">
        <f>EXP(-LN(2)/25)*EW123+(1-EXP(-LN(2)/25))/(LN(2)/25)*Calculateur!ER124*Calculateur!ET124*VLOOKUP('Données projet'!$B$15,Paramètres!$A$1:$I$89,3,0)*0.475*44/12</f>
        <v>1.6674837544349965</v>
      </c>
      <c r="EX124" s="21">
        <f>EXP(-LN(2)/2)*EX123+(1-EXP(-LN(2)/2))/(LN(2)/2)*ER124*EU124*VLOOKUP('Données projet'!$B$15,Paramètres!$A$1:$I$89,3,0)*0.475*44/12</f>
        <v>4.0577852361034921E-13</v>
      </c>
      <c r="EY124" s="22">
        <f t="shared" si="75"/>
        <v>2.8143538888762278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5.6843418860808015E-14</v>
      </c>
      <c r="O125" s="13">
        <f>N125*VLOOKUP('Données projet'!$B$9,Paramètres!$A$1:$I$89,3,0)*VLOOKUP('Données projet'!$B$9,Paramètres!$A$1:$I$89,5,0)</f>
        <v>4.5224624045658861E-14</v>
      </c>
      <c r="P125" s="13">
        <f t="shared" si="87"/>
        <v>7.4514601661523691E-13</v>
      </c>
      <c r="Q125" s="20">
        <f t="shared" si="107"/>
        <v>1.3765621991510601E-12</v>
      </c>
      <c r="R125" s="59">
        <f t="shared" si="55"/>
        <v>293.33333333333468</v>
      </c>
      <c r="S125" s="59">
        <f ca="1">AVERAGE(OFFSET($R$3,0,0,'Données projet'!$E$9+1,1))-AVERAGE(OFFSET($H$3,0,0,'Données projet'!$E$9+1,1))</f>
        <v>199.58763537752952</v>
      </c>
      <c r="T125" s="59">
        <f t="shared" si="88"/>
        <v>242.62852778451929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</v>
      </c>
      <c r="AA125" s="21">
        <f>EXP(-LN(2)/25)*AA124+(1-EXP(-LN(2)/25))/(LN(2)/25)*Calculateur!V125*Calculateur!X125*VLOOKUP('Données projet'!$B$9,Paramètres!$A$1:$I$89,3,0)*0.475*44/12</f>
        <v>0.8022846037752015</v>
      </c>
      <c r="AB125" s="21">
        <f>EXP(-LN(2)/2)*AB124+(1-EXP(-LN(2)/2))/(LN(2)/2)*V125*Y125*VLOOKUP('Données projet'!$B$9,Paramètres!$A$1:$I$89,3,0)*0.475*44/12</f>
        <v>1.5293094283521526E-13</v>
      </c>
      <c r="AC125" s="22">
        <f t="shared" si="57"/>
        <v>0.80228460377535438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566</v>
      </c>
      <c r="AJ125" s="13">
        <f>AI125*VLOOKUP('Données projet'!$B$10,Paramètres!$A$1:$I$89,3,0)*VLOOKUP('Données projet'!$B$10,Paramètres!$A$1:$I$89,5,0)</f>
        <v>338.46800000000002</v>
      </c>
      <c r="AK125" s="13">
        <f t="shared" si="89"/>
        <v>79.183342377469998</v>
      </c>
      <c r="AL125" s="20">
        <f t="shared" si="58"/>
        <v>727.4094213074269</v>
      </c>
      <c r="AM125" s="59">
        <f t="shared" si="59"/>
        <v>1020.7427546407603</v>
      </c>
      <c r="AN125" s="59">
        <f ca="1">AVERAGE(OFFSET($AM$3,0,0,'Données projet'!$E$10+1,1))-AVERAGE(OFFSET($H$3,0,0,'Données projet'!$E$10+1,1))</f>
        <v>287.78657453117694</v>
      </c>
      <c r="AO125" s="59">
        <f t="shared" si="90"/>
        <v>153.31562485362252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0.47334420094663443</v>
      </c>
      <c r="AV125" s="21">
        <f>EXP(-LN(2)/25)*AV124+(1-EXP(-LN(2)/25))/(LN(2)/25)*Calculateur!AQ125*Calculateur!AS125*VLOOKUP('Données projet'!$B$10,Paramètres!$A$1:$I$89,3,0)*0.475*44/12</f>
        <v>0.45496937054532854</v>
      </c>
      <c r="AW125" s="21">
        <f>EXP(-LN(2)/2)*AW124+(1-EXP(-LN(2)/2))/(LN(2)/2)*AQ125*AT125*VLOOKUP('Données projet'!$B$10,Paramètres!$A$1:$I$89,3,0)*0.475*44/12</f>
        <v>1.5779773702180421E-13</v>
      </c>
      <c r="AX125" s="21">
        <f t="shared" si="60"/>
        <v>0.92831357149212079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-6.7984728957526396E-14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250.93905519128998</v>
      </c>
      <c r="BJ125" s="59">
        <f t="shared" si="92"/>
        <v>222.32879462265032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0.20715946582347733</v>
      </c>
      <c r="BQ125" s="21">
        <f>EXP(-LN(2)/25)*BQ124+(1-EXP(-LN(2)/25))/(LN(2)/25)*Calculateur!BL125*Calculateur!BN125*VLOOKUP('Données projet'!$B$11,Paramètres!$A$1:$I$89,3,0)*0.475*44/12</f>
        <v>0.90306557369029905</v>
      </c>
      <c r="BR125" s="21">
        <f>EXP(-LN(2)/2)*BR124+(1-EXP(-LN(2)/2))/(LN(2)/2)*BL125*BO125*VLOOKUP('Données projet'!$B$11,Paramètres!$A$1:$I$89,3,0)*0.475*44/12</f>
        <v>2.6821262378667718E-14</v>
      </c>
      <c r="BS125" s="22">
        <f t="shared" si="63"/>
        <v>1.1102250395138034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-2.8421709430404007E-13</v>
      </c>
      <c r="BZ125" s="13">
        <f>BY125*VLOOKUP('Données projet'!$B$12,Paramètres!$A$1:$I$89,3,0)*VLOOKUP('Données projet'!$B$12,Paramètres!$A$1:$I$89,5,0)</f>
        <v>-1.69961822393816E-13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179.32848817523677</v>
      </c>
      <c r="CE125" s="59">
        <f t="shared" si="94"/>
        <v>131.3292389103035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1.0283184133515997</v>
      </c>
      <c r="CM125" s="21">
        <f>EXP(-LN(2)/2)*CM124+(1-EXP(-LN(2)/2))/(LN(2)/2)*CG125*CJ125*VLOOKUP('Données projet'!$B$12,Paramètres!$A$1:$I$89,3,0)*0.475*44/12</f>
        <v>7.47898721051206E-14</v>
      </c>
      <c r="CN125" s="22">
        <f t="shared" si="66"/>
        <v>1.0283184133516745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7.1730769230769287</v>
      </c>
      <c r="CT125" s="12">
        <f>IF('Données projet'!$A$140&gt;35,CT124+CS125-DB124,IF(A125&lt;'Données projet'!$A$140,$CQ$205^A125,IF(A125='Données projet'!$A$140,'Données projet'!$B$140,CT124+CS125-DB124)))</f>
        <v>353.47435897435855</v>
      </c>
      <c r="CU125" s="17">
        <f>CT125*VLOOKUP('Données projet'!$B$13,Paramètres!$A$1:$I$89,3,0)*VLOOKUP('Données projet'!$B$13,Paramètres!$A$1:$I$89,5,0)</f>
        <v>319.8235999999996</v>
      </c>
      <c r="CV125" s="13">
        <f t="shared" si="95"/>
        <v>75.316649034447607</v>
      </c>
      <c r="CW125" s="20">
        <f t="shared" si="67"/>
        <v>688.20260040166215</v>
      </c>
      <c r="CX125" s="59">
        <f t="shared" si="68"/>
        <v>981.53593373499552</v>
      </c>
      <c r="CY125" s="59">
        <f ca="1">AVERAGE(OFFSET($CX$3,0,0,'Données projet'!$E$13+1,1))-AVERAGE(OFFSET($H$3,0,0,'Données projet'!$E$13+1,1))</f>
        <v>309.07357540707869</v>
      </c>
      <c r="CZ125" s="59">
        <f t="shared" si="96"/>
        <v>155.9593924683299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227.99999999999986</v>
      </c>
      <c r="DP125" s="17">
        <f>DO125*VLOOKUP('Données projet'!$B$14,Paramètres!$A$1:$I$89,3,0)*VLOOKUP('Données projet'!$B$14,Paramètres!$A$1:$I$89,5,0)</f>
        <v>199.18079999999992</v>
      </c>
      <c r="DQ125" s="13">
        <f t="shared" si="97"/>
        <v>49.564089376413683</v>
      </c>
      <c r="DR125" s="20">
        <f t="shared" si="70"/>
        <v>433.23068233058694</v>
      </c>
      <c r="DS125" s="59">
        <f t="shared" si="71"/>
        <v>726.56401566392026</v>
      </c>
      <c r="DT125" s="59">
        <f ca="1">AVERAGE(OFFSET($DS$3,0,0,'Données projet'!$E$14+1,1))-AVERAGE(OFFSET($H$3,0,0,'Données projet'!$E$14+1,1))</f>
        <v>210.07838338464626</v>
      </c>
      <c r="DU125" s="59">
        <f t="shared" si="98"/>
        <v>241.76003724236273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0.85706719736836978</v>
      </c>
      <c r="EB125" s="21">
        <f>EXP(-LN(2)/25)*EB124+(1-EXP(-LN(2)/25))/(LN(2)/25)*Calculateur!DW125*Calculateur!DY125*VLOOKUP('Données projet'!$B$14,Paramètres!$A$1:$I$89,3,0)*0.475*44/12</f>
        <v>1.0579528787147847</v>
      </c>
      <c r="EC125" s="21">
        <f>EXP(-LN(2)/2)*EC124+(1-EXP(-LN(2)/2))/(LN(2)/2)*DW125*DZ125*VLOOKUP('Données projet'!$B$14,Paramètres!$A$1:$I$89,3,0)*0.475*44/12</f>
        <v>2.269675927500622E-13</v>
      </c>
      <c r="ED125" s="22">
        <f t="shared" si="72"/>
        <v>1.9150200760833815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6.2527760746888816E-13</v>
      </c>
      <c r="EK125" s="17">
        <f>EJ125*VLOOKUP('Données projet'!$B$15,Paramètres!$A$1:$I$89,3,0)*VLOOKUP('Données projet'!$B$15,Paramètres!$A$1:$I$89,5,0)</f>
        <v>3.9017322706058616E-13</v>
      </c>
      <c r="EL125" s="13">
        <f t="shared" si="99"/>
        <v>5.0025007393608908E-12</v>
      </c>
      <c r="EM125" s="20">
        <f t="shared" si="73"/>
        <v>9.3922404915174053E-12</v>
      </c>
      <c r="EN125" s="59">
        <f t="shared" si="74"/>
        <v>293.33333333334269</v>
      </c>
      <c r="EO125" s="59">
        <f ca="1">AVERAGE(OFFSET($EN$3,0,0,'Données projet'!$E$15+1,1))-AVERAGE(OFFSET($H$3,0,0,'Données projet'!$E$15+1,1))</f>
        <v>209.93608079129638</v>
      </c>
      <c r="EP125" s="59">
        <f t="shared" si="100"/>
        <v>240.15652428700969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1.1243807106261507</v>
      </c>
      <c r="EW125" s="21">
        <f>EXP(-LN(2)/25)*EW124+(1-EXP(-LN(2)/25))/(LN(2)/25)*Calculateur!ER125*Calculateur!ET125*VLOOKUP('Données projet'!$B$15,Paramètres!$A$1:$I$89,3,0)*0.475*44/12</f>
        <v>1.6218863234808121</v>
      </c>
      <c r="EX125" s="21">
        <f>EXP(-LN(2)/2)*EX124+(1-EXP(-LN(2)/2))/(LN(2)/2)*ER125*EU125*VLOOKUP('Données projet'!$B$15,Paramètres!$A$1:$I$89,3,0)*0.475*44/12</f>
        <v>2.8692874570474351E-13</v>
      </c>
      <c r="EY125" s="22">
        <f t="shared" si="75"/>
        <v>2.7462670341072499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5.6843418860808015E-14</v>
      </c>
      <c r="O126" s="13">
        <f>N126*VLOOKUP('Données projet'!$B$9,Paramètres!$A$1:$I$89,3,0)*VLOOKUP('Données projet'!$B$9,Paramètres!$A$1:$I$89,5,0)</f>
        <v>4.5224624045658861E-14</v>
      </c>
      <c r="P126" s="13">
        <f t="shared" si="87"/>
        <v>7.4514601661523691E-13</v>
      </c>
      <c r="Q126" s="20">
        <f t="shared" si="107"/>
        <v>1.3765621991510601E-12</v>
      </c>
      <c r="R126" s="59">
        <f t="shared" si="55"/>
        <v>293.33333333333468</v>
      </c>
      <c r="S126" s="59">
        <f ca="1">AVERAGE(OFFSET($R$3,0,0,'Données projet'!$E$9+1,1))-AVERAGE(OFFSET($H$3,0,0,'Données projet'!$E$9+1,1))</f>
        <v>199.58763537752952</v>
      </c>
      <c r="T126" s="59">
        <f t="shared" si="88"/>
        <v>242.62852778451929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</v>
      </c>
      <c r="AA126" s="21">
        <f>EXP(-LN(2)/25)*AA125+(1-EXP(-LN(2)/25))/(LN(2)/25)*Calculateur!V126*Calculateur!X126*VLOOKUP('Données projet'!$B$9,Paramètres!$A$1:$I$89,3,0)*0.475*44/12</f>
        <v>0.78034608909465497</v>
      </c>
      <c r="AB126" s="21">
        <f>EXP(-LN(2)/2)*AB125+(1-EXP(-LN(2)/2))/(LN(2)/2)*V126*Y126*VLOOKUP('Données projet'!$B$9,Paramètres!$A$1:$I$89,3,0)*0.475*44/12</f>
        <v>1.0813850673203297E-13</v>
      </c>
      <c r="AC126" s="22">
        <f t="shared" si="57"/>
        <v>0.78034608909476311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566</v>
      </c>
      <c r="AJ126" s="13">
        <f>AI126*VLOOKUP('Données projet'!$B$10,Paramètres!$A$1:$I$89,3,0)*VLOOKUP('Données projet'!$B$10,Paramètres!$A$1:$I$89,5,0)</f>
        <v>338.46800000000002</v>
      </c>
      <c r="AK126" s="13">
        <f t="shared" si="89"/>
        <v>79.183342377469998</v>
      </c>
      <c r="AL126" s="20">
        <f t="shared" si="58"/>
        <v>727.4094213074269</v>
      </c>
      <c r="AM126" s="59">
        <f t="shared" si="59"/>
        <v>1020.7427546407603</v>
      </c>
      <c r="AN126" s="59">
        <f ca="1">AVERAGE(OFFSET($AM$3,0,0,'Données projet'!$E$10+1,1))-AVERAGE(OFFSET($H$3,0,0,'Données projet'!$E$10+1,1))</f>
        <v>287.78657453117694</v>
      </c>
      <c r="AO126" s="59">
        <f t="shared" si="90"/>
        <v>153.31562485362252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0.46406220987752561</v>
      </c>
      <c r="AV126" s="21">
        <f>EXP(-LN(2)/25)*AV125+(1-EXP(-LN(2)/25))/(LN(2)/25)*Calculateur!AQ126*Calculateur!AS126*VLOOKUP('Données projet'!$B$10,Paramètres!$A$1:$I$89,3,0)*0.475*44/12</f>
        <v>0.44252820918196717</v>
      </c>
      <c r="AW126" s="21">
        <f>EXP(-LN(2)/2)*AW125+(1-EXP(-LN(2)/2))/(LN(2)/2)*AQ126*AT126*VLOOKUP('Données projet'!$B$10,Paramètres!$A$1:$I$89,3,0)*0.475*44/12</f>
        <v>1.1157984990400929E-13</v>
      </c>
      <c r="AX126" s="21">
        <f t="shared" si="60"/>
        <v>0.90659041905960436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-6.7984728957526396E-14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250.93905519128998</v>
      </c>
      <c r="BJ126" s="59">
        <f t="shared" si="92"/>
        <v>222.32879462265032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0.20309719505347659</v>
      </c>
      <c r="BQ126" s="21">
        <f>EXP(-LN(2)/25)*BQ125+(1-EXP(-LN(2)/25))/(LN(2)/25)*Calculateur!BL126*Calculateur!BN126*VLOOKUP('Données projet'!$B$11,Paramètres!$A$1:$I$89,3,0)*0.475*44/12</f>
        <v>0.87837119808758324</v>
      </c>
      <c r="BR126" s="21">
        <f>EXP(-LN(2)/2)*BR125+(1-EXP(-LN(2)/2))/(LN(2)/2)*BL126*BO126*VLOOKUP('Données projet'!$B$11,Paramètres!$A$1:$I$89,3,0)*0.475*44/12</f>
        <v>1.8965496507939573E-14</v>
      </c>
      <c r="BS126" s="22">
        <f t="shared" si="63"/>
        <v>1.0814683931410787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-2.8421709430404007E-13</v>
      </c>
      <c r="BZ126" s="13">
        <f>BY126*VLOOKUP('Données projet'!$B$12,Paramètres!$A$1:$I$89,3,0)*VLOOKUP('Données projet'!$B$12,Paramètres!$A$1:$I$89,5,0)</f>
        <v>-1.69961822393816E-13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179.32848817523677</v>
      </c>
      <c r="CE126" s="59">
        <f t="shared" si="94"/>
        <v>131.3292389103035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1.000198992261585</v>
      </c>
      <c r="CM126" s="21">
        <f>EXP(-LN(2)/2)*CM125+(1-EXP(-LN(2)/2))/(LN(2)/2)*CG126*CJ126*VLOOKUP('Données projet'!$B$12,Paramètres!$A$1:$I$89,3,0)*0.475*44/12</f>
        <v>5.2884425729605387E-14</v>
      </c>
      <c r="CN126" s="22">
        <f t="shared" si="66"/>
        <v>1.0001989922616379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7.1730769230769287</v>
      </c>
      <c r="CT126" s="12">
        <f>IF('Données projet'!$A$140&gt;35,CT125+CS126-DB125,IF(A126&lt;'Données projet'!$A$140,$CQ$205^A126,IF(A126='Données projet'!$A$140,'Données projet'!$B$140,CT125+CS126-DB125)))</f>
        <v>360.64743589743546</v>
      </c>
      <c r="CU126" s="17">
        <f>CT126*VLOOKUP('Données projet'!$B$13,Paramètres!$A$1:$I$89,3,0)*VLOOKUP('Données projet'!$B$13,Paramètres!$A$1:$I$89,5,0)</f>
        <v>326.31379999999962</v>
      </c>
      <c r="CV126" s="13">
        <f t="shared" si="95"/>
        <v>76.665564943323318</v>
      </c>
      <c r="CW126" s="20">
        <f t="shared" si="67"/>
        <v>701.85572727628733</v>
      </c>
      <c r="CX126" s="59">
        <f t="shared" si="68"/>
        <v>995.18906060962058</v>
      </c>
      <c r="CY126" s="59">
        <f ca="1">AVERAGE(OFFSET($CX$3,0,0,'Données projet'!$E$13+1,1))-AVERAGE(OFFSET($H$3,0,0,'Données projet'!$E$13+1,1))</f>
        <v>309.07357540707869</v>
      </c>
      <c r="CZ126" s="59">
        <f t="shared" si="96"/>
        <v>155.9593924683299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227.99999999999986</v>
      </c>
      <c r="DP126" s="17">
        <f>DO126*VLOOKUP('Données projet'!$B$14,Paramètres!$A$1:$I$89,3,0)*VLOOKUP('Données projet'!$B$14,Paramètres!$A$1:$I$89,5,0)</f>
        <v>199.18079999999992</v>
      </c>
      <c r="DQ126" s="13">
        <f t="shared" si="97"/>
        <v>49.564089376413683</v>
      </c>
      <c r="DR126" s="20">
        <f t="shared" si="70"/>
        <v>433.23068233058694</v>
      </c>
      <c r="DS126" s="59">
        <f t="shared" si="71"/>
        <v>726.56401566392026</v>
      </c>
      <c r="DT126" s="59">
        <f ca="1">AVERAGE(OFFSET($DS$3,0,0,'Données projet'!$E$14+1,1))-AVERAGE(OFFSET($H$3,0,0,'Données projet'!$E$14+1,1))</f>
        <v>210.07838338464626</v>
      </c>
      <c r="DU126" s="59">
        <f t="shared" si="98"/>
        <v>241.76003724236273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0.84026063238734827</v>
      </c>
      <c r="EB126" s="21">
        <f>EXP(-LN(2)/25)*EB125+(1-EXP(-LN(2)/25))/(LN(2)/25)*Calculateur!DW126*Calculateur!DY126*VLOOKUP('Données projet'!$B$14,Paramètres!$A$1:$I$89,3,0)*0.475*44/12</f>
        <v>1.029023101611005</v>
      </c>
      <c r="EC126" s="21">
        <f>EXP(-LN(2)/2)*EC125+(1-EXP(-LN(2)/2))/(LN(2)/2)*DW126*DZ126*VLOOKUP('Données projet'!$B$14,Paramètres!$A$1:$I$89,3,0)*0.475*44/12</f>
        <v>1.6049032394315567E-13</v>
      </c>
      <c r="ED126" s="22">
        <f t="shared" si="72"/>
        <v>1.8692837339985138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6.2527760746888816E-13</v>
      </c>
      <c r="EK126" s="17">
        <f>EJ126*VLOOKUP('Données projet'!$B$15,Paramètres!$A$1:$I$89,3,0)*VLOOKUP('Données projet'!$B$15,Paramètres!$A$1:$I$89,5,0)</f>
        <v>3.9017322706058616E-13</v>
      </c>
      <c r="EL126" s="13">
        <f t="shared" si="99"/>
        <v>5.0025007393608908E-12</v>
      </c>
      <c r="EM126" s="20">
        <f t="shared" si="73"/>
        <v>9.3922404915174053E-12</v>
      </c>
      <c r="EN126" s="59">
        <f t="shared" si="74"/>
        <v>293.33333333334269</v>
      </c>
      <c r="EO126" s="59">
        <f ca="1">AVERAGE(OFFSET($EN$3,0,0,'Données projet'!$E$15+1,1))-AVERAGE(OFFSET($H$3,0,0,'Données projet'!$E$15+1,1))</f>
        <v>209.93608079129638</v>
      </c>
      <c r="EP126" s="59">
        <f t="shared" si="100"/>
        <v>240.15652428700969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1.1023322906952879</v>
      </c>
      <c r="EW126" s="21">
        <f>EXP(-LN(2)/25)*EW125+(1-EXP(-LN(2)/25))/(LN(2)/25)*Calculateur!ER126*Calculateur!ET126*VLOOKUP('Données projet'!$B$15,Paramètres!$A$1:$I$89,3,0)*0.475*44/12</f>
        <v>1.5775357566739343</v>
      </c>
      <c r="EX126" s="21">
        <f>EXP(-LN(2)/2)*EX125+(1-EXP(-LN(2)/2))/(LN(2)/2)*ER126*EU126*VLOOKUP('Données projet'!$B$15,Paramètres!$A$1:$I$89,3,0)*0.475*44/12</f>
        <v>2.0288926180517461E-13</v>
      </c>
      <c r="EY126" s="22">
        <f t="shared" si="75"/>
        <v>2.6798680473694252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5.6843418860808015E-14</v>
      </c>
      <c r="O127" s="13">
        <f>N127*VLOOKUP('Données projet'!$B$9,Paramètres!$A$1:$I$89,3,0)*VLOOKUP('Données projet'!$B$9,Paramètres!$A$1:$I$89,5,0)</f>
        <v>4.5224624045658861E-14</v>
      </c>
      <c r="P127" s="13">
        <f t="shared" si="87"/>
        <v>7.4514601661523691E-13</v>
      </c>
      <c r="Q127" s="20">
        <f t="shared" si="107"/>
        <v>1.3765621991510601E-12</v>
      </c>
      <c r="R127" s="59">
        <f t="shared" si="55"/>
        <v>293.33333333333468</v>
      </c>
      <c r="S127" s="59">
        <f ca="1">AVERAGE(OFFSET($R$3,0,0,'Données projet'!$E$9+1,1))-AVERAGE(OFFSET($H$3,0,0,'Données projet'!$E$9+1,1))</f>
        <v>199.58763537752952</v>
      </c>
      <c r="T127" s="59">
        <f t="shared" si="88"/>
        <v>242.62852778451929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</v>
      </c>
      <c r="AA127" s="21">
        <f>EXP(-LN(2)/25)*AA126+(1-EXP(-LN(2)/25))/(LN(2)/25)*Calculateur!V127*Calculateur!X127*VLOOKUP('Données projet'!$B$9,Paramètres!$A$1:$I$89,3,0)*0.475*44/12</f>
        <v>0.75900748425174436</v>
      </c>
      <c r="AB127" s="21">
        <f>EXP(-LN(2)/2)*AB126+(1-EXP(-LN(2)/2))/(LN(2)/2)*V127*Y127*VLOOKUP('Données projet'!$B$9,Paramètres!$A$1:$I$89,3,0)*0.475*44/12</f>
        <v>7.646547141760763E-14</v>
      </c>
      <c r="AC127" s="22">
        <f t="shared" si="57"/>
        <v>0.75900748425182085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566</v>
      </c>
      <c r="AJ127" s="13">
        <f>AI127*VLOOKUP('Données projet'!$B$10,Paramètres!$A$1:$I$89,3,0)*VLOOKUP('Données projet'!$B$10,Paramètres!$A$1:$I$89,5,0)</f>
        <v>338.46800000000002</v>
      </c>
      <c r="AK127" s="13">
        <f t="shared" si="89"/>
        <v>79.183342377469998</v>
      </c>
      <c r="AL127" s="20">
        <f t="shared" si="58"/>
        <v>727.4094213074269</v>
      </c>
      <c r="AM127" s="59">
        <f t="shared" si="59"/>
        <v>1020.7427546407603</v>
      </c>
      <c r="AN127" s="59">
        <f ca="1">AVERAGE(OFFSET($AM$3,0,0,'Données projet'!$E$10+1,1))-AVERAGE(OFFSET($H$3,0,0,'Données projet'!$E$10+1,1))</f>
        <v>287.78657453117694</v>
      </c>
      <c r="AO127" s="59">
        <f t="shared" si="90"/>
        <v>153.31562485362252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0.45496223299182648</v>
      </c>
      <c r="AV127" s="21">
        <f>EXP(-LN(2)/25)*AV126+(1-EXP(-LN(2)/25))/(LN(2)/25)*Calculateur!AQ127*Calculateur!AS127*VLOOKUP('Données projet'!$B$10,Paramètres!$A$1:$I$89,3,0)*0.475*44/12</f>
        <v>0.43042725203033916</v>
      </c>
      <c r="AW127" s="21">
        <f>EXP(-LN(2)/2)*AW126+(1-EXP(-LN(2)/2))/(LN(2)/2)*AQ127*AT127*VLOOKUP('Données projet'!$B$10,Paramètres!$A$1:$I$89,3,0)*0.475*44/12</f>
        <v>7.8898868510902116E-14</v>
      </c>
      <c r="AX127" s="21">
        <f t="shared" si="60"/>
        <v>0.88538948502224457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-6.7984728957526396E-14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250.93905519128998</v>
      </c>
      <c r="BJ127" s="59">
        <f t="shared" si="92"/>
        <v>222.32879462265032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0.19911458293553505</v>
      </c>
      <c r="BQ127" s="21">
        <f>EXP(-LN(2)/25)*BQ126+(1-EXP(-LN(2)/25))/(LN(2)/25)*Calculateur!BL127*Calculateur!BN127*VLOOKUP('Données projet'!$B$11,Paramètres!$A$1:$I$89,3,0)*0.475*44/12</f>
        <v>0.85435209148434454</v>
      </c>
      <c r="BR127" s="21">
        <f>EXP(-LN(2)/2)*BR126+(1-EXP(-LN(2)/2))/(LN(2)/2)*BL127*BO127*VLOOKUP('Données projet'!$B$11,Paramètres!$A$1:$I$89,3,0)*0.475*44/12</f>
        <v>1.3410631189333859E-14</v>
      </c>
      <c r="BS127" s="22">
        <f t="shared" si="63"/>
        <v>1.0534666744198928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-2.8421709430404007E-13</v>
      </c>
      <c r="BZ127" s="13">
        <f>BY127*VLOOKUP('Données projet'!$B$12,Paramètres!$A$1:$I$89,3,0)*VLOOKUP('Données projet'!$B$12,Paramètres!$A$1:$I$89,5,0)</f>
        <v>-1.69961822393816E-13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179.32848817523677</v>
      </c>
      <c r="CE127" s="59">
        <f t="shared" si="94"/>
        <v>131.3292389103035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0.97284849822001296</v>
      </c>
      <c r="CM127" s="21">
        <f>EXP(-LN(2)/2)*CM126+(1-EXP(-LN(2)/2))/(LN(2)/2)*CG127*CJ127*VLOOKUP('Données projet'!$B$12,Paramètres!$A$1:$I$89,3,0)*0.475*44/12</f>
        <v>3.73949360525603E-14</v>
      </c>
      <c r="CN127" s="22">
        <f t="shared" si="66"/>
        <v>0.97284849822005037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7.1730769230769287</v>
      </c>
      <c r="CT127" s="12">
        <f>IF('Données projet'!$A$140&gt;35,CT126+CS127-DB126,IF(A127&lt;'Données projet'!$A$140,$CQ$205^A127,IF(A127='Données projet'!$A$140,'Données projet'!$B$140,CT126+CS127-DB126)))</f>
        <v>367.82051282051236</v>
      </c>
      <c r="CU127" s="17">
        <f>CT127*VLOOKUP('Données projet'!$B$13,Paramètres!$A$1:$I$89,3,0)*VLOOKUP('Données projet'!$B$13,Paramètres!$A$1:$I$89,5,0)</f>
        <v>332.80399999999958</v>
      </c>
      <c r="CV127" s="13">
        <f t="shared" si="95"/>
        <v>78.011361329585995</v>
      </c>
      <c r="CW127" s="20">
        <f t="shared" si="67"/>
        <v>715.50342098236149</v>
      </c>
      <c r="CX127" s="59">
        <f t="shared" si="68"/>
        <v>1008.8367543156949</v>
      </c>
      <c r="CY127" s="59">
        <f ca="1">AVERAGE(OFFSET($CX$3,0,0,'Données projet'!$E$13+1,1))-AVERAGE(OFFSET($H$3,0,0,'Données projet'!$E$13+1,1))</f>
        <v>309.07357540707869</v>
      </c>
      <c r="CZ127" s="59">
        <f t="shared" si="96"/>
        <v>155.9593924683299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227.99999999999986</v>
      </c>
      <c r="DP127" s="17">
        <f>DO127*VLOOKUP('Données projet'!$B$14,Paramètres!$A$1:$I$89,3,0)*VLOOKUP('Données projet'!$B$14,Paramètres!$A$1:$I$89,5,0)</f>
        <v>199.18079999999992</v>
      </c>
      <c r="DQ127" s="13">
        <f t="shared" si="97"/>
        <v>49.564089376413683</v>
      </c>
      <c r="DR127" s="20">
        <f t="shared" si="70"/>
        <v>433.23068233058694</v>
      </c>
      <c r="DS127" s="59">
        <f t="shared" si="71"/>
        <v>726.56401566392026</v>
      </c>
      <c r="DT127" s="59">
        <f ca="1">AVERAGE(OFFSET($DS$3,0,0,'Données projet'!$E$14+1,1))-AVERAGE(OFFSET($H$3,0,0,'Données projet'!$E$14+1,1))</f>
        <v>210.07838338464626</v>
      </c>
      <c r="DU127" s="59">
        <f t="shared" si="98"/>
        <v>241.76003724236273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0.82378363389461218</v>
      </c>
      <c r="EB127" s="21">
        <f>EXP(-LN(2)/25)*EB126+(1-EXP(-LN(2)/25))/(LN(2)/25)*Calculateur!DW127*Calculateur!DY127*VLOOKUP('Données projet'!$B$14,Paramètres!$A$1:$I$89,3,0)*0.475*44/12</f>
        <v>1.0008844107834789</v>
      </c>
      <c r="EC127" s="21">
        <f>EXP(-LN(2)/2)*EC126+(1-EXP(-LN(2)/2))/(LN(2)/2)*DW127*DZ127*VLOOKUP('Données projet'!$B$14,Paramètres!$A$1:$I$89,3,0)*0.475*44/12</f>
        <v>1.1348379637503111E-13</v>
      </c>
      <c r="ED127" s="22">
        <f t="shared" si="72"/>
        <v>1.8246680446782044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6.2527760746888816E-13</v>
      </c>
      <c r="EK127" s="17">
        <f>EJ127*VLOOKUP('Données projet'!$B$15,Paramètres!$A$1:$I$89,3,0)*VLOOKUP('Données projet'!$B$15,Paramètres!$A$1:$I$89,5,0)</f>
        <v>3.9017322706058616E-13</v>
      </c>
      <c r="EL127" s="13">
        <f t="shared" si="99"/>
        <v>5.0025007393608908E-12</v>
      </c>
      <c r="EM127" s="20">
        <f t="shared" si="73"/>
        <v>9.3922404915174053E-12</v>
      </c>
      <c r="EN127" s="59">
        <f t="shared" si="74"/>
        <v>293.33333333334269</v>
      </c>
      <c r="EO127" s="59">
        <f ca="1">AVERAGE(OFFSET($EN$3,0,0,'Données projet'!$E$15+1,1))-AVERAGE(OFFSET($H$3,0,0,'Données projet'!$E$15+1,1))</f>
        <v>209.93608079129638</v>
      </c>
      <c r="EP127" s="59">
        <f t="shared" si="100"/>
        <v>240.15652428700969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1.0807162268310611</v>
      </c>
      <c r="EW127" s="21">
        <f>EXP(-LN(2)/25)*EW126+(1-EXP(-LN(2)/25))/(LN(2)/25)*Calculateur!ER127*Calculateur!ET127*VLOOKUP('Données projet'!$B$15,Paramètres!$A$1:$I$89,3,0)*0.475*44/12</f>
        <v>1.5343979584486855</v>
      </c>
      <c r="EX127" s="21">
        <f>EXP(-LN(2)/2)*EX126+(1-EXP(-LN(2)/2))/(LN(2)/2)*ER127*EU127*VLOOKUP('Données projet'!$B$15,Paramètres!$A$1:$I$89,3,0)*0.475*44/12</f>
        <v>1.4346437285237175E-13</v>
      </c>
      <c r="EY127" s="22">
        <f t="shared" si="75"/>
        <v>2.6151141852798898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5.6843418860808015E-14</v>
      </c>
      <c r="O128" s="13">
        <f>N128*VLOOKUP('Données projet'!$B$9,Paramètres!$A$1:$I$89,3,0)*VLOOKUP('Données projet'!$B$9,Paramètres!$A$1:$I$89,5,0)</f>
        <v>4.5224624045658861E-14</v>
      </c>
      <c r="P128" s="13">
        <f t="shared" si="87"/>
        <v>7.4514601661523691E-13</v>
      </c>
      <c r="Q128" s="20">
        <f t="shared" si="107"/>
        <v>1.3765621991510601E-12</v>
      </c>
      <c r="R128" s="59">
        <f t="shared" si="55"/>
        <v>293.33333333333468</v>
      </c>
      <c r="S128" s="59">
        <f ca="1">AVERAGE(OFFSET($R$3,0,0,'Données projet'!$E$9+1,1))-AVERAGE(OFFSET($H$3,0,0,'Données projet'!$E$9+1,1))</f>
        <v>199.58763537752952</v>
      </c>
      <c r="T128" s="59">
        <f t="shared" si="88"/>
        <v>242.62852778451929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</v>
      </c>
      <c r="AA128" s="21">
        <f>EXP(-LN(2)/25)*AA127+(1-EXP(-LN(2)/25))/(LN(2)/25)*Calculateur!V128*Calculateur!X128*VLOOKUP('Données projet'!$B$9,Paramètres!$A$1:$I$89,3,0)*0.475*44/12</f>
        <v>0.73825238468041154</v>
      </c>
      <c r="AB128" s="21">
        <f>EXP(-LN(2)/2)*AB127+(1-EXP(-LN(2)/2))/(LN(2)/2)*V128*Y128*VLOOKUP('Données projet'!$B$9,Paramètres!$A$1:$I$89,3,0)*0.475*44/12</f>
        <v>5.4069253366016483E-14</v>
      </c>
      <c r="AC128" s="22">
        <f t="shared" si="57"/>
        <v>0.73825238468046561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566</v>
      </c>
      <c r="AJ128" s="13">
        <f>AI128*VLOOKUP('Données projet'!$B$10,Paramètres!$A$1:$I$89,3,0)*VLOOKUP('Données projet'!$B$10,Paramètres!$A$1:$I$89,5,0)</f>
        <v>338.46800000000002</v>
      </c>
      <c r="AK128" s="13">
        <f t="shared" si="89"/>
        <v>79.183342377469998</v>
      </c>
      <c r="AL128" s="20">
        <f t="shared" si="58"/>
        <v>727.4094213074269</v>
      </c>
      <c r="AM128" s="59">
        <f t="shared" si="59"/>
        <v>1020.7427546407603</v>
      </c>
      <c r="AN128" s="59">
        <f ca="1">AVERAGE(OFFSET($AM$3,0,0,'Données projet'!$E$10+1,1))-AVERAGE(OFFSET($H$3,0,0,'Données projet'!$E$10+1,1))</f>
        <v>287.78657453117694</v>
      </c>
      <c r="AO128" s="59">
        <f t="shared" si="90"/>
        <v>153.31562485362252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0.44604070110241806</v>
      </c>
      <c r="AV128" s="21">
        <f>EXP(-LN(2)/25)*AV127+(1-EXP(-LN(2)/25))/(LN(2)/25)*Calculateur!AQ128*Calculateur!AS128*VLOOKUP('Données projet'!$B$10,Paramètres!$A$1:$I$89,3,0)*0.475*44/12</f>
        <v>0.4186571961883841</v>
      </c>
      <c r="AW128" s="21">
        <f>EXP(-LN(2)/2)*AW127+(1-EXP(-LN(2)/2))/(LN(2)/2)*AQ128*AT128*VLOOKUP('Données projet'!$B$10,Paramètres!$A$1:$I$89,3,0)*0.475*44/12</f>
        <v>5.5789924952004651E-14</v>
      </c>
      <c r="AX128" s="21">
        <f t="shared" si="60"/>
        <v>0.864697897290858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-6.7984728957526396E-14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250.93905519128998</v>
      </c>
      <c r="BJ128" s="59">
        <f t="shared" si="92"/>
        <v>222.32879462265032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0.19521006741207281</v>
      </c>
      <c r="BQ128" s="21">
        <f>EXP(-LN(2)/25)*BQ127+(1-EXP(-LN(2)/25))/(LN(2)/25)*Calculateur!BL128*Calculateur!BN128*VLOOKUP('Données projet'!$B$11,Paramètres!$A$1:$I$89,3,0)*0.475*44/12</f>
        <v>0.8309897886142813</v>
      </c>
      <c r="BR128" s="21">
        <f>EXP(-LN(2)/2)*BR127+(1-EXP(-LN(2)/2))/(LN(2)/2)*BL128*BO128*VLOOKUP('Données projet'!$B$11,Paramètres!$A$1:$I$89,3,0)*0.475*44/12</f>
        <v>9.4827482539697863E-15</v>
      </c>
      <c r="BS128" s="22">
        <f t="shared" si="63"/>
        <v>1.0261998560263637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-2.8421709430404007E-13</v>
      </c>
      <c r="BZ128" s="13">
        <f>BY128*VLOOKUP('Données projet'!$B$12,Paramètres!$A$1:$I$89,3,0)*VLOOKUP('Données projet'!$B$12,Paramètres!$A$1:$I$89,5,0)</f>
        <v>-1.69961822393816E-13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179.32848817523677</v>
      </c>
      <c r="CE128" s="59">
        <f t="shared" si="94"/>
        <v>131.3292389103035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0.94624590487630766</v>
      </c>
      <c r="CM128" s="21">
        <f>EXP(-LN(2)/2)*CM127+(1-EXP(-LN(2)/2))/(LN(2)/2)*CG128*CJ128*VLOOKUP('Données projet'!$B$12,Paramètres!$A$1:$I$89,3,0)*0.475*44/12</f>
        <v>2.6442212864802694E-14</v>
      </c>
      <c r="CN128" s="22">
        <f t="shared" si="66"/>
        <v>0.94624590487633409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7.1730769230769287</v>
      </c>
      <c r="CT128" s="12">
        <f>IF('Données projet'!$A$140&gt;35,CT127+CS128-DB127,IF(A128&lt;'Données projet'!$A$140,$CQ$205^A128,IF(A128='Données projet'!$A$140,'Données projet'!$B$140,CT127+CS128-DB127)))</f>
        <v>374.99358974358927</v>
      </c>
      <c r="CU128" s="17">
        <f>CT128*VLOOKUP('Données projet'!$B$13,Paramètres!$A$1:$I$89,3,0)*VLOOKUP('Données projet'!$B$13,Paramètres!$A$1:$I$89,5,0)</f>
        <v>339.29419999999953</v>
      </c>
      <c r="CV128" s="13">
        <f t="shared" si="95"/>
        <v>79.354106041732479</v>
      </c>
      <c r="CW128" s="20">
        <f t="shared" si="67"/>
        <v>729.14579968934993</v>
      </c>
      <c r="CX128" s="59">
        <f t="shared" si="68"/>
        <v>1022.4791330226833</v>
      </c>
      <c r="CY128" s="59">
        <f ca="1">AVERAGE(OFFSET($CX$3,0,0,'Données projet'!$E$13+1,1))-AVERAGE(OFFSET($H$3,0,0,'Données projet'!$E$13+1,1))</f>
        <v>309.07357540707869</v>
      </c>
      <c r="CZ128" s="59">
        <f t="shared" si="96"/>
        <v>155.9593924683299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227.99999999999986</v>
      </c>
      <c r="DP128" s="17">
        <f>DO128*VLOOKUP('Données projet'!$B$14,Paramètres!$A$1:$I$89,3,0)*VLOOKUP('Données projet'!$B$14,Paramètres!$A$1:$I$89,5,0)</f>
        <v>199.18079999999992</v>
      </c>
      <c r="DQ128" s="13">
        <f t="shared" si="97"/>
        <v>49.564089376413683</v>
      </c>
      <c r="DR128" s="20">
        <f t="shared" si="70"/>
        <v>433.23068233058694</v>
      </c>
      <c r="DS128" s="59">
        <f t="shared" si="71"/>
        <v>726.56401566392026</v>
      </c>
      <c r="DT128" s="59">
        <f ca="1">AVERAGE(OFFSET($DS$3,0,0,'Données projet'!$E$14+1,1))-AVERAGE(OFFSET($H$3,0,0,'Données projet'!$E$14+1,1))</f>
        <v>210.07838338464626</v>
      </c>
      <c r="DU128" s="59">
        <f t="shared" si="98"/>
        <v>241.76003724236273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0.80762973929234183</v>
      </c>
      <c r="EB128" s="21">
        <f>EXP(-LN(2)/25)*EB127+(1-EXP(-LN(2)/25))/(LN(2)/25)*Calculateur!DW128*Calculateur!DY128*VLOOKUP('Données projet'!$B$14,Paramètres!$A$1:$I$89,3,0)*0.475*44/12</f>
        <v>0.9735151739363811</v>
      </c>
      <c r="EC128" s="21">
        <f>EXP(-LN(2)/2)*EC127+(1-EXP(-LN(2)/2))/(LN(2)/2)*DW128*DZ128*VLOOKUP('Données projet'!$B$14,Paramètres!$A$1:$I$89,3,0)*0.475*44/12</f>
        <v>8.0245161971577845E-14</v>
      </c>
      <c r="ED128" s="22">
        <f t="shared" si="72"/>
        <v>1.7811449132288031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6.2527760746888816E-13</v>
      </c>
      <c r="EK128" s="17">
        <f>EJ128*VLOOKUP('Données projet'!$B$15,Paramètres!$A$1:$I$89,3,0)*VLOOKUP('Données projet'!$B$15,Paramètres!$A$1:$I$89,5,0)</f>
        <v>3.9017322706058616E-13</v>
      </c>
      <c r="EL128" s="13">
        <f t="shared" si="99"/>
        <v>5.0025007393608908E-12</v>
      </c>
      <c r="EM128" s="20">
        <f t="shared" si="73"/>
        <v>9.3922404915174053E-12</v>
      </c>
      <c r="EN128" s="59">
        <f t="shared" si="74"/>
        <v>293.33333333334269</v>
      </c>
      <c r="EO128" s="59">
        <f ca="1">AVERAGE(OFFSET($EN$3,0,0,'Données projet'!$E$15+1,1))-AVERAGE(OFFSET($H$3,0,0,'Données projet'!$E$15+1,1))</f>
        <v>209.93608079129638</v>
      </c>
      <c r="EP128" s="59">
        <f t="shared" si="100"/>
        <v>240.15652428700969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1.0595240407947144</v>
      </c>
      <c r="EW128" s="21">
        <f>EXP(-LN(2)/25)*EW127+(1-EXP(-LN(2)/25))/(LN(2)/25)*Calculateur!ER128*Calculateur!ET128*VLOOKUP('Données projet'!$B$15,Paramètres!$A$1:$I$89,3,0)*0.475*44/12</f>
        <v>1.4924397655844246</v>
      </c>
      <c r="EX128" s="21">
        <f>EXP(-LN(2)/2)*EX127+(1-EXP(-LN(2)/2))/(LN(2)/2)*ER128*EU128*VLOOKUP('Données projet'!$B$15,Paramètres!$A$1:$I$89,3,0)*0.475*44/12</f>
        <v>1.014446309025873E-13</v>
      </c>
      <c r="EY128" s="22">
        <f t="shared" si="75"/>
        <v>2.5519638063792405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5.6843418860808015E-14</v>
      </c>
      <c r="O129" s="13">
        <f>N129*VLOOKUP('Données projet'!$B$9,Paramètres!$A$1:$I$89,3,0)*VLOOKUP('Données projet'!$B$9,Paramètres!$A$1:$I$89,5,0)</f>
        <v>4.5224624045658861E-14</v>
      </c>
      <c r="P129" s="13">
        <f t="shared" si="87"/>
        <v>7.4514601661523691E-13</v>
      </c>
      <c r="Q129" s="20">
        <f t="shared" si="107"/>
        <v>1.3765621991510601E-12</v>
      </c>
      <c r="R129" s="59">
        <f t="shared" si="55"/>
        <v>293.33333333333468</v>
      </c>
      <c r="S129" s="59">
        <f ca="1">AVERAGE(OFFSET($R$3,0,0,'Données projet'!$E$9+1,1))-AVERAGE(OFFSET($H$3,0,0,'Données projet'!$E$9+1,1))</f>
        <v>199.58763537752952</v>
      </c>
      <c r="T129" s="59">
        <f t="shared" si="88"/>
        <v>242.62852778451929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</v>
      </c>
      <c r="AA129" s="21">
        <f>EXP(-LN(2)/25)*AA128+(1-EXP(-LN(2)/25))/(LN(2)/25)*Calculateur!V129*Calculateur!X129*VLOOKUP('Données projet'!$B$9,Paramètres!$A$1:$I$89,3,0)*0.475*44/12</f>
        <v>0.71806483439832003</v>
      </c>
      <c r="AB129" s="21">
        <f>EXP(-LN(2)/2)*AB128+(1-EXP(-LN(2)/2))/(LN(2)/2)*V129*Y129*VLOOKUP('Données projet'!$B$9,Paramètres!$A$1:$I$89,3,0)*0.475*44/12</f>
        <v>3.8232735708803815E-14</v>
      </c>
      <c r="AC129" s="22">
        <f t="shared" si="57"/>
        <v>0.71806483439835822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566</v>
      </c>
      <c r="AJ129" s="13">
        <f>AI129*VLOOKUP('Données projet'!$B$10,Paramètres!$A$1:$I$89,3,0)*VLOOKUP('Données projet'!$B$10,Paramètres!$A$1:$I$89,5,0)</f>
        <v>338.46800000000002</v>
      </c>
      <c r="AK129" s="13">
        <f t="shared" si="89"/>
        <v>79.183342377469998</v>
      </c>
      <c r="AL129" s="20">
        <f t="shared" si="58"/>
        <v>727.4094213074269</v>
      </c>
      <c r="AM129" s="59">
        <f t="shared" si="59"/>
        <v>1020.7427546407603</v>
      </c>
      <c r="AN129" s="59">
        <f ca="1">AVERAGE(OFFSET($AM$3,0,0,'Données projet'!$E$10+1,1))-AVERAGE(OFFSET($H$3,0,0,'Données projet'!$E$10+1,1))</f>
        <v>287.78657453117694</v>
      </c>
      <c r="AO129" s="59">
        <f t="shared" si="90"/>
        <v>153.31562485362252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0.4372941150117638</v>
      </c>
      <c r="AV129" s="21">
        <f>EXP(-LN(2)/25)*AV128+(1-EXP(-LN(2)/25))/(LN(2)/25)*Calculateur!AQ129*Calculateur!AS129*VLOOKUP('Données projet'!$B$10,Paramètres!$A$1:$I$89,3,0)*0.475*44/12</f>
        <v>0.40720899314238762</v>
      </c>
      <c r="AW129" s="21">
        <f>EXP(-LN(2)/2)*AW128+(1-EXP(-LN(2)/2))/(LN(2)/2)*AQ129*AT129*VLOOKUP('Données projet'!$B$10,Paramètres!$A$1:$I$89,3,0)*0.475*44/12</f>
        <v>3.9449434255451065E-14</v>
      </c>
      <c r="AX129" s="21">
        <f t="shared" si="60"/>
        <v>0.84450310815419083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-6.7984728957526396E-14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250.93905519128998</v>
      </c>
      <c r="BJ129" s="59">
        <f t="shared" si="92"/>
        <v>222.32879462265032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0.19138211705650635</v>
      </c>
      <c r="BQ129" s="21">
        <f>EXP(-LN(2)/25)*BQ128+(1-EXP(-LN(2)/25))/(LN(2)/25)*Calculateur!BL129*Calculateur!BN129*VLOOKUP('Données projet'!$B$11,Paramètres!$A$1:$I$89,3,0)*0.475*44/12</f>
        <v>0.80826632914477003</v>
      </c>
      <c r="BR129" s="21">
        <f>EXP(-LN(2)/2)*BR128+(1-EXP(-LN(2)/2))/(LN(2)/2)*BL129*BO129*VLOOKUP('Données projet'!$B$11,Paramètres!$A$1:$I$89,3,0)*0.475*44/12</f>
        <v>6.7053155946669294E-15</v>
      </c>
      <c r="BS129" s="22">
        <f t="shared" si="63"/>
        <v>0.99964844620128301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-2.8421709430404007E-13</v>
      </c>
      <c r="BZ129" s="13">
        <f>BY129*VLOOKUP('Données projet'!$B$12,Paramètres!$A$1:$I$89,3,0)*VLOOKUP('Données projet'!$B$12,Paramètres!$A$1:$I$89,5,0)</f>
        <v>-1.69961822393816E-13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179.32848817523677</v>
      </c>
      <c r="CE129" s="59">
        <f t="shared" si="94"/>
        <v>131.3292389103035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0.92037076084655556</v>
      </c>
      <c r="CM129" s="21">
        <f>EXP(-LN(2)/2)*CM128+(1-EXP(-LN(2)/2))/(LN(2)/2)*CG129*CJ129*VLOOKUP('Données projet'!$B$12,Paramètres!$A$1:$I$89,3,0)*0.475*44/12</f>
        <v>1.869746802628015E-14</v>
      </c>
      <c r="CN129" s="22">
        <f t="shared" si="66"/>
        <v>0.92037076084657421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7.1730769230769287</v>
      </c>
      <c r="CT129" s="12">
        <f>IF('Données projet'!$A$140&gt;35,CT128+CS129-DB128,IF(A129&lt;'Données projet'!$A$140,$CQ$205^A129,IF(A129='Données projet'!$A$140,'Données projet'!$B$140,CT128+CS129-DB128)))</f>
        <v>382.16666666666617</v>
      </c>
      <c r="CU129" s="17">
        <f>CT129*VLOOKUP('Données projet'!$B$13,Paramètres!$A$1:$I$89,3,0)*VLOOKUP('Données projet'!$B$13,Paramètres!$A$1:$I$89,5,0)</f>
        <v>345.78439999999955</v>
      </c>
      <c r="CV129" s="13">
        <f t="shared" si="95"/>
        <v>80.69386418406053</v>
      </c>
      <c r="CW129" s="20">
        <f t="shared" si="67"/>
        <v>742.782976787238</v>
      </c>
      <c r="CX129" s="59">
        <f t="shared" si="68"/>
        <v>1036.1163101205714</v>
      </c>
      <c r="CY129" s="59">
        <f ca="1">AVERAGE(OFFSET($CX$3,0,0,'Données projet'!$E$13+1,1))-AVERAGE(OFFSET($H$3,0,0,'Données projet'!$E$13+1,1))</f>
        <v>309.07357540707869</v>
      </c>
      <c r="CZ129" s="59">
        <f t="shared" si="96"/>
        <v>155.9593924683299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227.99999999999986</v>
      </c>
      <c r="DP129" s="17">
        <f>DO129*VLOOKUP('Données projet'!$B$14,Paramètres!$A$1:$I$89,3,0)*VLOOKUP('Données projet'!$B$14,Paramètres!$A$1:$I$89,5,0)</f>
        <v>199.18079999999992</v>
      </c>
      <c r="DQ129" s="13">
        <f t="shared" si="97"/>
        <v>49.564089376413683</v>
      </c>
      <c r="DR129" s="20">
        <f t="shared" si="70"/>
        <v>433.23068233058694</v>
      </c>
      <c r="DS129" s="59">
        <f t="shared" si="71"/>
        <v>726.56401566392026</v>
      </c>
      <c r="DT129" s="59">
        <f ca="1">AVERAGE(OFFSET($DS$3,0,0,'Données projet'!$E$14+1,1))-AVERAGE(OFFSET($H$3,0,0,'Données projet'!$E$14+1,1))</f>
        <v>210.07838338464626</v>
      </c>
      <c r="DU129" s="59">
        <f t="shared" si="98"/>
        <v>241.76003724236273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0.7917926127103192</v>
      </c>
      <c r="EB129" s="21">
        <f>EXP(-LN(2)/25)*EB128+(1-EXP(-LN(2)/25))/(LN(2)/25)*Calculateur!DW129*Calculateur!DY129*VLOOKUP('Données projet'!$B$14,Paramètres!$A$1:$I$89,3,0)*0.475*44/12</f>
        <v>0.94689435031015279</v>
      </c>
      <c r="EC129" s="21">
        <f>EXP(-LN(2)/2)*EC128+(1-EXP(-LN(2)/2))/(LN(2)/2)*DW129*DZ129*VLOOKUP('Données projet'!$B$14,Paramètres!$A$1:$I$89,3,0)*0.475*44/12</f>
        <v>5.6741898187515562E-14</v>
      </c>
      <c r="ED129" s="22">
        <f t="shared" si="72"/>
        <v>1.7386869630205288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6.2527760746888816E-13</v>
      </c>
      <c r="EK129" s="17">
        <f>EJ129*VLOOKUP('Données projet'!$B$15,Paramètres!$A$1:$I$89,3,0)*VLOOKUP('Données projet'!$B$15,Paramètres!$A$1:$I$89,5,0)</f>
        <v>3.9017322706058616E-13</v>
      </c>
      <c r="EL129" s="13">
        <f t="shared" si="99"/>
        <v>5.0025007393608908E-12</v>
      </c>
      <c r="EM129" s="20">
        <f t="shared" si="73"/>
        <v>9.3922404915174053E-12</v>
      </c>
      <c r="EN129" s="59">
        <f t="shared" si="74"/>
        <v>293.33333333334269</v>
      </c>
      <c r="EO129" s="59">
        <f ca="1">AVERAGE(OFFSET($EN$3,0,0,'Données projet'!$E$15+1,1))-AVERAGE(OFFSET($H$3,0,0,'Données projet'!$E$15+1,1))</f>
        <v>209.93608079129638</v>
      </c>
      <c r="EP129" s="59">
        <f t="shared" si="100"/>
        <v>240.15652428700969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1.0387474206005836</v>
      </c>
      <c r="EW129" s="21">
        <f>EXP(-LN(2)/25)*EW128+(1-EXP(-LN(2)/25))/(LN(2)/25)*Calculateur!ER129*Calculateur!ET129*VLOOKUP('Données projet'!$B$15,Paramètres!$A$1:$I$89,3,0)*0.475*44/12</f>
        <v>1.4516289217105223</v>
      </c>
      <c r="EX129" s="21">
        <f>EXP(-LN(2)/2)*EX128+(1-EXP(-LN(2)/2))/(LN(2)/2)*ER129*EU129*VLOOKUP('Données projet'!$B$15,Paramètres!$A$1:$I$89,3,0)*0.475*44/12</f>
        <v>7.1732186426185876E-14</v>
      </c>
      <c r="EY129" s="22">
        <f t="shared" si="75"/>
        <v>2.490376342311178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5.6843418860808015E-14</v>
      </c>
      <c r="O130" s="13">
        <f>N130*VLOOKUP('Données projet'!$B$9,Paramètres!$A$1:$I$89,3,0)*VLOOKUP('Données projet'!$B$9,Paramètres!$A$1:$I$89,5,0)</f>
        <v>4.5224624045658861E-14</v>
      </c>
      <c r="P130" s="13">
        <f t="shared" si="87"/>
        <v>7.4514601661523691E-13</v>
      </c>
      <c r="Q130" s="20">
        <f t="shared" si="107"/>
        <v>1.3765621991510601E-12</v>
      </c>
      <c r="R130" s="59">
        <f t="shared" si="55"/>
        <v>293.33333333333468</v>
      </c>
      <c r="S130" s="59">
        <f ca="1">AVERAGE(OFFSET($R$3,0,0,'Données projet'!$E$9+1,1))-AVERAGE(OFFSET($H$3,0,0,'Données projet'!$E$9+1,1))</f>
        <v>199.58763537752952</v>
      </c>
      <c r="T130" s="59">
        <f t="shared" si="88"/>
        <v>242.62852778451929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</v>
      </c>
      <c r="AA130" s="21">
        <f>EXP(-LN(2)/25)*AA129+(1-EXP(-LN(2)/25))/(LN(2)/25)*Calculateur!V130*Calculateur!X130*VLOOKUP('Données projet'!$B$9,Paramètres!$A$1:$I$89,3,0)*0.475*44/12</f>
        <v>0.69842931374030948</v>
      </c>
      <c r="AB130" s="21">
        <f>EXP(-LN(2)/2)*AB129+(1-EXP(-LN(2)/2))/(LN(2)/2)*V130*Y130*VLOOKUP('Données projet'!$B$9,Paramètres!$A$1:$I$89,3,0)*0.475*44/12</f>
        <v>2.7034626683008242E-14</v>
      </c>
      <c r="AC130" s="22">
        <f t="shared" si="57"/>
        <v>0.69842931374033657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566</v>
      </c>
      <c r="AJ130" s="13">
        <f>AI130*VLOOKUP('Données projet'!$B$10,Paramètres!$A$1:$I$89,3,0)*VLOOKUP('Données projet'!$B$10,Paramètres!$A$1:$I$89,5,0)</f>
        <v>338.46800000000002</v>
      </c>
      <c r="AK130" s="13">
        <f t="shared" si="89"/>
        <v>79.183342377469998</v>
      </c>
      <c r="AL130" s="20">
        <f t="shared" si="58"/>
        <v>727.4094213074269</v>
      </c>
      <c r="AM130" s="59">
        <f t="shared" si="59"/>
        <v>1020.7427546407603</v>
      </c>
      <c r="AN130" s="59">
        <f ca="1">AVERAGE(OFFSET($AM$3,0,0,'Données projet'!$E$10+1,1))-AVERAGE(OFFSET($H$3,0,0,'Données projet'!$E$10+1,1))</f>
        <v>287.78657453117694</v>
      </c>
      <c r="AO130" s="59">
        <f t="shared" si="90"/>
        <v>153.31562485362252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0.42871904413945655</v>
      </c>
      <c r="AV130" s="21">
        <f>EXP(-LN(2)/25)*AV129+(1-EXP(-LN(2)/25))/(LN(2)/25)*Calculateur!AQ130*Calculateur!AS130*VLOOKUP('Données projet'!$B$10,Paramètres!$A$1:$I$89,3,0)*0.475*44/12</f>
        <v>0.39607384181071875</v>
      </c>
      <c r="AW130" s="21">
        <f>EXP(-LN(2)/2)*AW129+(1-EXP(-LN(2)/2))/(LN(2)/2)*AQ130*AT130*VLOOKUP('Données projet'!$B$10,Paramètres!$A$1:$I$89,3,0)*0.475*44/12</f>
        <v>2.7894962476002332E-14</v>
      </c>
      <c r="AX130" s="21">
        <f t="shared" si="60"/>
        <v>0.82479288595020317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-6.7984728957526396E-14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250.93905519128998</v>
      </c>
      <c r="BJ130" s="59">
        <f t="shared" si="92"/>
        <v>222.32879462265032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0.18762923047259339</v>
      </c>
      <c r="BQ130" s="21">
        <f>EXP(-LN(2)/25)*BQ129+(1-EXP(-LN(2)/25))/(LN(2)/25)*Calculateur!BL130*Calculateur!BN130*VLOOKUP('Données projet'!$B$11,Paramètres!$A$1:$I$89,3,0)*0.475*44/12</f>
        <v>0.7861642438694274</v>
      </c>
      <c r="BR130" s="21">
        <f>EXP(-LN(2)/2)*BR129+(1-EXP(-LN(2)/2))/(LN(2)/2)*BL130*BO130*VLOOKUP('Données projet'!$B$11,Paramètres!$A$1:$I$89,3,0)*0.475*44/12</f>
        <v>4.7413741269848932E-15</v>
      </c>
      <c r="BS130" s="22">
        <f t="shared" si="63"/>
        <v>0.97379347434202557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-2.8421709430404007E-13</v>
      </c>
      <c r="BZ130" s="13">
        <f>BY130*VLOOKUP('Données projet'!$B$12,Paramètres!$A$1:$I$89,3,0)*VLOOKUP('Données projet'!$B$12,Paramètres!$A$1:$I$89,5,0)</f>
        <v>-1.69961822393816E-13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179.32848817523677</v>
      </c>
      <c r="CE130" s="59">
        <f t="shared" si="94"/>
        <v>131.3292389103035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0.89520317399101168</v>
      </c>
      <c r="CM130" s="21">
        <f>EXP(-LN(2)/2)*CM129+(1-EXP(-LN(2)/2))/(LN(2)/2)*CG130*CJ130*VLOOKUP('Données projet'!$B$12,Paramètres!$A$1:$I$89,3,0)*0.475*44/12</f>
        <v>1.3221106432401347E-14</v>
      </c>
      <c r="CN130" s="22">
        <f t="shared" si="66"/>
        <v>0.89520317399102489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7.1730769230769287</v>
      </c>
      <c r="CT130" s="12">
        <f>IF('Données projet'!$A$140&gt;35,CT129+CS130-DB129,IF(A130&lt;'Données projet'!$A$140,$CQ$205^A130,IF(A130='Données projet'!$A$140,'Données projet'!$B$140,CT129+CS130-DB129)))</f>
        <v>389.33974358974308</v>
      </c>
      <c r="CU130" s="17">
        <f>CT130*VLOOKUP('Données projet'!$B$13,Paramètres!$A$1:$I$89,3,0)*VLOOKUP('Données projet'!$B$13,Paramètres!$A$1:$I$89,5,0)</f>
        <v>352.27459999999957</v>
      </c>
      <c r="CV130" s="13">
        <f t="shared" si="95"/>
        <v>82.030698277048387</v>
      </c>
      <c r="CW130" s="20">
        <f t="shared" si="67"/>
        <v>756.41506116585845</v>
      </c>
      <c r="CX130" s="59">
        <f t="shared" si="68"/>
        <v>1049.7483944991918</v>
      </c>
      <c r="CY130" s="59">
        <f ca="1">AVERAGE(OFFSET($CX$3,0,0,'Données projet'!$E$13+1,1))-AVERAGE(OFFSET($H$3,0,0,'Données projet'!$E$13+1,1))</f>
        <v>309.07357540707869</v>
      </c>
      <c r="CZ130" s="59">
        <f t="shared" si="96"/>
        <v>155.9593924683299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227.99999999999986</v>
      </c>
      <c r="DP130" s="17">
        <f>DO130*VLOOKUP('Données projet'!$B$14,Paramètres!$A$1:$I$89,3,0)*VLOOKUP('Données projet'!$B$14,Paramètres!$A$1:$I$89,5,0)</f>
        <v>199.18079999999992</v>
      </c>
      <c r="DQ130" s="13">
        <f t="shared" si="97"/>
        <v>49.564089376413683</v>
      </c>
      <c r="DR130" s="20">
        <f t="shared" si="70"/>
        <v>433.23068233058694</v>
      </c>
      <c r="DS130" s="59">
        <f t="shared" si="71"/>
        <v>726.56401566392026</v>
      </c>
      <c r="DT130" s="59">
        <f ca="1">AVERAGE(OFFSET($DS$3,0,0,'Données projet'!$E$14+1,1))-AVERAGE(OFFSET($H$3,0,0,'Données projet'!$E$14+1,1))</f>
        <v>210.07838338464626</v>
      </c>
      <c r="DU130" s="59">
        <f t="shared" si="98"/>
        <v>241.76003724236273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0.77626604252087661</v>
      </c>
      <c r="EB130" s="21">
        <f>EXP(-LN(2)/25)*EB129+(1-EXP(-LN(2)/25))/(LN(2)/25)*Calculateur!DW130*Calculateur!DY130*VLOOKUP('Données projet'!$B$14,Paramètres!$A$1:$I$89,3,0)*0.475*44/12</f>
        <v>0.92100147450591197</v>
      </c>
      <c r="EC130" s="21">
        <f>EXP(-LN(2)/2)*EC129+(1-EXP(-LN(2)/2))/(LN(2)/2)*DW130*DZ130*VLOOKUP('Données projet'!$B$14,Paramètres!$A$1:$I$89,3,0)*0.475*44/12</f>
        <v>4.0122580985788929E-14</v>
      </c>
      <c r="ED130" s="22">
        <f t="shared" si="72"/>
        <v>1.6972675170268288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6.2527760746888816E-13</v>
      </c>
      <c r="EK130" s="17">
        <f>EJ130*VLOOKUP('Données projet'!$B$15,Paramètres!$A$1:$I$89,3,0)*VLOOKUP('Données projet'!$B$15,Paramètres!$A$1:$I$89,5,0)</f>
        <v>3.9017322706058616E-13</v>
      </c>
      <c r="EL130" s="13">
        <f t="shared" si="99"/>
        <v>5.0025007393608908E-12</v>
      </c>
      <c r="EM130" s="20">
        <f t="shared" si="73"/>
        <v>9.3922404915174053E-12</v>
      </c>
      <c r="EN130" s="59">
        <f t="shared" si="74"/>
        <v>293.33333333334269</v>
      </c>
      <c r="EO130" s="59">
        <f ca="1">AVERAGE(OFFSET($EN$3,0,0,'Données projet'!$E$15+1,1))-AVERAGE(OFFSET($H$3,0,0,'Données projet'!$E$15+1,1))</f>
        <v>209.93608079129638</v>
      </c>
      <c r="EP130" s="59">
        <f t="shared" si="100"/>
        <v>240.15652428700969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1.0183782172559726</v>
      </c>
      <c r="EW130" s="21">
        <f>EXP(-LN(2)/25)*EW129+(1-EXP(-LN(2)/25))/(LN(2)/25)*Calculateur!ER130*Calculateur!ET130*VLOOKUP('Données projet'!$B$15,Paramètres!$A$1:$I$89,3,0)*0.475*44/12</f>
        <v>1.4119340525085007</v>
      </c>
      <c r="EX130" s="21">
        <f>EXP(-LN(2)/2)*EX129+(1-EXP(-LN(2)/2))/(LN(2)/2)*ER130*EU130*VLOOKUP('Données projet'!$B$15,Paramètres!$A$1:$I$89,3,0)*0.475*44/12</f>
        <v>5.0722315451293652E-14</v>
      </c>
      <c r="EY130" s="22">
        <f t="shared" si="75"/>
        <v>2.4303122697645239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5.6843418860808015E-14</v>
      </c>
      <c r="O131" s="13">
        <f>N131*VLOOKUP('Données projet'!$B$9,Paramètres!$A$1:$I$89,3,0)*VLOOKUP('Données projet'!$B$9,Paramètres!$A$1:$I$89,5,0)</f>
        <v>4.5224624045658861E-14</v>
      </c>
      <c r="P131" s="13">
        <f t="shared" si="87"/>
        <v>7.4514601661523691E-13</v>
      </c>
      <c r="Q131" s="20">
        <f t="shared" ref="Q131:Q153" si="108">(O131+P131)*0.475*44/12</f>
        <v>1.3765621991510601E-12</v>
      </c>
      <c r="R131" s="59">
        <f t="shared" ref="R131:R194" si="109">Q131+(I131+J131)*44/12</f>
        <v>293.33333333333468</v>
      </c>
      <c r="S131" s="59">
        <f ca="1">AVERAGE(OFFSET($R$3,0,0,'Données projet'!$E$9+1,1))-AVERAGE(OFFSET($H$3,0,0,'Données projet'!$E$9+1,1))</f>
        <v>199.58763537752952</v>
      </c>
      <c r="T131" s="59">
        <f t="shared" si="88"/>
        <v>242.62852778451929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</v>
      </c>
      <c r="AA131" s="21">
        <f>EXP(-LN(2)/25)*AA130+(1-EXP(-LN(2)/25))/(LN(2)/25)*Calculateur!V131*Calculateur!X131*VLOOKUP('Données projet'!$B$9,Paramètres!$A$1:$I$89,3,0)*0.475*44/12</f>
        <v>0.6793307274272794</v>
      </c>
      <c r="AB131" s="21">
        <f>EXP(-LN(2)/2)*AB130+(1-EXP(-LN(2)/2))/(LN(2)/2)*V131*Y131*VLOOKUP('Données projet'!$B$9,Paramètres!$A$1:$I$89,3,0)*0.475*44/12</f>
        <v>1.9116367854401908E-14</v>
      </c>
      <c r="AC131" s="22">
        <f t="shared" si="57"/>
        <v>0.6793307274272985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566</v>
      </c>
      <c r="AJ131" s="13">
        <f>AI131*VLOOKUP('Données projet'!$B$10,Paramètres!$A$1:$I$89,3,0)*VLOOKUP('Données projet'!$B$10,Paramètres!$A$1:$I$89,5,0)</f>
        <v>338.46800000000002</v>
      </c>
      <c r="AK131" s="13">
        <f t="shared" si="89"/>
        <v>79.183342377469998</v>
      </c>
      <c r="AL131" s="20">
        <f t="shared" si="58"/>
        <v>727.4094213074269</v>
      </c>
      <c r="AM131" s="59">
        <f t="shared" si="59"/>
        <v>1020.7427546407603</v>
      </c>
      <c r="AN131" s="59">
        <f ca="1">AVERAGE(OFFSET($AM$3,0,0,'Données projet'!$E$10+1,1))-AVERAGE(OFFSET($H$3,0,0,'Données projet'!$E$10+1,1))</f>
        <v>287.78657453117694</v>
      </c>
      <c r="AO131" s="59">
        <f t="shared" si="90"/>
        <v>153.31562485362252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0.42031212517667849</v>
      </c>
      <c r="AV131" s="21">
        <f>EXP(-LN(2)/25)*AV130+(1-EXP(-LN(2)/25))/(LN(2)/25)*Calculateur!AQ131*Calculateur!AS131*VLOOKUP('Données projet'!$B$10,Paramètres!$A$1:$I$89,3,0)*0.475*44/12</f>
        <v>0.38524318177778655</v>
      </c>
      <c r="AW131" s="21">
        <f>EXP(-LN(2)/2)*AW130+(1-EXP(-LN(2)/2))/(LN(2)/2)*AQ131*AT131*VLOOKUP('Données projet'!$B$10,Paramètres!$A$1:$I$89,3,0)*0.475*44/12</f>
        <v>1.9724717127725535E-14</v>
      </c>
      <c r="AX131" s="21">
        <f t="shared" si="60"/>
        <v>0.80555530695448474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-6.7984728957526396E-14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250.93905519128998</v>
      </c>
      <c r="BJ131" s="59">
        <f t="shared" si="92"/>
        <v>222.32879462265032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0.18394993570555615</v>
      </c>
      <c r="BQ131" s="21">
        <f>EXP(-LN(2)/25)*BQ130+(1-EXP(-LN(2)/25))/(LN(2)/25)*Calculateur!BL131*Calculateur!BN131*VLOOKUP('Données projet'!$B$11,Paramètres!$A$1:$I$89,3,0)*0.475*44/12</f>
        <v>0.76466654127823708</v>
      </c>
      <c r="BR131" s="21">
        <f>EXP(-LN(2)/2)*BR130+(1-EXP(-LN(2)/2))/(LN(2)/2)*BL131*BO131*VLOOKUP('Données projet'!$B$11,Paramètres!$A$1:$I$89,3,0)*0.475*44/12</f>
        <v>3.3526577973334647E-15</v>
      </c>
      <c r="BS131" s="22">
        <f t="shared" si="63"/>
        <v>0.94861647698379659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-2.8421709430404007E-13</v>
      </c>
      <c r="BZ131" s="13">
        <f>BY131*VLOOKUP('Données projet'!$B$12,Paramètres!$A$1:$I$89,3,0)*VLOOKUP('Données projet'!$B$12,Paramètres!$A$1:$I$89,5,0)</f>
        <v>-1.69961822393816E-13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179.32848817523677</v>
      </c>
      <c r="CE131" s="59">
        <f t="shared" si="94"/>
        <v>131.3292389103035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0.87072379612153861</v>
      </c>
      <c r="CM131" s="21">
        <f>EXP(-LN(2)/2)*CM130+(1-EXP(-LN(2)/2))/(LN(2)/2)*CG131*CJ131*VLOOKUP('Données projet'!$B$12,Paramètres!$A$1:$I$89,3,0)*0.475*44/12</f>
        <v>9.3487340131400751E-15</v>
      </c>
      <c r="CN131" s="22">
        <f t="shared" si="66"/>
        <v>0.87072379612154793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7.1730769230769287</v>
      </c>
      <c r="CT131" s="12">
        <f>IF('Données projet'!$A$140&gt;35,CT130+CS131-DB130,IF(A131&lt;'Données projet'!$A$140,$CQ$205^A131,IF(A131='Données projet'!$A$140,'Données projet'!$B$140,CT130+CS131-DB130)))</f>
        <v>396.51282051281999</v>
      </c>
      <c r="CU131" s="17">
        <f>CT131*VLOOKUP('Données projet'!$B$13,Paramètres!$A$1:$I$89,3,0)*VLOOKUP('Données projet'!$B$13,Paramètres!$A$1:$I$89,5,0)</f>
        <v>358.76479999999952</v>
      </c>
      <c r="CV131" s="13">
        <f t="shared" si="95"/>
        <v>83.364668405580957</v>
      </c>
      <c r="CW131" s="20">
        <f t="shared" si="67"/>
        <v>770.04215747305261</v>
      </c>
      <c r="CX131" s="59">
        <f t="shared" si="68"/>
        <v>1063.3754908063859</v>
      </c>
      <c r="CY131" s="59">
        <f ca="1">AVERAGE(OFFSET($CX$3,0,0,'Données projet'!$E$13+1,1))-AVERAGE(OFFSET($H$3,0,0,'Données projet'!$E$13+1,1))</f>
        <v>309.07357540707869</v>
      </c>
      <c r="CZ131" s="59">
        <f t="shared" si="96"/>
        <v>155.9593924683299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227.99999999999986</v>
      </c>
      <c r="DP131" s="17">
        <f>DO131*VLOOKUP('Données projet'!$B$14,Paramètres!$A$1:$I$89,3,0)*VLOOKUP('Données projet'!$B$14,Paramètres!$A$1:$I$89,5,0)</f>
        <v>199.18079999999992</v>
      </c>
      <c r="DQ131" s="13">
        <f t="shared" si="97"/>
        <v>49.564089376413683</v>
      </c>
      <c r="DR131" s="20">
        <f t="shared" si="70"/>
        <v>433.23068233058694</v>
      </c>
      <c r="DS131" s="59">
        <f t="shared" si="71"/>
        <v>726.56401566392026</v>
      </c>
      <c r="DT131" s="59">
        <f ca="1">AVERAGE(OFFSET($DS$3,0,0,'Données projet'!$E$14+1,1))-AVERAGE(OFFSET($H$3,0,0,'Données projet'!$E$14+1,1))</f>
        <v>210.07838338464626</v>
      </c>
      <c r="DU131" s="59">
        <f t="shared" si="98"/>
        <v>241.76003724236273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0.76104393890257638</v>
      </c>
      <c r="EB131" s="21">
        <f>EXP(-LN(2)/25)*EB130+(1-EXP(-LN(2)/25))/(LN(2)/25)*Calculateur!DW131*Calculateur!DY131*VLOOKUP('Données projet'!$B$14,Paramètres!$A$1:$I$89,3,0)*0.475*44/12</f>
        <v>0.89581664075218526</v>
      </c>
      <c r="EC131" s="21">
        <f>EXP(-LN(2)/2)*EC130+(1-EXP(-LN(2)/2))/(LN(2)/2)*DW131*DZ131*VLOOKUP('Données projet'!$B$14,Paramètres!$A$1:$I$89,3,0)*0.475*44/12</f>
        <v>2.8370949093757787E-14</v>
      </c>
      <c r="ED131" s="22">
        <f t="shared" si="72"/>
        <v>1.6568605796547899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6.2527760746888816E-13</v>
      </c>
      <c r="EK131" s="17">
        <f>EJ131*VLOOKUP('Données projet'!$B$15,Paramètres!$A$1:$I$89,3,0)*VLOOKUP('Données projet'!$B$15,Paramètres!$A$1:$I$89,5,0)</f>
        <v>3.9017322706058616E-13</v>
      </c>
      <c r="EL131" s="13">
        <f t="shared" si="99"/>
        <v>5.0025007393608908E-12</v>
      </c>
      <c r="EM131" s="20">
        <f t="shared" si="73"/>
        <v>9.3922404915174053E-12</v>
      </c>
      <c r="EN131" s="59">
        <f t="shared" si="74"/>
        <v>293.33333333334269</v>
      </c>
      <c r="EO131" s="59">
        <f ca="1">AVERAGE(OFFSET($EN$3,0,0,'Données projet'!$E$15+1,1))-AVERAGE(OFFSET($H$3,0,0,'Données projet'!$E$15+1,1))</f>
        <v>209.93608079129638</v>
      </c>
      <c r="EP131" s="59">
        <f t="shared" si="100"/>
        <v>240.15652428700969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0.998408441564962</v>
      </c>
      <c r="EW131" s="21">
        <f>EXP(-LN(2)/25)*EW130+(1-EXP(-LN(2)/25))/(LN(2)/25)*Calculateur!ER131*Calculateur!ET131*VLOOKUP('Données projet'!$B$15,Paramètres!$A$1:$I$89,3,0)*0.475*44/12</f>
        <v>1.3733246415922709</v>
      </c>
      <c r="EX131" s="21">
        <f>EXP(-LN(2)/2)*EX130+(1-EXP(-LN(2)/2))/(LN(2)/2)*ER131*EU131*VLOOKUP('Données projet'!$B$15,Paramètres!$A$1:$I$89,3,0)*0.475*44/12</f>
        <v>3.5866093213092938E-14</v>
      </c>
      <c r="EY131" s="22">
        <f t="shared" si="75"/>
        <v>2.3717330831572689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5.6843418860808015E-14</v>
      </c>
      <c r="O132" s="13">
        <f>N132*VLOOKUP('Données projet'!$B$9,Paramètres!$A$1:$I$89,3,0)*VLOOKUP('Données projet'!$B$9,Paramètres!$A$1:$I$89,5,0)</f>
        <v>4.5224624045658861E-14</v>
      </c>
      <c r="P132" s="13">
        <f t="shared" si="87"/>
        <v>7.4514601661523691E-13</v>
      </c>
      <c r="Q132" s="20">
        <f t="shared" si="108"/>
        <v>1.3765621991510601E-12</v>
      </c>
      <c r="R132" s="59">
        <f t="shared" si="109"/>
        <v>293.33333333333468</v>
      </c>
      <c r="S132" s="59">
        <f ca="1">AVERAGE(OFFSET($R$3,0,0,'Données projet'!$E$9+1,1))-AVERAGE(OFFSET($H$3,0,0,'Données projet'!$E$9+1,1))</f>
        <v>199.58763537752952</v>
      </c>
      <c r="T132" s="59">
        <f t="shared" si="88"/>
        <v>242.62852778451929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</v>
      </c>
      <c r="AA132" s="21">
        <f>EXP(-LN(2)/25)*AA131+(1-EXP(-LN(2)/25))/(LN(2)/25)*Calculateur!V132*Calculateur!X132*VLOOKUP('Données projet'!$B$9,Paramètres!$A$1:$I$89,3,0)*0.475*44/12</f>
        <v>0.66075439296133009</v>
      </c>
      <c r="AB132" s="21">
        <f>EXP(-LN(2)/2)*AB131+(1-EXP(-LN(2)/2))/(LN(2)/2)*V132*Y132*VLOOKUP('Données projet'!$B$9,Paramètres!$A$1:$I$89,3,0)*0.475*44/12</f>
        <v>1.3517313341504121E-14</v>
      </c>
      <c r="AC132" s="22">
        <f t="shared" ref="AC132:AC153" si="111">SUM(Z132:AB132)</f>
        <v>0.66075439296134364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566</v>
      </c>
      <c r="AJ132" s="13">
        <f>AI132*VLOOKUP('Données projet'!$B$10,Paramètres!$A$1:$I$89,3,0)*VLOOKUP('Données projet'!$B$10,Paramètres!$A$1:$I$89,5,0)</f>
        <v>338.46800000000002</v>
      </c>
      <c r="AK132" s="13">
        <f t="shared" si="89"/>
        <v>79.183342377469998</v>
      </c>
      <c r="AL132" s="20">
        <f t="shared" ref="AL132:AL153" si="112">(AJ132+AK132)*0.475*44/12</f>
        <v>727.4094213074269</v>
      </c>
      <c r="AM132" s="59">
        <f t="shared" ref="AM132:AM195" si="113">AL132+(AD132+AE132)*44/12</f>
        <v>1020.7427546407603</v>
      </c>
      <c r="AN132" s="59">
        <f ca="1">AVERAGE(OFFSET($AM$3,0,0,'Données projet'!$E$10+1,1))-AVERAGE(OFFSET($H$3,0,0,'Données projet'!$E$10+1,1))</f>
        <v>287.78657453117694</v>
      </c>
      <c r="AO132" s="59">
        <f t="shared" si="90"/>
        <v>153.31562485362252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0.41207006076704622</v>
      </c>
      <c r="AV132" s="21">
        <f>EXP(-LN(2)/25)*AV131+(1-EXP(-LN(2)/25))/(LN(2)/25)*Calculateur!AQ132*Calculateur!AS132*VLOOKUP('Données projet'!$B$10,Paramètres!$A$1:$I$89,3,0)*0.475*44/12</f>
        <v>0.37470868671301455</v>
      </c>
      <c r="AW132" s="21">
        <f>EXP(-LN(2)/2)*AW131+(1-EXP(-LN(2)/2))/(LN(2)/2)*AQ132*AT132*VLOOKUP('Données projet'!$B$10,Paramètres!$A$1:$I$89,3,0)*0.475*44/12</f>
        <v>1.3947481238001167E-14</v>
      </c>
      <c r="AX132" s="21">
        <f t="shared" ref="AX132:AX153" si="114">SUM(AU132:AW132)</f>
        <v>0.7867787474800747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-6.7984728957526396E-14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250.93905519128998</v>
      </c>
      <c r="BJ132" s="59">
        <f t="shared" si="92"/>
        <v>222.32879462265032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0.18034278966475231</v>
      </c>
      <c r="BQ132" s="21">
        <f>EXP(-LN(2)/25)*BQ131+(1-EXP(-LN(2)/25))/(LN(2)/25)*Calculateur!BL132*Calculateur!BN132*VLOOKUP('Données projet'!$B$11,Paramètres!$A$1:$I$89,3,0)*0.475*44/12</f>
        <v>0.74375669449491799</v>
      </c>
      <c r="BR132" s="21">
        <f>EXP(-LN(2)/2)*BR131+(1-EXP(-LN(2)/2))/(LN(2)/2)*BL132*BO132*VLOOKUP('Données projet'!$B$11,Paramètres!$A$1:$I$89,3,0)*0.475*44/12</f>
        <v>2.3706870634924466E-15</v>
      </c>
      <c r="BS132" s="22">
        <f t="shared" ref="BS132:BS153" si="117">SUM(BP132:BR132)</f>
        <v>0.92409948415967269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-2.8421709430404007E-13</v>
      </c>
      <c r="BZ132" s="13">
        <f>BY132*VLOOKUP('Données projet'!$B$12,Paramètres!$A$1:$I$89,3,0)*VLOOKUP('Données projet'!$B$12,Paramètres!$A$1:$I$89,5,0)</f>
        <v>-1.69961822393816E-13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179.32848817523677</v>
      </c>
      <c r="CE132" s="59">
        <f t="shared" si="94"/>
        <v>131.3292389103035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0.84691380812722072</v>
      </c>
      <c r="CM132" s="21">
        <f>EXP(-LN(2)/2)*CM131+(1-EXP(-LN(2)/2))/(LN(2)/2)*CG132*CJ132*VLOOKUP('Données projet'!$B$12,Paramètres!$A$1:$I$89,3,0)*0.475*44/12</f>
        <v>6.6105532162006734E-15</v>
      </c>
      <c r="CN132" s="22">
        <f t="shared" ref="CN132:CN153" si="120">SUM(CK132:CM132)</f>
        <v>0.84691380812722739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7.1730769230769287</v>
      </c>
      <c r="CT132" s="12">
        <f>IF('Données projet'!$A$140&gt;35,CT131+CS132-DB131,IF(A132&lt;'Données projet'!$A$140,$CQ$205^A132,IF(A132='Données projet'!$A$140,'Données projet'!$B$140,CT131+CS132-DB131)))</f>
        <v>403.68589743589689</v>
      </c>
      <c r="CU132" s="17">
        <f>CT132*VLOOKUP('Données projet'!$B$13,Paramètres!$A$1:$I$89,3,0)*VLOOKUP('Données projet'!$B$13,Paramètres!$A$1:$I$89,5,0)</f>
        <v>365.25499999999948</v>
      </c>
      <c r="CV132" s="13">
        <f t="shared" si="95"/>
        <v>84.695832356146539</v>
      </c>
      <c r="CW132" s="20">
        <f t="shared" ref="CW132:CW153" si="121">(CU132+CV132)*0.475*44/12</f>
        <v>783.66436635362095</v>
      </c>
      <c r="CX132" s="59">
        <f t="shared" ref="CX132:CX195" si="122">CW132+(CO132+CP132)*44/12</f>
        <v>1076.9976996869543</v>
      </c>
      <c r="CY132" s="59">
        <f ca="1">AVERAGE(OFFSET($CX$3,0,0,'Données projet'!$E$13+1,1))-AVERAGE(OFFSET($H$3,0,0,'Données projet'!$E$13+1,1))</f>
        <v>309.07357540707869</v>
      </c>
      <c r="CZ132" s="59">
        <f t="shared" si="96"/>
        <v>155.9593924683299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227.99999999999986</v>
      </c>
      <c r="DP132" s="17">
        <f>DO132*VLOOKUP('Données projet'!$B$14,Paramètres!$A$1:$I$89,3,0)*VLOOKUP('Données projet'!$B$14,Paramètres!$A$1:$I$89,5,0)</f>
        <v>199.18079999999992</v>
      </c>
      <c r="DQ132" s="13">
        <f t="shared" si="97"/>
        <v>49.564089376413683</v>
      </c>
      <c r="DR132" s="20">
        <f t="shared" ref="DR132:DR153" si="124">(DP132+DQ132)*0.475*44/12</f>
        <v>433.23068233058694</v>
      </c>
      <c r="DS132" s="59">
        <f t="shared" ref="DS132:DS195" si="125">DR132+(DJ132+DK132)*44/12</f>
        <v>726.56401566392026</v>
      </c>
      <c r="DT132" s="59">
        <f ca="1">AVERAGE(OFFSET($DS$3,0,0,'Données projet'!$E$14+1,1))-AVERAGE(OFFSET($H$3,0,0,'Données projet'!$E$14+1,1))</f>
        <v>210.07838338464626</v>
      </c>
      <c r="DU132" s="59">
        <f t="shared" si="98"/>
        <v>241.76003724236273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0.74612033145166456</v>
      </c>
      <c r="EB132" s="21">
        <f>EXP(-LN(2)/25)*EB131+(1-EXP(-LN(2)/25))/(LN(2)/25)*Calculateur!DW132*Calculateur!DY132*VLOOKUP('Données projet'!$B$14,Paramètres!$A$1:$I$89,3,0)*0.475*44/12</f>
        <v>0.87132048760186698</v>
      </c>
      <c r="EC132" s="21">
        <f>EXP(-LN(2)/2)*EC131+(1-EXP(-LN(2)/2))/(LN(2)/2)*DW132*DZ132*VLOOKUP('Données projet'!$B$14,Paramètres!$A$1:$I$89,3,0)*0.475*44/12</f>
        <v>2.0061290492894468E-14</v>
      </c>
      <c r="ED132" s="22">
        <f t="shared" ref="ED132:ED153" si="126">SUM(EA132:EC132)</f>
        <v>1.6174408190535514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6.2527760746888816E-13</v>
      </c>
      <c r="EK132" s="17">
        <f>EJ132*VLOOKUP('Données projet'!$B$15,Paramètres!$A$1:$I$89,3,0)*VLOOKUP('Données projet'!$B$15,Paramètres!$A$1:$I$89,5,0)</f>
        <v>3.9017322706058616E-13</v>
      </c>
      <c r="EL132" s="13">
        <f t="shared" si="99"/>
        <v>5.0025007393608908E-12</v>
      </c>
      <c r="EM132" s="20">
        <f t="shared" ref="EM132:EM153" si="127">(EK132+EL132)*0.475*44/12</f>
        <v>9.3922404915174053E-12</v>
      </c>
      <c r="EN132" s="59">
        <f t="shared" ref="EN132:EN195" si="128">EM132+(EE132+EF132)*44/12</f>
        <v>293.33333333334269</v>
      </c>
      <c r="EO132" s="59">
        <f ca="1">AVERAGE(OFFSET($EN$3,0,0,'Données projet'!$E$15+1,1))-AVERAGE(OFFSET($H$3,0,0,'Données projet'!$E$15+1,1))</f>
        <v>209.93608079129638</v>
      </c>
      <c r="EP132" s="59">
        <f t="shared" si="100"/>
        <v>240.15652428700969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0.97883026099489179</v>
      </c>
      <c r="EW132" s="21">
        <f>EXP(-LN(2)/25)*EW131+(1-EXP(-LN(2)/25))/(LN(2)/25)*Calculateur!ER132*Calculateur!ET132*VLOOKUP('Données projet'!$B$15,Paramètres!$A$1:$I$89,3,0)*0.475*44/12</f>
        <v>1.3357710070479261</v>
      </c>
      <c r="EX132" s="21">
        <f>EXP(-LN(2)/2)*EX131+(1-EXP(-LN(2)/2))/(LN(2)/2)*ER132*EU132*VLOOKUP('Données projet'!$B$15,Paramètres!$A$1:$I$89,3,0)*0.475*44/12</f>
        <v>2.5361157725646826E-14</v>
      </c>
      <c r="EY132" s="22">
        <f t="shared" ref="EY132:EY153" si="129">SUM(EV132:EX132)</f>
        <v>2.3146012680428432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5.6843418860808015E-14</v>
      </c>
      <c r="O133" s="13">
        <f>N133*VLOOKUP('Données projet'!$B$9,Paramètres!$A$1:$I$89,3,0)*VLOOKUP('Données projet'!$B$9,Paramètres!$A$1:$I$89,5,0)</f>
        <v>4.5224624045658861E-14</v>
      </c>
      <c r="P133" s="13">
        <f t="shared" ref="P133:P196" si="141">EXP(-1.0587+0.8836*LN(O133)+0.284)</f>
        <v>7.4514601661523691E-13</v>
      </c>
      <c r="Q133" s="20">
        <f t="shared" si="108"/>
        <v>1.3765621991510601E-12</v>
      </c>
      <c r="R133" s="59">
        <f t="shared" si="109"/>
        <v>293.33333333333468</v>
      </c>
      <c r="S133" s="59">
        <f ca="1">AVERAGE(OFFSET($R$3,0,0,'Données projet'!$E$9+1,1))-AVERAGE(OFFSET($H$3,0,0,'Données projet'!$E$9+1,1))</f>
        <v>199.58763537752952</v>
      </c>
      <c r="T133" s="59">
        <f t="shared" ref="T133:T196" si="142">$T$3</f>
        <v>242.62852778451929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</v>
      </c>
      <c r="AA133" s="21">
        <f>EXP(-LN(2)/25)*AA132+(1-EXP(-LN(2)/25))/(LN(2)/25)*Calculateur!V133*Calculateur!X133*VLOOKUP('Données projet'!$B$9,Paramètres!$A$1:$I$89,3,0)*0.475*44/12</f>
        <v>0.64268602933823915</v>
      </c>
      <c r="AB133" s="21">
        <f>EXP(-LN(2)/2)*AB132+(1-EXP(-LN(2)/2))/(LN(2)/2)*V133*Y133*VLOOKUP('Données projet'!$B$9,Paramètres!$A$1:$I$89,3,0)*0.475*44/12</f>
        <v>9.5581839272009538E-15</v>
      </c>
      <c r="AC133" s="22">
        <f t="shared" si="111"/>
        <v>0.6426860293382487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566</v>
      </c>
      <c r="AJ133" s="13">
        <f>AI133*VLOOKUP('Données projet'!$B$10,Paramètres!$A$1:$I$89,3,0)*VLOOKUP('Données projet'!$B$10,Paramètres!$A$1:$I$89,5,0)</f>
        <v>338.46800000000002</v>
      </c>
      <c r="AK133" s="13">
        <f t="shared" ref="AK133:AK153" si="143">EXP(-1.0587+0.8836*LN(AJ133)+0.284)</f>
        <v>79.183342377469998</v>
      </c>
      <c r="AL133" s="20">
        <f t="shared" si="112"/>
        <v>727.4094213074269</v>
      </c>
      <c r="AM133" s="59">
        <f t="shared" si="113"/>
        <v>1020.7427546407603</v>
      </c>
      <c r="AN133" s="59">
        <f ca="1">AVERAGE(OFFSET($AM$3,0,0,'Données projet'!$E$10+1,1))-AVERAGE(OFFSET($H$3,0,0,'Données projet'!$E$10+1,1))</f>
        <v>287.78657453117694</v>
      </c>
      <c r="AO133" s="59">
        <f t="shared" ref="AO133:AO196" si="144">$AO$3</f>
        <v>153.31562485362252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0.40398961821332396</v>
      </c>
      <c r="AV133" s="21">
        <f>EXP(-LN(2)/25)*AV132+(1-EXP(-LN(2)/25))/(LN(2)/25)*Calculateur!AQ133*Calculateur!AS133*VLOOKUP('Données projet'!$B$10,Paramètres!$A$1:$I$89,3,0)*0.475*44/12</f>
        <v>0.36446225796977372</v>
      </c>
      <c r="AW133" s="21">
        <f>EXP(-LN(2)/2)*AW132+(1-EXP(-LN(2)/2))/(LN(2)/2)*AQ133*AT133*VLOOKUP('Données projet'!$B$10,Paramètres!$A$1:$I$89,3,0)*0.475*44/12</f>
        <v>9.8623585638627693E-15</v>
      </c>
      <c r="AX133" s="21">
        <f t="shared" si="114"/>
        <v>0.76845187618310751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-6.7984728957526396E-14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250.93905519128998</v>
      </c>
      <c r="BJ133" s="59">
        <f t="shared" ref="BJ133:BJ196" si="146">$BJ$3</f>
        <v>222.32879462265032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0.17680637755766679</v>
      </c>
      <c r="BQ133" s="21">
        <f>EXP(-LN(2)/25)*BQ132+(1-EXP(-LN(2)/25))/(LN(2)/25)*Calculateur!BL133*Calculateur!BN133*VLOOKUP('Données projet'!$B$11,Paramètres!$A$1:$I$89,3,0)*0.475*44/12</f>
        <v>0.72341862857148975</v>
      </c>
      <c r="BR133" s="21">
        <f>EXP(-LN(2)/2)*BR132+(1-EXP(-LN(2)/2))/(LN(2)/2)*BL133*BO133*VLOOKUP('Données projet'!$B$11,Paramètres!$A$1:$I$89,3,0)*0.475*44/12</f>
        <v>1.6763288986667323E-15</v>
      </c>
      <c r="BS133" s="22">
        <f t="shared" si="117"/>
        <v>0.90022500612915823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-2.8421709430404007E-13</v>
      </c>
      <c r="BZ133" s="13">
        <f>BY133*VLOOKUP('Données projet'!$B$12,Paramètres!$A$1:$I$89,3,0)*VLOOKUP('Données projet'!$B$12,Paramètres!$A$1:$I$89,5,0)</f>
        <v>-1.69961822393816E-13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179.32848817523677</v>
      </c>
      <c r="CE133" s="59">
        <f t="shared" ref="CE133:CE196" si="148">$CE$3</f>
        <v>131.3292389103035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0.82375490550672037</v>
      </c>
      <c r="CM133" s="21">
        <f>EXP(-LN(2)/2)*CM132+(1-EXP(-LN(2)/2))/(LN(2)/2)*CG133*CJ133*VLOOKUP('Données projet'!$B$12,Paramètres!$A$1:$I$89,3,0)*0.475*44/12</f>
        <v>4.6743670065700375E-15</v>
      </c>
      <c r="CN133" s="22">
        <f t="shared" si="120"/>
        <v>0.82375490550672503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410.85897435897436</v>
      </c>
      <c r="CR133" s="12">
        <f>VLOOKUP(A133,'Données projet'!$A$139:$I$159,9,0)</f>
        <v>7.1730769230769287</v>
      </c>
      <c r="CS133" s="12">
        <f t="array" ref="CS133">INDEX(CR:CR,MIN(IF(ISNUMBER(CR133:CR329),ROW(CR133:CR329),"")))</f>
        <v>7.1730769230769287</v>
      </c>
      <c r="CT133" s="12">
        <f>IF('Données projet'!$A$140&gt;35,CT132+CS133-DB132,IF(A133&lt;'Données projet'!$A$140,$CQ$205^A133,IF(A133='Données projet'!$A$140,'Données projet'!$B$140,CT132+CS133-DB132)))</f>
        <v>410.8589743589738</v>
      </c>
      <c r="CU133" s="17">
        <f>CT133*VLOOKUP('Données projet'!$B$13,Paramètres!$A$1:$I$89,3,0)*VLOOKUP('Données projet'!$B$13,Paramètres!$A$1:$I$89,5,0)</f>
        <v>371.7451999999995</v>
      </c>
      <c r="CV133" s="13">
        <f t="shared" ref="CV133:CV153" si="149">EXP(-1.0587+0.8836*LN(CU133)+0.284)</f>
        <v>86.024245744005782</v>
      </c>
      <c r="CW133" s="20">
        <f t="shared" si="121"/>
        <v>797.28178467080909</v>
      </c>
      <c r="CX133" s="59">
        <f t="shared" si="122"/>
        <v>1090.6151180041425</v>
      </c>
      <c r="CY133" s="59">
        <f ca="1">AVERAGE(OFFSET($CX$3,0,0,'Données projet'!$E$13+1,1))-AVERAGE(OFFSET($H$3,0,0,'Données projet'!$E$13+1,1))</f>
        <v>309.07357540707869</v>
      </c>
      <c r="CZ133" s="59">
        <f t="shared" ref="CZ133:CZ196" si="150">$CZ$3</f>
        <v>155.9593924683299</v>
      </c>
      <c r="DA133" s="15">
        <f>IF(ISNA(VLOOKUP(A133,'Données projet'!$A$139:$I$159,3,0)),0,VLOOKUP(A133,'Données projet'!$A$139:$I$159,3,0))</f>
        <v>12</v>
      </c>
      <c r="DB133" s="15">
        <f>IF(ISNA(VLOOKUP(A133,'Données projet'!$A$139:$I$159,4,0)),0,VLOOKUP(A133,'Données projet'!$A$139:$I$159,4,0))</f>
        <v>51.378205128205131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227.99999999999986</v>
      </c>
      <c r="DP133" s="17">
        <f>DO133*VLOOKUP('Données projet'!$B$14,Paramètres!$A$1:$I$89,3,0)*VLOOKUP('Données projet'!$B$14,Paramètres!$A$1:$I$89,5,0)</f>
        <v>199.18079999999992</v>
      </c>
      <c r="DQ133" s="13">
        <f t="shared" ref="DQ133:DQ153" si="151">EXP(-1.0587+0.8836*LN(DP133)+0.284)</f>
        <v>49.564089376413683</v>
      </c>
      <c r="DR133" s="20">
        <f t="shared" si="124"/>
        <v>433.23068233058694</v>
      </c>
      <c r="DS133" s="59">
        <f t="shared" si="125"/>
        <v>726.56401566392026</v>
      </c>
      <c r="DT133" s="59">
        <f ca="1">AVERAGE(OFFSET($DS$3,0,0,'Données projet'!$E$14+1,1))-AVERAGE(OFFSET($H$3,0,0,'Données projet'!$E$14+1,1))</f>
        <v>210.07838338464626</v>
      </c>
      <c r="DU133" s="59">
        <f t="shared" ref="DU133:DU196" si="152">$DU$3</f>
        <v>241.76003724236273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0.73148936684036336</v>
      </c>
      <c r="EB133" s="21">
        <f>EXP(-LN(2)/25)*EB132+(1-EXP(-LN(2)/25))/(LN(2)/25)*Calculateur!DW133*Calculateur!DY133*VLOOKUP('Données projet'!$B$14,Paramètres!$A$1:$I$89,3,0)*0.475*44/12</f>
        <v>0.8474941830476409</v>
      </c>
      <c r="EC133" s="21">
        <f>EXP(-LN(2)/2)*EC132+(1-EXP(-LN(2)/2))/(LN(2)/2)*DW133*DZ133*VLOOKUP('Données projet'!$B$14,Paramètres!$A$1:$I$89,3,0)*0.475*44/12</f>
        <v>1.4185474546878895E-14</v>
      </c>
      <c r="ED133" s="22">
        <f t="shared" si="126"/>
        <v>1.5789835498880185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6.2527760746888816E-13</v>
      </c>
      <c r="EK133" s="17">
        <f>EJ133*VLOOKUP('Données projet'!$B$15,Paramètres!$A$1:$I$89,3,0)*VLOOKUP('Données projet'!$B$15,Paramètres!$A$1:$I$89,5,0)</f>
        <v>3.9017322706058616E-13</v>
      </c>
      <c r="EL133" s="13">
        <f t="shared" ref="EL133:EL153" si="153">EXP(-1.0587+0.8836*LN(EK133)+0.284)</f>
        <v>5.0025007393608908E-12</v>
      </c>
      <c r="EM133" s="20">
        <f t="shared" si="127"/>
        <v>9.3922404915174053E-12</v>
      </c>
      <c r="EN133" s="59">
        <f t="shared" si="128"/>
        <v>293.33333333334269</v>
      </c>
      <c r="EO133" s="59">
        <f ca="1">AVERAGE(OFFSET($EN$3,0,0,'Données projet'!$E$15+1,1))-AVERAGE(OFFSET($H$3,0,0,'Données projet'!$E$15+1,1))</f>
        <v>209.93608079129638</v>
      </c>
      <c r="EP133" s="59">
        <f t="shared" ref="EP133:EP196" si="154">$EP$3</f>
        <v>240.15652428700969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0.95963599660428955</v>
      </c>
      <c r="EW133" s="21">
        <f>EXP(-LN(2)/25)*EW132+(1-EXP(-LN(2)/25))/(LN(2)/25)*Calculateur!ER133*Calculateur!ET133*VLOOKUP('Données projet'!$B$15,Paramètres!$A$1:$I$89,3,0)*0.475*44/12</f>
        <v>1.2992442786150562</v>
      </c>
      <c r="EX133" s="21">
        <f>EXP(-LN(2)/2)*EX132+(1-EXP(-LN(2)/2))/(LN(2)/2)*ER133*EU133*VLOOKUP('Données projet'!$B$15,Paramètres!$A$1:$I$89,3,0)*0.475*44/12</f>
        <v>1.7933046606546469E-14</v>
      </c>
      <c r="EY133" s="22">
        <f t="shared" si="129"/>
        <v>2.2588802752193633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5.6843418860808015E-14</v>
      </c>
      <c r="O134" s="13">
        <f>N134*VLOOKUP('Données projet'!$B$9,Paramètres!$A$1:$I$89,3,0)*VLOOKUP('Données projet'!$B$9,Paramètres!$A$1:$I$89,5,0)</f>
        <v>4.5224624045658861E-14</v>
      </c>
      <c r="P134" s="13">
        <f t="shared" si="141"/>
        <v>7.4514601661523691E-13</v>
      </c>
      <c r="Q134" s="20">
        <f t="shared" si="108"/>
        <v>1.3765621991510601E-12</v>
      </c>
      <c r="R134" s="59">
        <f t="shared" si="109"/>
        <v>293.33333333333468</v>
      </c>
      <c r="S134" s="59">
        <f ca="1">AVERAGE(OFFSET($R$3,0,0,'Données projet'!$E$9+1,1))-AVERAGE(OFFSET($H$3,0,0,'Données projet'!$E$9+1,1))</f>
        <v>199.58763537752952</v>
      </c>
      <c r="T134" s="59">
        <f t="shared" si="142"/>
        <v>242.62852778451929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</v>
      </c>
      <c r="AA134" s="21">
        <f>EXP(-LN(2)/25)*AA133+(1-EXP(-LN(2)/25))/(LN(2)/25)*Calculateur!V134*Calculateur!X134*VLOOKUP('Données projet'!$B$9,Paramètres!$A$1:$I$89,3,0)*0.475*44/12</f>
        <v>0.62511174606859554</v>
      </c>
      <c r="AB134" s="21">
        <f>EXP(-LN(2)/2)*AB133+(1-EXP(-LN(2)/2))/(LN(2)/2)*V134*Y134*VLOOKUP('Données projet'!$B$9,Paramètres!$A$1:$I$89,3,0)*0.475*44/12</f>
        <v>6.7586566707520604E-15</v>
      </c>
      <c r="AC134" s="22">
        <f t="shared" si="111"/>
        <v>0.62511174606860231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566</v>
      </c>
      <c r="AJ134" s="13">
        <f>AI134*VLOOKUP('Données projet'!$B$10,Paramètres!$A$1:$I$89,3,0)*VLOOKUP('Données projet'!$B$10,Paramètres!$A$1:$I$89,5,0)</f>
        <v>338.46800000000002</v>
      </c>
      <c r="AK134" s="13">
        <f t="shared" si="143"/>
        <v>79.183342377469998</v>
      </c>
      <c r="AL134" s="20">
        <f t="shared" si="112"/>
        <v>727.4094213074269</v>
      </c>
      <c r="AM134" s="59">
        <f t="shared" si="113"/>
        <v>1020.7427546407603</v>
      </c>
      <c r="AN134" s="59">
        <f ca="1">AVERAGE(OFFSET($AM$3,0,0,'Données projet'!$E$10+1,1))-AVERAGE(OFFSET($H$3,0,0,'Données projet'!$E$10+1,1))</f>
        <v>287.78657453117694</v>
      </c>
      <c r="AO134" s="59">
        <f t="shared" si="144"/>
        <v>153.31562485362252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0.39606762820949687</v>
      </c>
      <c r="AV134" s="21">
        <f>EXP(-LN(2)/25)*AV133+(1-EXP(-LN(2)/25))/(LN(2)/25)*Calculateur!AQ134*Calculateur!AS134*VLOOKUP('Données projet'!$B$10,Paramètres!$A$1:$I$89,3,0)*0.475*44/12</f>
        <v>0.35449601835935307</v>
      </c>
      <c r="AW134" s="21">
        <f>EXP(-LN(2)/2)*AW133+(1-EXP(-LN(2)/2))/(LN(2)/2)*AQ134*AT134*VLOOKUP('Données projet'!$B$10,Paramètres!$A$1:$I$89,3,0)*0.475*44/12</f>
        <v>6.9737406190005845E-15</v>
      </c>
      <c r="AX134" s="21">
        <f t="shared" si="114"/>
        <v>0.75056364656885688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-6.7984728957526396E-14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250.93905519128998</v>
      </c>
      <c r="BJ134" s="59">
        <f t="shared" si="146"/>
        <v>222.32879462265032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0.17333931233500283</v>
      </c>
      <c r="BQ134" s="21">
        <f>EXP(-LN(2)/25)*BQ133+(1-EXP(-LN(2)/25))/(LN(2)/25)*Calculateur!BL134*Calculateur!BN134*VLOOKUP('Données projet'!$B$11,Paramètres!$A$1:$I$89,3,0)*0.475*44/12</f>
        <v>0.70363670813027013</v>
      </c>
      <c r="BR134" s="21">
        <f>EXP(-LN(2)/2)*BR133+(1-EXP(-LN(2)/2))/(LN(2)/2)*BL134*BO134*VLOOKUP('Données projet'!$B$11,Paramètres!$A$1:$I$89,3,0)*0.475*44/12</f>
        <v>1.1853435317462233E-15</v>
      </c>
      <c r="BS134" s="22">
        <f t="shared" si="117"/>
        <v>0.87697602046527423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-2.8421709430404007E-13</v>
      </c>
      <c r="BZ134" s="13">
        <f>BY134*VLOOKUP('Données projet'!$B$12,Paramètres!$A$1:$I$89,3,0)*VLOOKUP('Données projet'!$B$12,Paramètres!$A$1:$I$89,5,0)</f>
        <v>-1.69961822393816E-13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179.32848817523677</v>
      </c>
      <c r="CE134" s="59">
        <f t="shared" si="148"/>
        <v>131.3292389103035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0.80122928429625129</v>
      </c>
      <c r="CM134" s="21">
        <f>EXP(-LN(2)/2)*CM133+(1-EXP(-LN(2)/2))/(LN(2)/2)*CG134*CJ134*VLOOKUP('Données projet'!$B$12,Paramètres!$A$1:$I$89,3,0)*0.475*44/12</f>
        <v>3.3052766081003367E-15</v>
      </c>
      <c r="CN134" s="22">
        <f t="shared" si="120"/>
        <v>0.80122928429625462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7.2230769230769223</v>
      </c>
      <c r="CT134" s="12">
        <f>IF('Données projet'!$A$140&gt;35,CT133+CS134-DB133,IF(A134&lt;'Données projet'!$A$140,$CQ$205^A134,IF(A134='Données projet'!$A$140,'Données projet'!$B$140,CT133+CS134-DB133)))</f>
        <v>366.70384615384557</v>
      </c>
      <c r="CU134" s="17">
        <f>CT134*VLOOKUP('Données projet'!$B$13,Paramètres!$A$1:$I$89,3,0)*VLOOKUP('Données projet'!$B$13,Paramètres!$A$1:$I$89,5,0)</f>
        <v>331.79363999999947</v>
      </c>
      <c r="CV134" s="13">
        <f t="shared" si="149"/>
        <v>77.802057109037236</v>
      </c>
      <c r="CW134" s="20">
        <f t="shared" si="121"/>
        <v>713.37917246490554</v>
      </c>
      <c r="CX134" s="59">
        <f t="shared" si="122"/>
        <v>1006.7125057982389</v>
      </c>
      <c r="CY134" s="59">
        <f ca="1">AVERAGE(OFFSET($CX$3,0,0,'Données projet'!$E$13+1,1))-AVERAGE(OFFSET($H$3,0,0,'Données projet'!$E$13+1,1))</f>
        <v>309.07357540707869</v>
      </c>
      <c r="CZ134" s="59">
        <f t="shared" si="150"/>
        <v>155.9593924683299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227.99999999999986</v>
      </c>
      <c r="DP134" s="17">
        <f>DO134*VLOOKUP('Données projet'!$B$14,Paramètres!$A$1:$I$89,3,0)*VLOOKUP('Données projet'!$B$14,Paramètres!$A$1:$I$89,5,0)</f>
        <v>199.18079999999992</v>
      </c>
      <c r="DQ134" s="13">
        <f t="shared" si="151"/>
        <v>49.564089376413683</v>
      </c>
      <c r="DR134" s="20">
        <f t="shared" si="124"/>
        <v>433.23068233058694</v>
      </c>
      <c r="DS134" s="59">
        <f t="shared" si="125"/>
        <v>726.56401566392026</v>
      </c>
      <c r="DT134" s="59">
        <f ca="1">AVERAGE(OFFSET($DS$3,0,0,'Données projet'!$E$14+1,1))-AVERAGE(OFFSET($H$3,0,0,'Données projet'!$E$14+1,1))</f>
        <v>210.07838338464626</v>
      </c>
      <c r="DU134" s="59">
        <f t="shared" si="152"/>
        <v>241.76003724236273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0.71714530652108255</v>
      </c>
      <c r="EB134" s="21">
        <f>EXP(-LN(2)/25)*EB133+(1-EXP(-LN(2)/25))/(LN(2)/25)*Calculateur!DW134*Calculateur!DY134*VLOOKUP('Données projet'!$B$14,Paramètres!$A$1:$I$89,3,0)*0.475*44/12</f>
        <v>0.824319410044421</v>
      </c>
      <c r="EC134" s="21">
        <f>EXP(-LN(2)/2)*EC133+(1-EXP(-LN(2)/2))/(LN(2)/2)*DW134*DZ134*VLOOKUP('Données projet'!$B$14,Paramètres!$A$1:$I$89,3,0)*0.475*44/12</f>
        <v>1.0030645246447235E-14</v>
      </c>
      <c r="ED134" s="22">
        <f t="shared" si="126"/>
        <v>1.5414647165655135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6.2527760746888816E-13</v>
      </c>
      <c r="EK134" s="17">
        <f>EJ134*VLOOKUP('Données projet'!$B$15,Paramètres!$A$1:$I$89,3,0)*VLOOKUP('Données projet'!$B$15,Paramètres!$A$1:$I$89,5,0)</f>
        <v>3.9017322706058616E-13</v>
      </c>
      <c r="EL134" s="13">
        <f t="shared" si="153"/>
        <v>5.0025007393608908E-12</v>
      </c>
      <c r="EM134" s="20">
        <f t="shared" si="127"/>
        <v>9.3922404915174053E-12</v>
      </c>
      <c r="EN134" s="59">
        <f t="shared" si="128"/>
        <v>293.33333333334269</v>
      </c>
      <c r="EO134" s="59">
        <f ca="1">AVERAGE(OFFSET($EN$3,0,0,'Données projet'!$E$15+1,1))-AVERAGE(OFFSET($H$3,0,0,'Données projet'!$E$15+1,1))</f>
        <v>209.93608079129638</v>
      </c>
      <c r="EP134" s="59">
        <f t="shared" si="154"/>
        <v>240.15652428700969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0.94081812003104182</v>
      </c>
      <c r="EW134" s="21">
        <f>EXP(-LN(2)/25)*EW133+(1-EXP(-LN(2)/25))/(LN(2)/25)*Calculateur!ER134*Calculateur!ET134*VLOOKUP('Données projet'!$B$15,Paramètres!$A$1:$I$89,3,0)*0.475*44/12</f>
        <v>1.2637163754920404</v>
      </c>
      <c r="EX134" s="21">
        <f>EXP(-LN(2)/2)*EX133+(1-EXP(-LN(2)/2))/(LN(2)/2)*ER134*EU134*VLOOKUP('Données projet'!$B$15,Paramètres!$A$1:$I$89,3,0)*0.475*44/12</f>
        <v>1.2680578862823413E-14</v>
      </c>
      <c r="EY134" s="22">
        <f t="shared" si="129"/>
        <v>2.2045344955230952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5.6843418860808015E-14</v>
      </c>
      <c r="O135" s="13">
        <f>N135*VLOOKUP('Données projet'!$B$9,Paramètres!$A$1:$I$89,3,0)*VLOOKUP('Données projet'!$B$9,Paramètres!$A$1:$I$89,5,0)</f>
        <v>4.5224624045658861E-14</v>
      </c>
      <c r="P135" s="13">
        <f t="shared" si="141"/>
        <v>7.4514601661523691E-13</v>
      </c>
      <c r="Q135" s="20">
        <f t="shared" si="108"/>
        <v>1.3765621991510601E-12</v>
      </c>
      <c r="R135" s="59">
        <f t="shared" si="109"/>
        <v>293.33333333333468</v>
      </c>
      <c r="S135" s="59">
        <f ca="1">AVERAGE(OFFSET($R$3,0,0,'Données projet'!$E$9+1,1))-AVERAGE(OFFSET($H$3,0,0,'Données projet'!$E$9+1,1))</f>
        <v>199.58763537752952</v>
      </c>
      <c r="T135" s="59">
        <f t="shared" si="142"/>
        <v>242.62852778451929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</v>
      </c>
      <c r="AA135" s="21">
        <f>EXP(-LN(2)/25)*AA134+(1-EXP(-LN(2)/25))/(LN(2)/25)*Calculateur!V135*Calculateur!X135*VLOOKUP('Données projet'!$B$9,Paramètres!$A$1:$I$89,3,0)*0.475*44/12</f>
        <v>0.60801803249915176</v>
      </c>
      <c r="AB135" s="21">
        <f>EXP(-LN(2)/2)*AB134+(1-EXP(-LN(2)/2))/(LN(2)/2)*V135*Y135*VLOOKUP('Données projet'!$B$9,Paramètres!$A$1:$I$89,3,0)*0.475*44/12</f>
        <v>4.7790919636004769E-15</v>
      </c>
      <c r="AC135" s="22">
        <f t="shared" si="111"/>
        <v>0.60801803249915654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566</v>
      </c>
      <c r="AJ135" s="13">
        <f>AI135*VLOOKUP('Données projet'!$B$10,Paramètres!$A$1:$I$89,3,0)*VLOOKUP('Données projet'!$B$10,Paramètres!$A$1:$I$89,5,0)</f>
        <v>338.46800000000002</v>
      </c>
      <c r="AK135" s="13">
        <f t="shared" si="143"/>
        <v>79.183342377469998</v>
      </c>
      <c r="AL135" s="20">
        <f t="shared" si="112"/>
        <v>727.4094213074269</v>
      </c>
      <c r="AM135" s="59">
        <f t="shared" si="113"/>
        <v>1020.7427546407603</v>
      </c>
      <c r="AN135" s="59">
        <f ca="1">AVERAGE(OFFSET($AM$3,0,0,'Données projet'!$E$10+1,1))-AVERAGE(OFFSET($H$3,0,0,'Données projet'!$E$10+1,1))</f>
        <v>287.78657453117694</v>
      </c>
      <c r="AO135" s="59">
        <f t="shared" si="144"/>
        <v>153.31562485362252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0.38830098359770804</v>
      </c>
      <c r="AV135" s="21">
        <f>EXP(-LN(2)/25)*AV134+(1-EXP(-LN(2)/25))/(LN(2)/25)*Calculateur!AQ135*Calculateur!AS135*VLOOKUP('Données projet'!$B$10,Paramètres!$A$1:$I$89,3,0)*0.475*44/12</f>
        <v>0.34480230609518114</v>
      </c>
      <c r="AW135" s="21">
        <f>EXP(-LN(2)/2)*AW134+(1-EXP(-LN(2)/2))/(LN(2)/2)*AQ135*AT135*VLOOKUP('Données projet'!$B$10,Paramètres!$A$1:$I$89,3,0)*0.475*44/12</f>
        <v>4.9311792819313854E-15</v>
      </c>
      <c r="AX135" s="21">
        <f t="shared" si="114"/>
        <v>0.73310328969289407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-6.7984728957526396E-14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250.93905519128998</v>
      </c>
      <c r="BJ135" s="59">
        <f t="shared" si="146"/>
        <v>222.32879462265032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0.16994023414665432</v>
      </c>
      <c r="BQ135" s="21">
        <f>EXP(-LN(2)/25)*BQ134+(1-EXP(-LN(2)/25))/(LN(2)/25)*Calculateur!BL135*Calculateur!BN135*VLOOKUP('Données projet'!$B$11,Paramètres!$A$1:$I$89,3,0)*0.475*44/12</f>
        <v>0.68439572534380155</v>
      </c>
      <c r="BR135" s="21">
        <f>EXP(-LN(2)/2)*BR134+(1-EXP(-LN(2)/2))/(LN(2)/2)*BL135*BO135*VLOOKUP('Données projet'!$B$11,Paramètres!$A$1:$I$89,3,0)*0.475*44/12</f>
        <v>8.3816444933336617E-16</v>
      </c>
      <c r="BS135" s="22">
        <f t="shared" si="117"/>
        <v>0.85433595949045671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-2.8421709430404007E-13</v>
      </c>
      <c r="BZ135" s="13">
        <f>BY135*VLOOKUP('Données projet'!$B$12,Paramètres!$A$1:$I$89,3,0)*VLOOKUP('Données projet'!$B$12,Paramètres!$A$1:$I$89,5,0)</f>
        <v>-1.69961822393816E-13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179.32848817523677</v>
      </c>
      <c r="CE135" s="59">
        <f t="shared" si="148"/>
        <v>131.3292389103035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0.7793196273823535</v>
      </c>
      <c r="CM135" s="21">
        <f>EXP(-LN(2)/2)*CM134+(1-EXP(-LN(2)/2))/(LN(2)/2)*CG135*CJ135*VLOOKUP('Données projet'!$B$12,Paramètres!$A$1:$I$89,3,0)*0.475*44/12</f>
        <v>2.3371835032850188E-15</v>
      </c>
      <c r="CN135" s="22">
        <f t="shared" si="120"/>
        <v>0.77931962738235583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7.2230769230769223</v>
      </c>
      <c r="CT135" s="12">
        <f>IF('Données projet'!$A$140&gt;35,CT134+CS135-DB134,IF(A135&lt;'Données projet'!$A$140,$CQ$205^A135,IF(A135='Données projet'!$A$140,'Données projet'!$B$140,CT134+CS135-DB134)))</f>
        <v>373.92692307692249</v>
      </c>
      <c r="CU135" s="17">
        <f>CT135*VLOOKUP('Données projet'!$B$13,Paramètres!$A$1:$I$89,3,0)*VLOOKUP('Données projet'!$B$13,Paramètres!$A$1:$I$89,5,0)</f>
        <v>338.32907999999946</v>
      </c>
      <c r="CV135" s="13">
        <f t="shared" si="149"/>
        <v>79.154624848228366</v>
      </c>
      <c r="CW135" s="20">
        <f t="shared" si="121"/>
        <v>727.11745261066346</v>
      </c>
      <c r="CX135" s="59">
        <f t="shared" si="122"/>
        <v>1020.4507859439968</v>
      </c>
      <c r="CY135" s="59">
        <f ca="1">AVERAGE(OFFSET($CX$3,0,0,'Données projet'!$E$13+1,1))-AVERAGE(OFFSET($H$3,0,0,'Données projet'!$E$13+1,1))</f>
        <v>309.07357540707869</v>
      </c>
      <c r="CZ135" s="59">
        <f t="shared" si="150"/>
        <v>155.9593924683299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227.99999999999986</v>
      </c>
      <c r="DP135" s="17">
        <f>DO135*VLOOKUP('Données projet'!$B$14,Paramètres!$A$1:$I$89,3,0)*VLOOKUP('Données projet'!$B$14,Paramètres!$A$1:$I$89,5,0)</f>
        <v>199.18079999999992</v>
      </c>
      <c r="DQ135" s="13">
        <f t="shared" si="151"/>
        <v>49.564089376413683</v>
      </c>
      <c r="DR135" s="20">
        <f t="shared" si="124"/>
        <v>433.23068233058694</v>
      </c>
      <c r="DS135" s="59">
        <f t="shared" si="125"/>
        <v>726.56401566392026</v>
      </c>
      <c r="DT135" s="59">
        <f ca="1">AVERAGE(OFFSET($DS$3,0,0,'Données projet'!$E$14+1,1))-AVERAGE(OFFSET($H$3,0,0,'Données projet'!$E$14+1,1))</f>
        <v>210.07838338464626</v>
      </c>
      <c r="DU135" s="59">
        <f t="shared" si="152"/>
        <v>241.76003724236273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0.70308252447564989</v>
      </c>
      <c r="EB135" s="21">
        <f>EXP(-LN(2)/25)*EB134+(1-EXP(-LN(2)/25))/(LN(2)/25)*Calculateur!DW135*Calculateur!DY135*VLOOKUP('Données projet'!$B$14,Paramètres!$A$1:$I$89,3,0)*0.475*44/12</f>
        <v>0.80177835242768258</v>
      </c>
      <c r="EC135" s="21">
        <f>EXP(-LN(2)/2)*EC134+(1-EXP(-LN(2)/2))/(LN(2)/2)*DW135*DZ135*VLOOKUP('Données projet'!$B$14,Paramètres!$A$1:$I$89,3,0)*0.475*44/12</f>
        <v>7.0927372734394492E-15</v>
      </c>
      <c r="ED135" s="22">
        <f t="shared" si="126"/>
        <v>1.5048608769033396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6.2527760746888816E-13</v>
      </c>
      <c r="EK135" s="17">
        <f>EJ135*VLOOKUP('Données projet'!$B$15,Paramètres!$A$1:$I$89,3,0)*VLOOKUP('Données projet'!$B$15,Paramètres!$A$1:$I$89,5,0)</f>
        <v>3.9017322706058616E-13</v>
      </c>
      <c r="EL135" s="13">
        <f t="shared" si="153"/>
        <v>5.0025007393608908E-12</v>
      </c>
      <c r="EM135" s="20">
        <f t="shared" si="127"/>
        <v>9.3922404915174053E-12</v>
      </c>
      <c r="EN135" s="59">
        <f t="shared" si="128"/>
        <v>293.33333333334269</v>
      </c>
      <c r="EO135" s="59">
        <f ca="1">AVERAGE(OFFSET($EN$3,0,0,'Données projet'!$E$15+1,1))-AVERAGE(OFFSET($H$3,0,0,'Données projet'!$E$15+1,1))</f>
        <v>209.93608079129638</v>
      </c>
      <c r="EP135" s="59">
        <f t="shared" si="154"/>
        <v>240.15652428700969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0.92236925053962404</v>
      </c>
      <c r="EW135" s="21">
        <f>EXP(-LN(2)/25)*EW134+(1-EXP(-LN(2)/25))/(LN(2)/25)*Calculateur!ER135*Calculateur!ET135*VLOOKUP('Données projet'!$B$15,Paramètres!$A$1:$I$89,3,0)*0.475*44/12</f>
        <v>1.2291599847482546</v>
      </c>
      <c r="EX135" s="21">
        <f>EXP(-LN(2)/2)*EX134+(1-EXP(-LN(2)/2))/(LN(2)/2)*ER135*EU135*VLOOKUP('Données projet'!$B$15,Paramètres!$A$1:$I$89,3,0)*0.475*44/12</f>
        <v>8.9665233032732346E-15</v>
      </c>
      <c r="EY135" s="22">
        <f t="shared" si="129"/>
        <v>2.1515292352878874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5.6843418860808015E-14</v>
      </c>
      <c r="O136" s="13">
        <f>N136*VLOOKUP('Données projet'!$B$9,Paramètres!$A$1:$I$89,3,0)*VLOOKUP('Données projet'!$B$9,Paramètres!$A$1:$I$89,5,0)</f>
        <v>4.5224624045658861E-14</v>
      </c>
      <c r="P136" s="13">
        <f t="shared" si="141"/>
        <v>7.4514601661523691E-13</v>
      </c>
      <c r="Q136" s="20">
        <f t="shared" si="108"/>
        <v>1.3765621991510601E-12</v>
      </c>
      <c r="R136" s="59">
        <f t="shared" si="109"/>
        <v>293.33333333333468</v>
      </c>
      <c r="S136" s="59">
        <f ca="1">AVERAGE(OFFSET($R$3,0,0,'Données projet'!$E$9+1,1))-AVERAGE(OFFSET($H$3,0,0,'Données projet'!$E$9+1,1))</f>
        <v>199.58763537752952</v>
      </c>
      <c r="T136" s="59">
        <f t="shared" si="142"/>
        <v>242.62852778451929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</v>
      </c>
      <c r="AA136" s="21">
        <f>EXP(-LN(2)/25)*AA135+(1-EXP(-LN(2)/25))/(LN(2)/25)*Calculateur!V136*Calculateur!X136*VLOOKUP('Données projet'!$B$9,Paramètres!$A$1:$I$89,3,0)*0.475*44/12</f>
        <v>0.59139174742618372</v>
      </c>
      <c r="AB136" s="21">
        <f>EXP(-LN(2)/2)*AB135+(1-EXP(-LN(2)/2))/(LN(2)/2)*V136*Y136*VLOOKUP('Données projet'!$B$9,Paramètres!$A$1:$I$89,3,0)*0.475*44/12</f>
        <v>3.3793283353760302E-15</v>
      </c>
      <c r="AC136" s="22">
        <f t="shared" si="111"/>
        <v>0.59139174742618705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566</v>
      </c>
      <c r="AJ136" s="13">
        <f>AI136*VLOOKUP('Données projet'!$B$10,Paramètres!$A$1:$I$89,3,0)*VLOOKUP('Données projet'!$B$10,Paramètres!$A$1:$I$89,5,0)</f>
        <v>338.46800000000002</v>
      </c>
      <c r="AK136" s="13">
        <f t="shared" si="143"/>
        <v>79.183342377469998</v>
      </c>
      <c r="AL136" s="20">
        <f t="shared" si="112"/>
        <v>727.4094213074269</v>
      </c>
      <c r="AM136" s="59">
        <f t="shared" si="113"/>
        <v>1020.7427546407603</v>
      </c>
      <c r="AN136" s="59">
        <f ca="1">AVERAGE(OFFSET($AM$3,0,0,'Données projet'!$E$10+1,1))-AVERAGE(OFFSET($H$3,0,0,'Données projet'!$E$10+1,1))</f>
        <v>287.78657453117694</v>
      </c>
      <c r="AO136" s="59">
        <f t="shared" si="144"/>
        <v>153.31562485362252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0.38068663814957093</v>
      </c>
      <c r="AV136" s="21">
        <f>EXP(-LN(2)/25)*AV135+(1-EXP(-LN(2)/25))/(LN(2)/25)*Calculateur!AQ136*Calculateur!AS136*VLOOKUP('Données projet'!$B$10,Paramètres!$A$1:$I$89,3,0)*0.475*44/12</f>
        <v>0.3353736689026432</v>
      </c>
      <c r="AW136" s="21">
        <f>EXP(-LN(2)/2)*AW135+(1-EXP(-LN(2)/2))/(LN(2)/2)*AQ136*AT136*VLOOKUP('Données projet'!$B$10,Paramètres!$A$1:$I$89,3,0)*0.475*44/12</f>
        <v>3.486870309500293E-15</v>
      </c>
      <c r="AX136" s="21">
        <f t="shared" si="114"/>
        <v>0.71606030705221757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-6.7984728957526396E-14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250.93905519128998</v>
      </c>
      <c r="BJ136" s="59">
        <f t="shared" si="146"/>
        <v>222.32879462265032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0.16660780980834636</v>
      </c>
      <c r="BQ136" s="21">
        <f>EXP(-LN(2)/25)*BQ135+(1-EXP(-LN(2)/25))/(LN(2)/25)*Calculateur!BL136*Calculateur!BN136*VLOOKUP('Données projet'!$B$11,Paramètres!$A$1:$I$89,3,0)*0.475*44/12</f>
        <v>0.66568088824346827</v>
      </c>
      <c r="BR136" s="21">
        <f>EXP(-LN(2)/2)*BR135+(1-EXP(-LN(2)/2))/(LN(2)/2)*BL136*BO136*VLOOKUP('Données projet'!$B$11,Paramètres!$A$1:$I$89,3,0)*0.475*44/12</f>
        <v>5.9267176587311165E-16</v>
      </c>
      <c r="BS136" s="22">
        <f t="shared" si="117"/>
        <v>0.83228869805181516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-2.8421709430404007E-13</v>
      </c>
      <c r="BZ136" s="13">
        <f>BY136*VLOOKUP('Données projet'!$B$12,Paramètres!$A$1:$I$89,3,0)*VLOOKUP('Données projet'!$B$12,Paramètres!$A$1:$I$89,5,0)</f>
        <v>-1.69961822393816E-13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179.32848817523677</v>
      </c>
      <c r="CE136" s="59">
        <f t="shared" si="148"/>
        <v>131.3292389103035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0.75800909118894499</v>
      </c>
      <c r="CM136" s="21">
        <f>EXP(-LN(2)/2)*CM135+(1-EXP(-LN(2)/2))/(LN(2)/2)*CG136*CJ136*VLOOKUP('Données projet'!$B$12,Paramètres!$A$1:$I$89,3,0)*0.475*44/12</f>
        <v>1.6526383040501684E-15</v>
      </c>
      <c r="CN136" s="22">
        <f t="shared" si="120"/>
        <v>0.75800909118894666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7.2230769230769223</v>
      </c>
      <c r="CT136" s="12">
        <f>IF('Données projet'!$A$140&gt;35,CT135+CS136-DB135,IF(A136&lt;'Données projet'!$A$140,$CQ$205^A136,IF(A136='Données projet'!$A$140,'Données projet'!$B$140,CT135+CS136-DB135)))</f>
        <v>381.14999999999941</v>
      </c>
      <c r="CU136" s="17">
        <f>CT136*VLOOKUP('Données projet'!$B$13,Paramètres!$A$1:$I$89,3,0)*VLOOKUP('Données projet'!$B$13,Paramètres!$A$1:$I$89,5,0)</f>
        <v>344.86451999999946</v>
      </c>
      <c r="CV136" s="13">
        <f t="shared" si="149"/>
        <v>80.504154586493371</v>
      </c>
      <c r="CW136" s="20">
        <f t="shared" si="121"/>
        <v>740.85044157147502</v>
      </c>
      <c r="CX136" s="59">
        <f t="shared" si="122"/>
        <v>1034.1837749048084</v>
      </c>
      <c r="CY136" s="59">
        <f ca="1">AVERAGE(OFFSET($CX$3,0,0,'Données projet'!$E$13+1,1))-AVERAGE(OFFSET($H$3,0,0,'Données projet'!$E$13+1,1))</f>
        <v>309.07357540707869</v>
      </c>
      <c r="CZ136" s="59">
        <f t="shared" si="150"/>
        <v>155.9593924683299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227.99999999999986</v>
      </c>
      <c r="DP136" s="17">
        <f>DO136*VLOOKUP('Données projet'!$B$14,Paramètres!$A$1:$I$89,3,0)*VLOOKUP('Données projet'!$B$14,Paramètres!$A$1:$I$89,5,0)</f>
        <v>199.18079999999992</v>
      </c>
      <c r="DQ136" s="13">
        <f t="shared" si="151"/>
        <v>49.564089376413683</v>
      </c>
      <c r="DR136" s="20">
        <f t="shared" si="124"/>
        <v>433.23068233058694</v>
      </c>
      <c r="DS136" s="59">
        <f t="shared" si="125"/>
        <v>726.56401566392026</v>
      </c>
      <c r="DT136" s="59">
        <f ca="1">AVERAGE(OFFSET($DS$3,0,0,'Données projet'!$E$14+1,1))-AVERAGE(OFFSET($H$3,0,0,'Données projet'!$E$14+1,1))</f>
        <v>210.07838338464626</v>
      </c>
      <c r="DU136" s="59">
        <f t="shared" si="152"/>
        <v>241.76003724236273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0.68929550500867809</v>
      </c>
      <c r="EB136" s="21">
        <f>EXP(-LN(2)/25)*EB135+(1-EXP(-LN(2)/25))/(LN(2)/25)*Calculateur!DW136*Calculateur!DY136*VLOOKUP('Données projet'!$B$14,Paramètres!$A$1:$I$89,3,0)*0.475*44/12</f>
        <v>0.7798536812168565</v>
      </c>
      <c r="EC136" s="21">
        <f>EXP(-LN(2)/2)*EC135+(1-EXP(-LN(2)/2))/(LN(2)/2)*DW136*DZ136*VLOOKUP('Données projet'!$B$14,Paramètres!$A$1:$I$89,3,0)*0.475*44/12</f>
        <v>5.0153226232236185E-15</v>
      </c>
      <c r="ED136" s="22">
        <f t="shared" si="126"/>
        <v>1.4691491862255397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6.2527760746888816E-13</v>
      </c>
      <c r="EK136" s="17">
        <f>EJ136*VLOOKUP('Données projet'!$B$15,Paramètres!$A$1:$I$89,3,0)*VLOOKUP('Données projet'!$B$15,Paramètres!$A$1:$I$89,5,0)</f>
        <v>3.9017322706058616E-13</v>
      </c>
      <c r="EL136" s="13">
        <f t="shared" si="153"/>
        <v>5.0025007393608908E-12</v>
      </c>
      <c r="EM136" s="20">
        <f t="shared" si="127"/>
        <v>9.3922404915174053E-12</v>
      </c>
      <c r="EN136" s="59">
        <f t="shared" si="128"/>
        <v>293.33333333334269</v>
      </c>
      <c r="EO136" s="59">
        <f ca="1">AVERAGE(OFFSET($EN$3,0,0,'Données projet'!$E$15+1,1))-AVERAGE(OFFSET($H$3,0,0,'Données projet'!$E$15+1,1))</f>
        <v>209.93608079129638</v>
      </c>
      <c r="EP136" s="59">
        <f t="shared" si="154"/>
        <v>240.15652428700969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0.90428215212623375</v>
      </c>
      <c r="EW136" s="21">
        <f>EXP(-LN(2)/25)*EW135+(1-EXP(-LN(2)/25))/(LN(2)/25)*Calculateur!ER136*Calculateur!ET136*VLOOKUP('Données projet'!$B$15,Paramètres!$A$1:$I$89,3,0)*0.475*44/12</f>
        <v>1.1955485403265993</v>
      </c>
      <c r="EX136" s="21">
        <f>EXP(-LN(2)/2)*EX135+(1-EXP(-LN(2)/2))/(LN(2)/2)*ER136*EU136*VLOOKUP('Données projet'!$B$15,Paramètres!$A$1:$I$89,3,0)*0.475*44/12</f>
        <v>6.3402894314117065E-15</v>
      </c>
      <c r="EY136" s="22">
        <f t="shared" si="129"/>
        <v>2.0998306924528394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5.6843418860808015E-14</v>
      </c>
      <c r="O137" s="13">
        <f>N137*VLOOKUP('Données projet'!$B$9,Paramètres!$A$1:$I$89,3,0)*VLOOKUP('Données projet'!$B$9,Paramètres!$A$1:$I$89,5,0)</f>
        <v>4.5224624045658861E-14</v>
      </c>
      <c r="P137" s="13">
        <f t="shared" si="141"/>
        <v>7.4514601661523691E-13</v>
      </c>
      <c r="Q137" s="20">
        <f t="shared" si="108"/>
        <v>1.3765621991510601E-12</v>
      </c>
      <c r="R137" s="59">
        <f t="shared" si="109"/>
        <v>293.33333333333468</v>
      </c>
      <c r="S137" s="59">
        <f ca="1">AVERAGE(OFFSET($R$3,0,0,'Données projet'!$E$9+1,1))-AVERAGE(OFFSET($H$3,0,0,'Données projet'!$E$9+1,1))</f>
        <v>199.58763537752952</v>
      </c>
      <c r="T137" s="59">
        <f t="shared" si="142"/>
        <v>242.62852778451929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</v>
      </c>
      <c r="AA137" s="21">
        <f>EXP(-LN(2)/25)*AA136+(1-EXP(-LN(2)/25))/(LN(2)/25)*Calculateur!V137*Calculateur!X137*VLOOKUP('Données projet'!$B$9,Paramètres!$A$1:$I$89,3,0)*0.475*44/12</f>
        <v>0.57522010899287435</v>
      </c>
      <c r="AB137" s="21">
        <f>EXP(-LN(2)/2)*AB136+(1-EXP(-LN(2)/2))/(LN(2)/2)*V137*Y137*VLOOKUP('Données projet'!$B$9,Paramètres!$A$1:$I$89,3,0)*0.475*44/12</f>
        <v>2.3895459818002384E-15</v>
      </c>
      <c r="AC137" s="22">
        <f t="shared" si="111"/>
        <v>0.57522010899287679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566</v>
      </c>
      <c r="AJ137" s="13">
        <f>AI137*VLOOKUP('Données projet'!$B$10,Paramètres!$A$1:$I$89,3,0)*VLOOKUP('Données projet'!$B$10,Paramètres!$A$1:$I$89,5,0)</f>
        <v>338.46800000000002</v>
      </c>
      <c r="AK137" s="13">
        <f t="shared" si="143"/>
        <v>79.183342377469998</v>
      </c>
      <c r="AL137" s="20">
        <f t="shared" si="112"/>
        <v>727.4094213074269</v>
      </c>
      <c r="AM137" s="59">
        <f t="shared" si="113"/>
        <v>1020.7427546407603</v>
      </c>
      <c r="AN137" s="59">
        <f ca="1">AVERAGE(OFFSET($AM$3,0,0,'Données projet'!$E$10+1,1))-AVERAGE(OFFSET($H$3,0,0,'Données projet'!$E$10+1,1))</f>
        <v>287.78657453117694</v>
      </c>
      <c r="AO137" s="59">
        <f t="shared" si="144"/>
        <v>153.31562485362252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0.37322160537137966</v>
      </c>
      <c r="AV137" s="21">
        <f>EXP(-LN(2)/25)*AV136+(1-EXP(-LN(2)/25))/(LN(2)/25)*Calculateur!AQ137*Calculateur!AS137*VLOOKUP('Données projet'!$B$10,Paramètres!$A$1:$I$89,3,0)*0.475*44/12</f>
        <v>0.3262028582899657</v>
      </c>
      <c r="AW137" s="21">
        <f>EXP(-LN(2)/2)*AW136+(1-EXP(-LN(2)/2))/(LN(2)/2)*AQ137*AT137*VLOOKUP('Données projet'!$B$10,Paramètres!$A$1:$I$89,3,0)*0.475*44/12</f>
        <v>2.4655896409656931E-15</v>
      </c>
      <c r="AX137" s="21">
        <f t="shared" si="114"/>
        <v>0.69942446366134781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-6.7984728957526396E-14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250.93905519128998</v>
      </c>
      <c r="BJ137" s="59">
        <f t="shared" si="146"/>
        <v>222.32879462265032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0.16334073227873447</v>
      </c>
      <c r="BQ137" s="21">
        <f>EXP(-LN(2)/25)*BQ136+(1-EXP(-LN(2)/25))/(LN(2)/25)*Calculateur!BL137*Calculateur!BN137*VLOOKUP('Données projet'!$B$11,Paramètres!$A$1:$I$89,3,0)*0.475*44/12</f>
        <v>0.64747780934781418</v>
      </c>
      <c r="BR137" s="21">
        <f>EXP(-LN(2)/2)*BR136+(1-EXP(-LN(2)/2))/(LN(2)/2)*BL137*BO137*VLOOKUP('Données projet'!$B$11,Paramètres!$A$1:$I$89,3,0)*0.475*44/12</f>
        <v>4.1908222466668309E-16</v>
      </c>
      <c r="BS137" s="22">
        <f t="shared" si="117"/>
        <v>0.81081854162654909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-2.8421709430404007E-13</v>
      </c>
      <c r="BZ137" s="13">
        <f>BY137*VLOOKUP('Données projet'!$B$12,Paramètres!$A$1:$I$89,3,0)*VLOOKUP('Données projet'!$B$12,Paramètres!$A$1:$I$89,5,0)</f>
        <v>-1.69961822393816E-13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179.32848817523677</v>
      </c>
      <c r="CE137" s="59">
        <f t="shared" si="148"/>
        <v>131.3292389103035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0.73728129272841769</v>
      </c>
      <c r="CM137" s="21">
        <f>EXP(-LN(2)/2)*CM136+(1-EXP(-LN(2)/2))/(LN(2)/2)*CG137*CJ137*VLOOKUP('Données projet'!$B$12,Paramètres!$A$1:$I$89,3,0)*0.475*44/12</f>
        <v>1.1685917516425094E-15</v>
      </c>
      <c r="CN137" s="22">
        <f t="shared" si="120"/>
        <v>0.73728129272841891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7.2230769230769223</v>
      </c>
      <c r="CT137" s="12">
        <f>IF('Données projet'!$A$140&gt;35,CT136+CS137-DB136,IF(A137&lt;'Données projet'!$A$140,$CQ$205^A137,IF(A137='Données projet'!$A$140,'Données projet'!$B$140,CT136+CS137-DB136)))</f>
        <v>388.37307692307633</v>
      </c>
      <c r="CU137" s="17">
        <f>CT137*VLOOKUP('Données projet'!$B$13,Paramètres!$A$1:$I$89,3,0)*VLOOKUP('Données projet'!$B$13,Paramètres!$A$1:$I$89,5,0)</f>
        <v>351.39995999999945</v>
      </c>
      <c r="CV137" s="13">
        <f t="shared" si="149"/>
        <v>81.85071053455772</v>
      </c>
      <c r="CW137" s="20">
        <f t="shared" si="121"/>
        <v>754.57825118102039</v>
      </c>
      <c r="CX137" s="59">
        <f t="shared" si="122"/>
        <v>1047.9115845143538</v>
      </c>
      <c r="CY137" s="59">
        <f ca="1">AVERAGE(OFFSET($CX$3,0,0,'Données projet'!$E$13+1,1))-AVERAGE(OFFSET($H$3,0,0,'Données projet'!$E$13+1,1))</f>
        <v>309.07357540707869</v>
      </c>
      <c r="CZ137" s="59">
        <f t="shared" si="150"/>
        <v>155.9593924683299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227.99999999999986</v>
      </c>
      <c r="DP137" s="17">
        <f>DO137*VLOOKUP('Données projet'!$B$14,Paramètres!$A$1:$I$89,3,0)*VLOOKUP('Données projet'!$B$14,Paramètres!$A$1:$I$89,5,0)</f>
        <v>199.18079999999992</v>
      </c>
      <c r="DQ137" s="13">
        <f t="shared" si="151"/>
        <v>49.564089376413683</v>
      </c>
      <c r="DR137" s="20">
        <f t="shared" si="124"/>
        <v>433.23068233058694</v>
      </c>
      <c r="DS137" s="59">
        <f t="shared" si="125"/>
        <v>726.56401566392026</v>
      </c>
      <c r="DT137" s="59">
        <f ca="1">AVERAGE(OFFSET($DS$3,0,0,'Données projet'!$E$14+1,1))-AVERAGE(OFFSET($H$3,0,0,'Données projet'!$E$14+1,1))</f>
        <v>210.07838338464626</v>
      </c>
      <c r="DU137" s="59">
        <f t="shared" si="152"/>
        <v>241.76003724236273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0.67577884058420212</v>
      </c>
      <c r="EB137" s="21">
        <f>EXP(-LN(2)/25)*EB136+(1-EXP(-LN(2)/25))/(LN(2)/25)*Calculateur!DW137*Calculateur!DY137*VLOOKUP('Données projet'!$B$14,Paramètres!$A$1:$I$89,3,0)*0.475*44/12</f>
        <v>0.75852854129325886</v>
      </c>
      <c r="EC137" s="21">
        <f>EXP(-LN(2)/2)*EC136+(1-EXP(-LN(2)/2))/(LN(2)/2)*DW137*DZ137*VLOOKUP('Données projet'!$B$14,Paramètres!$A$1:$I$89,3,0)*0.475*44/12</f>
        <v>3.546368636719725E-15</v>
      </c>
      <c r="ED137" s="22">
        <f t="shared" si="126"/>
        <v>1.4343073818774645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6.2527760746888816E-13</v>
      </c>
      <c r="EK137" s="17">
        <f>EJ137*VLOOKUP('Données projet'!$B$15,Paramètres!$A$1:$I$89,3,0)*VLOOKUP('Données projet'!$B$15,Paramètres!$A$1:$I$89,5,0)</f>
        <v>3.9017322706058616E-13</v>
      </c>
      <c r="EL137" s="13">
        <f t="shared" si="153"/>
        <v>5.0025007393608908E-12</v>
      </c>
      <c r="EM137" s="20">
        <f t="shared" si="127"/>
        <v>9.3922404915174053E-12</v>
      </c>
      <c r="EN137" s="59">
        <f t="shared" si="128"/>
        <v>293.33333333334269</v>
      </c>
      <c r="EO137" s="59">
        <f ca="1">AVERAGE(OFFSET($EN$3,0,0,'Données projet'!$E$15+1,1))-AVERAGE(OFFSET($H$3,0,0,'Données projet'!$E$15+1,1))</f>
        <v>209.93608079129638</v>
      </c>
      <c r="EP137" s="59">
        <f t="shared" si="154"/>
        <v>240.15652428700969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0.88654973068068932</v>
      </c>
      <c r="EW137" s="21">
        <f>EXP(-LN(2)/25)*EW136+(1-EXP(-LN(2)/25))/(LN(2)/25)*Calculateur!ER137*Calculateur!ET137*VLOOKUP('Données projet'!$B$15,Paramètres!$A$1:$I$89,3,0)*0.475*44/12</f>
        <v>1.1628562026202032</v>
      </c>
      <c r="EX137" s="21">
        <f>EXP(-LN(2)/2)*EX136+(1-EXP(-LN(2)/2))/(LN(2)/2)*ER137*EU137*VLOOKUP('Données projet'!$B$15,Paramètres!$A$1:$I$89,3,0)*0.475*44/12</f>
        <v>4.4832616516366173E-15</v>
      </c>
      <c r="EY137" s="22">
        <f t="shared" si="129"/>
        <v>2.0494059333008972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5.6843418860808015E-14</v>
      </c>
      <c r="O138" s="13">
        <f>N138*VLOOKUP('Données projet'!$B$9,Paramètres!$A$1:$I$89,3,0)*VLOOKUP('Données projet'!$B$9,Paramètres!$A$1:$I$89,5,0)</f>
        <v>4.5224624045658861E-14</v>
      </c>
      <c r="P138" s="13">
        <f t="shared" si="141"/>
        <v>7.4514601661523691E-13</v>
      </c>
      <c r="Q138" s="20">
        <f t="shared" si="108"/>
        <v>1.3765621991510601E-12</v>
      </c>
      <c r="R138" s="59">
        <f t="shared" si="109"/>
        <v>293.33333333333468</v>
      </c>
      <c r="S138" s="59">
        <f ca="1">AVERAGE(OFFSET($R$3,0,0,'Données projet'!$E$9+1,1))-AVERAGE(OFFSET($H$3,0,0,'Données projet'!$E$9+1,1))</f>
        <v>199.58763537752952</v>
      </c>
      <c r="T138" s="59">
        <f t="shared" si="142"/>
        <v>242.62852778451929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</v>
      </c>
      <c r="AA138" s="21">
        <f>EXP(-LN(2)/25)*AA137+(1-EXP(-LN(2)/25))/(LN(2)/25)*Calculateur!V138*Calculateur!X138*VLOOKUP('Données projet'!$B$9,Paramètres!$A$1:$I$89,3,0)*0.475*44/12</f>
        <v>0.55949068486295339</v>
      </c>
      <c r="AB138" s="21">
        <f>EXP(-LN(2)/2)*AB137+(1-EXP(-LN(2)/2))/(LN(2)/2)*V138*Y138*VLOOKUP('Données projet'!$B$9,Paramètres!$A$1:$I$89,3,0)*0.475*44/12</f>
        <v>1.6896641676880151E-15</v>
      </c>
      <c r="AC138" s="22">
        <f t="shared" si="111"/>
        <v>0.55949068486295506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566</v>
      </c>
      <c r="AJ138" s="13">
        <f>AI138*VLOOKUP('Données projet'!$B$10,Paramètres!$A$1:$I$89,3,0)*VLOOKUP('Données projet'!$B$10,Paramètres!$A$1:$I$89,5,0)</f>
        <v>338.46800000000002</v>
      </c>
      <c r="AK138" s="13">
        <f t="shared" si="143"/>
        <v>79.183342377469998</v>
      </c>
      <c r="AL138" s="20">
        <f t="shared" si="112"/>
        <v>727.4094213074269</v>
      </c>
      <c r="AM138" s="59">
        <f t="shared" si="113"/>
        <v>1020.7427546407603</v>
      </c>
      <c r="AN138" s="59">
        <f ca="1">AVERAGE(OFFSET($AM$3,0,0,'Données projet'!$E$10+1,1))-AVERAGE(OFFSET($H$3,0,0,'Données projet'!$E$10+1,1))</f>
        <v>287.78657453117694</v>
      </c>
      <c r="AO138" s="59">
        <f t="shared" si="144"/>
        <v>153.31562485362252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0.36590295733274836</v>
      </c>
      <c r="AV138" s="21">
        <f>EXP(-LN(2)/25)*AV137+(1-EXP(-LN(2)/25))/(LN(2)/25)*Calculateur!AQ138*Calculateur!AS138*VLOOKUP('Données projet'!$B$10,Paramètres!$A$1:$I$89,3,0)*0.475*44/12</f>
        <v>0.31728282397576379</v>
      </c>
      <c r="AW138" s="21">
        <f>EXP(-LN(2)/2)*AW137+(1-EXP(-LN(2)/2))/(LN(2)/2)*AQ138*AT138*VLOOKUP('Données projet'!$B$10,Paramètres!$A$1:$I$89,3,0)*0.475*44/12</f>
        <v>1.7434351547501467E-15</v>
      </c>
      <c r="AX138" s="21">
        <f t="shared" si="114"/>
        <v>0.68318578130851393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-6.7984728957526396E-14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250.93905519128998</v>
      </c>
      <c r="BJ138" s="59">
        <f t="shared" si="146"/>
        <v>222.32879462265032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0.16013772014675773</v>
      </c>
      <c r="BQ138" s="21">
        <f>EXP(-LN(2)/25)*BQ137+(1-EXP(-LN(2)/25))/(LN(2)/25)*Calculateur!BL138*Calculateur!BN138*VLOOKUP('Données projet'!$B$11,Paramètres!$A$1:$I$89,3,0)*0.475*44/12</f>
        <v>0.62977249460182005</v>
      </c>
      <c r="BR138" s="21">
        <f>EXP(-LN(2)/2)*BR137+(1-EXP(-LN(2)/2))/(LN(2)/2)*BL138*BO138*VLOOKUP('Données projet'!$B$11,Paramètres!$A$1:$I$89,3,0)*0.475*44/12</f>
        <v>2.9633588293655582E-16</v>
      </c>
      <c r="BS138" s="22">
        <f t="shared" si="117"/>
        <v>0.78991021474857814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-2.8421709430404007E-13</v>
      </c>
      <c r="BZ138" s="13">
        <f>BY138*VLOOKUP('Données projet'!$B$12,Paramètres!$A$1:$I$89,3,0)*VLOOKUP('Données projet'!$B$12,Paramètres!$A$1:$I$89,5,0)</f>
        <v>-1.69961822393816E-13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179.32848817523677</v>
      </c>
      <c r="CE138" s="59">
        <f t="shared" si="148"/>
        <v>131.3292389103035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0.71712029700682101</v>
      </c>
      <c r="CM138" s="21">
        <f>EXP(-LN(2)/2)*CM137+(1-EXP(-LN(2)/2))/(LN(2)/2)*CG138*CJ138*VLOOKUP('Données projet'!$B$12,Paramètres!$A$1:$I$89,3,0)*0.475*44/12</f>
        <v>8.2631915202508418E-16</v>
      </c>
      <c r="CN138" s="22">
        <f t="shared" si="120"/>
        <v>0.71712029700682178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7.2230769230769223</v>
      </c>
      <c r="CT138" s="12">
        <f>IF('Données projet'!$A$140&gt;35,CT137+CS138-DB137,IF(A138&lt;'Données projet'!$A$140,$CQ$205^A138,IF(A138='Données projet'!$A$140,'Données projet'!$B$140,CT137+CS138-DB137)))</f>
        <v>395.59615384615324</v>
      </c>
      <c r="CU138" s="17">
        <f>CT138*VLOOKUP('Données projet'!$B$13,Paramètres!$A$1:$I$89,3,0)*VLOOKUP('Données projet'!$B$13,Paramètres!$A$1:$I$89,5,0)</f>
        <v>357.93539999999945</v>
      </c>
      <c r="CV138" s="13">
        <f t="shared" si="149"/>
        <v>83.194354378018602</v>
      </c>
      <c r="CW138" s="20">
        <f t="shared" si="121"/>
        <v>768.30098887504801</v>
      </c>
      <c r="CX138" s="59">
        <f t="shared" si="122"/>
        <v>1061.6343222083813</v>
      </c>
      <c r="CY138" s="59">
        <f ca="1">AVERAGE(OFFSET($CX$3,0,0,'Données projet'!$E$13+1,1))-AVERAGE(OFFSET($H$3,0,0,'Données projet'!$E$13+1,1))</f>
        <v>309.07357540707869</v>
      </c>
      <c r="CZ138" s="59">
        <f t="shared" si="150"/>
        <v>155.9593924683299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227.99999999999986</v>
      </c>
      <c r="DP138" s="17">
        <f>DO138*VLOOKUP('Données projet'!$B$14,Paramètres!$A$1:$I$89,3,0)*VLOOKUP('Données projet'!$B$14,Paramètres!$A$1:$I$89,5,0)</f>
        <v>199.18079999999992</v>
      </c>
      <c r="DQ138" s="13">
        <f t="shared" si="151"/>
        <v>49.564089376413683</v>
      </c>
      <c r="DR138" s="20">
        <f t="shared" si="124"/>
        <v>433.23068233058694</v>
      </c>
      <c r="DS138" s="59">
        <f t="shared" si="125"/>
        <v>726.56401566392026</v>
      </c>
      <c r="DT138" s="59">
        <f ca="1">AVERAGE(OFFSET($DS$3,0,0,'Données projet'!$E$14+1,1))-AVERAGE(OFFSET($H$3,0,0,'Données projet'!$E$14+1,1))</f>
        <v>210.07838338464626</v>
      </c>
      <c r="DU138" s="59">
        <f t="shared" si="152"/>
        <v>241.76003724236273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0.66252722970473887</v>
      </c>
      <c r="EB138" s="21">
        <f>EXP(-LN(2)/25)*EB137+(1-EXP(-LN(2)/25))/(LN(2)/25)*Calculateur!DW138*Calculateur!DY138*VLOOKUP('Données projet'!$B$14,Paramètres!$A$1:$I$89,3,0)*0.475*44/12</f>
        <v>0.73778653844231235</v>
      </c>
      <c r="EC138" s="21">
        <f>EXP(-LN(2)/2)*EC137+(1-EXP(-LN(2)/2))/(LN(2)/2)*DW138*DZ138*VLOOKUP('Données projet'!$B$14,Paramètres!$A$1:$I$89,3,0)*0.475*44/12</f>
        <v>2.5076613116118096E-15</v>
      </c>
      <c r="ED138" s="22">
        <f t="shared" si="126"/>
        <v>1.4003137681470537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6.2527760746888816E-13</v>
      </c>
      <c r="EK138" s="17">
        <f>EJ138*VLOOKUP('Données projet'!$B$15,Paramètres!$A$1:$I$89,3,0)*VLOOKUP('Données projet'!$B$15,Paramètres!$A$1:$I$89,5,0)</f>
        <v>3.9017322706058616E-13</v>
      </c>
      <c r="EL138" s="13">
        <f t="shared" si="153"/>
        <v>5.0025007393608908E-12</v>
      </c>
      <c r="EM138" s="20">
        <f t="shared" si="127"/>
        <v>9.3922404915174053E-12</v>
      </c>
      <c r="EN138" s="59">
        <f t="shared" si="128"/>
        <v>293.33333333334269</v>
      </c>
      <c r="EO138" s="59">
        <f ca="1">AVERAGE(OFFSET($EN$3,0,0,'Données projet'!$E$15+1,1))-AVERAGE(OFFSET($H$3,0,0,'Données projet'!$E$15+1,1))</f>
        <v>209.93608079129638</v>
      </c>
      <c r="EP138" s="59">
        <f t="shared" si="154"/>
        <v>240.15652428700969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0.86916503120398292</v>
      </c>
      <c r="EW138" s="21">
        <f>EXP(-LN(2)/25)*EW137+(1-EXP(-LN(2)/25))/(LN(2)/25)*Calculateur!ER138*Calculateur!ET138*VLOOKUP('Données projet'!$B$15,Paramètres!$A$1:$I$89,3,0)*0.475*44/12</f>
        <v>1.1310578386076038</v>
      </c>
      <c r="EX138" s="21">
        <f>EXP(-LN(2)/2)*EX137+(1-EXP(-LN(2)/2))/(LN(2)/2)*ER138*EU138*VLOOKUP('Données projet'!$B$15,Paramètres!$A$1:$I$89,3,0)*0.475*44/12</f>
        <v>3.1701447157058532E-15</v>
      </c>
      <c r="EY138" s="22">
        <f t="shared" si="129"/>
        <v>2.0002228698115898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5.6843418860808015E-14</v>
      </c>
      <c r="O139" s="13">
        <f>N139*VLOOKUP('Données projet'!$B$9,Paramètres!$A$1:$I$89,3,0)*VLOOKUP('Données projet'!$B$9,Paramètres!$A$1:$I$89,5,0)</f>
        <v>4.5224624045658861E-14</v>
      </c>
      <c r="P139" s="13">
        <f t="shared" si="141"/>
        <v>7.4514601661523691E-13</v>
      </c>
      <c r="Q139" s="20">
        <f t="shared" si="108"/>
        <v>1.3765621991510601E-12</v>
      </c>
      <c r="R139" s="59">
        <f t="shared" si="109"/>
        <v>293.33333333333468</v>
      </c>
      <c r="S139" s="59">
        <f ca="1">AVERAGE(OFFSET($R$3,0,0,'Données projet'!$E$9+1,1))-AVERAGE(OFFSET($H$3,0,0,'Données projet'!$E$9+1,1))</f>
        <v>199.58763537752952</v>
      </c>
      <c r="T139" s="59">
        <f t="shared" si="142"/>
        <v>242.62852778451929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</v>
      </c>
      <c r="AA139" s="21">
        <f>EXP(-LN(2)/25)*AA138+(1-EXP(-LN(2)/25))/(LN(2)/25)*Calculateur!V139*Calculateur!X139*VLOOKUP('Données projet'!$B$9,Paramètres!$A$1:$I$89,3,0)*0.475*44/12</f>
        <v>0.54419138266303957</v>
      </c>
      <c r="AB139" s="21">
        <f>EXP(-LN(2)/2)*AB138+(1-EXP(-LN(2)/2))/(LN(2)/2)*V139*Y139*VLOOKUP('Données projet'!$B$9,Paramètres!$A$1:$I$89,3,0)*0.475*44/12</f>
        <v>1.1947729909001192E-15</v>
      </c>
      <c r="AC139" s="22">
        <f t="shared" si="111"/>
        <v>0.54419138266304079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566</v>
      </c>
      <c r="AJ139" s="13">
        <f>AI139*VLOOKUP('Données projet'!$B$10,Paramètres!$A$1:$I$89,3,0)*VLOOKUP('Données projet'!$B$10,Paramètres!$A$1:$I$89,5,0)</f>
        <v>338.46800000000002</v>
      </c>
      <c r="AK139" s="13">
        <f t="shared" si="143"/>
        <v>79.183342377469998</v>
      </c>
      <c r="AL139" s="20">
        <f t="shared" si="112"/>
        <v>727.4094213074269</v>
      </c>
      <c r="AM139" s="59">
        <f t="shared" si="113"/>
        <v>1020.7427546407603</v>
      </c>
      <c r="AN139" s="59">
        <f ca="1">AVERAGE(OFFSET($AM$3,0,0,'Données projet'!$E$10+1,1))-AVERAGE(OFFSET($H$3,0,0,'Données projet'!$E$10+1,1))</f>
        <v>287.78657453117694</v>
      </c>
      <c r="AO139" s="59">
        <f t="shared" si="144"/>
        <v>153.31562485362252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0.35872782351822008</v>
      </c>
      <c r="AV139" s="21">
        <f>EXP(-LN(2)/25)*AV138+(1-EXP(-LN(2)/25))/(LN(2)/25)*Calculateur!AQ139*Calculateur!AS139*VLOOKUP('Données projet'!$B$10,Paramètres!$A$1:$I$89,3,0)*0.475*44/12</f>
        <v>0.30860670846896798</v>
      </c>
      <c r="AW139" s="21">
        <f>EXP(-LN(2)/2)*AW138+(1-EXP(-LN(2)/2))/(LN(2)/2)*AQ139*AT139*VLOOKUP('Données projet'!$B$10,Paramètres!$A$1:$I$89,3,0)*0.475*44/12</f>
        <v>1.2327948204828468E-15</v>
      </c>
      <c r="AX139" s="21">
        <f t="shared" si="114"/>
        <v>0.66733453198718928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-6.7984728957526396E-14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250.93905519128998</v>
      </c>
      <c r="BJ139" s="59">
        <f t="shared" si="146"/>
        <v>222.32879462265032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0.15699751712904456</v>
      </c>
      <c r="BQ139" s="21">
        <f>EXP(-LN(2)/25)*BQ138+(1-EXP(-LN(2)/25))/(LN(2)/25)*Calculateur!BL139*Calculateur!BN139*VLOOKUP('Données projet'!$B$11,Paramètres!$A$1:$I$89,3,0)*0.475*44/12</f>
        <v>0.61255133261863715</v>
      </c>
      <c r="BR139" s="21">
        <f>EXP(-LN(2)/2)*BR138+(1-EXP(-LN(2)/2))/(LN(2)/2)*BL139*BO139*VLOOKUP('Données projet'!$B$11,Paramètres!$A$1:$I$89,3,0)*0.475*44/12</f>
        <v>2.0954111233334154E-16</v>
      </c>
      <c r="BS139" s="22">
        <f t="shared" si="117"/>
        <v>0.7695488497476819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-2.8421709430404007E-13</v>
      </c>
      <c r="BZ139" s="13">
        <f>BY139*VLOOKUP('Données projet'!$B$12,Paramètres!$A$1:$I$89,3,0)*VLOOKUP('Données projet'!$B$12,Paramètres!$A$1:$I$89,5,0)</f>
        <v>-1.69961822393816E-13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179.32848817523677</v>
      </c>
      <c r="CE139" s="59">
        <f t="shared" si="148"/>
        <v>131.3292389103035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0.69751060477345206</v>
      </c>
      <c r="CM139" s="21">
        <f>EXP(-LN(2)/2)*CM138+(1-EXP(-LN(2)/2))/(LN(2)/2)*CG139*CJ139*VLOOKUP('Données projet'!$B$12,Paramètres!$A$1:$I$89,3,0)*0.475*44/12</f>
        <v>5.8429587582125469E-16</v>
      </c>
      <c r="CN139" s="22">
        <f t="shared" si="120"/>
        <v>0.69751060477345261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7.2230769230769223</v>
      </c>
      <c r="CT139" s="12">
        <f>IF('Données projet'!$A$140&gt;35,CT138+CS139-DB138,IF(A139&lt;'Données projet'!$A$140,$CQ$205^A139,IF(A139='Données projet'!$A$140,'Données projet'!$B$140,CT138+CS139-DB138)))</f>
        <v>402.81923076923016</v>
      </c>
      <c r="CU139" s="17">
        <f>CT139*VLOOKUP('Données projet'!$B$13,Paramètres!$A$1:$I$89,3,0)*VLOOKUP('Données projet'!$B$13,Paramètres!$A$1:$I$89,5,0)</f>
        <v>364.47083999999944</v>
      </c>
      <c r="CV139" s="13">
        <f t="shared" si="149"/>
        <v>84.535145420907739</v>
      </c>
      <c r="CW139" s="20">
        <f t="shared" si="121"/>
        <v>782.01875794141324</v>
      </c>
      <c r="CX139" s="59">
        <f t="shared" si="122"/>
        <v>1075.3520912747465</v>
      </c>
      <c r="CY139" s="59">
        <f ca="1">AVERAGE(OFFSET($CX$3,0,0,'Données projet'!$E$13+1,1))-AVERAGE(OFFSET($H$3,0,0,'Données projet'!$E$13+1,1))</f>
        <v>309.07357540707869</v>
      </c>
      <c r="CZ139" s="59">
        <f t="shared" si="150"/>
        <v>155.9593924683299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227.99999999999986</v>
      </c>
      <c r="DP139" s="17">
        <f>DO139*VLOOKUP('Données projet'!$B$14,Paramètres!$A$1:$I$89,3,0)*VLOOKUP('Données projet'!$B$14,Paramètres!$A$1:$I$89,5,0)</f>
        <v>199.18079999999992</v>
      </c>
      <c r="DQ139" s="13">
        <f t="shared" si="151"/>
        <v>49.564089376413683</v>
      </c>
      <c r="DR139" s="20">
        <f t="shared" si="124"/>
        <v>433.23068233058694</v>
      </c>
      <c r="DS139" s="59">
        <f t="shared" si="125"/>
        <v>726.56401566392026</v>
      </c>
      <c r="DT139" s="59">
        <f ca="1">AVERAGE(OFFSET($DS$3,0,0,'Données projet'!$E$14+1,1))-AVERAGE(OFFSET($H$3,0,0,'Données projet'!$E$14+1,1))</f>
        <v>210.07838338464626</v>
      </c>
      <c r="DU139" s="59">
        <f t="shared" si="152"/>
        <v>241.76003724236273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0.6495354748319373</v>
      </c>
      <c r="EB139" s="21">
        <f>EXP(-LN(2)/25)*EB138+(1-EXP(-LN(2)/25))/(LN(2)/25)*Calculateur!DW139*Calculateur!DY139*VLOOKUP('Données projet'!$B$14,Paramètres!$A$1:$I$89,3,0)*0.475*44/12</f>
        <v>0.71761172675009954</v>
      </c>
      <c r="EC139" s="21">
        <f>EXP(-LN(2)/2)*EC138+(1-EXP(-LN(2)/2))/(LN(2)/2)*DW139*DZ139*VLOOKUP('Données projet'!$B$14,Paramètres!$A$1:$I$89,3,0)*0.475*44/12</f>
        <v>1.7731843183598627E-15</v>
      </c>
      <c r="ED139" s="22">
        <f t="shared" si="126"/>
        <v>1.3671472015820387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6.2527760746888816E-13</v>
      </c>
      <c r="EK139" s="17">
        <f>EJ139*VLOOKUP('Données projet'!$B$15,Paramètres!$A$1:$I$89,3,0)*VLOOKUP('Données projet'!$B$15,Paramètres!$A$1:$I$89,5,0)</f>
        <v>3.9017322706058616E-13</v>
      </c>
      <c r="EL139" s="13">
        <f t="shared" si="153"/>
        <v>5.0025007393608908E-12</v>
      </c>
      <c r="EM139" s="20">
        <f t="shared" si="127"/>
        <v>9.3922404915174053E-12</v>
      </c>
      <c r="EN139" s="59">
        <f t="shared" si="128"/>
        <v>293.33333333334269</v>
      </c>
      <c r="EO139" s="59">
        <f ca="1">AVERAGE(OFFSET($EN$3,0,0,'Données projet'!$E$15+1,1))-AVERAGE(OFFSET($H$3,0,0,'Données projet'!$E$15+1,1))</f>
        <v>209.93608079129638</v>
      </c>
      <c r="EP139" s="59">
        <f t="shared" si="154"/>
        <v>240.15652428700969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0.85212123508039506</v>
      </c>
      <c r="EW139" s="21">
        <f>EXP(-LN(2)/25)*EW138+(1-EXP(-LN(2)/25))/(LN(2)/25)*Calculateur!ER139*Calculateur!ET139*VLOOKUP('Données projet'!$B$15,Paramètres!$A$1:$I$89,3,0)*0.475*44/12</f>
        <v>1.1001290025311321</v>
      </c>
      <c r="EX139" s="21">
        <f>EXP(-LN(2)/2)*EX138+(1-EXP(-LN(2)/2))/(LN(2)/2)*ER139*EU139*VLOOKUP('Données projet'!$B$15,Paramètres!$A$1:$I$89,3,0)*0.475*44/12</f>
        <v>2.2416308258183086E-15</v>
      </c>
      <c r="EY139" s="22">
        <f t="shared" si="129"/>
        <v>1.9522502376115294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5.6843418860808015E-14</v>
      </c>
      <c r="O140" s="13">
        <f>N140*VLOOKUP('Données projet'!$B$9,Paramètres!$A$1:$I$89,3,0)*VLOOKUP('Données projet'!$B$9,Paramètres!$A$1:$I$89,5,0)</f>
        <v>4.5224624045658861E-14</v>
      </c>
      <c r="P140" s="13">
        <f t="shared" si="141"/>
        <v>7.4514601661523691E-13</v>
      </c>
      <c r="Q140" s="20">
        <f t="shared" si="108"/>
        <v>1.3765621991510601E-12</v>
      </c>
      <c r="R140" s="59">
        <f t="shared" si="109"/>
        <v>293.33333333333468</v>
      </c>
      <c r="S140" s="59">
        <f ca="1">AVERAGE(OFFSET($R$3,0,0,'Données projet'!$E$9+1,1))-AVERAGE(OFFSET($H$3,0,0,'Données projet'!$E$9+1,1))</f>
        <v>199.58763537752952</v>
      </c>
      <c r="T140" s="59">
        <f t="shared" si="142"/>
        <v>242.62852778451929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</v>
      </c>
      <c r="AA140" s="21">
        <f>EXP(-LN(2)/25)*AA139+(1-EXP(-LN(2)/25))/(LN(2)/25)*Calculateur!V140*Calculateur!X140*VLOOKUP('Données projet'!$B$9,Paramètres!$A$1:$I$89,3,0)*0.475*44/12</f>
        <v>0.5293104406863377</v>
      </c>
      <c r="AB140" s="21">
        <f>EXP(-LN(2)/2)*AB139+(1-EXP(-LN(2)/2))/(LN(2)/2)*V140*Y140*VLOOKUP('Données projet'!$B$9,Paramètres!$A$1:$I$89,3,0)*0.475*44/12</f>
        <v>8.4483208384400755E-16</v>
      </c>
      <c r="AC140" s="22">
        <f t="shared" si="111"/>
        <v>0.52931044068633859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566</v>
      </c>
      <c r="AJ140" s="13">
        <f>AI140*VLOOKUP('Données projet'!$B$10,Paramètres!$A$1:$I$89,3,0)*VLOOKUP('Données projet'!$B$10,Paramètres!$A$1:$I$89,5,0)</f>
        <v>338.46800000000002</v>
      </c>
      <c r="AK140" s="13">
        <f t="shared" si="143"/>
        <v>79.183342377469998</v>
      </c>
      <c r="AL140" s="20">
        <f t="shared" si="112"/>
        <v>727.4094213074269</v>
      </c>
      <c r="AM140" s="59">
        <f t="shared" si="113"/>
        <v>1020.7427546407603</v>
      </c>
      <c r="AN140" s="59">
        <f ca="1">AVERAGE(OFFSET($AM$3,0,0,'Données projet'!$E$10+1,1))-AVERAGE(OFFSET($H$3,0,0,'Données projet'!$E$10+1,1))</f>
        <v>287.78657453117694</v>
      </c>
      <c r="AO140" s="59">
        <f t="shared" si="144"/>
        <v>153.31562485362252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0.35169338970139519</v>
      </c>
      <c r="AV140" s="21">
        <f>EXP(-LN(2)/25)*AV139+(1-EXP(-LN(2)/25))/(LN(2)/25)*Calculateur!AQ140*Calculateur!AS140*VLOOKUP('Données projet'!$B$10,Paramètres!$A$1:$I$89,3,0)*0.475*44/12</f>
        <v>0.3001678417969626</v>
      </c>
      <c r="AW140" s="21">
        <f>EXP(-LN(2)/2)*AW139+(1-EXP(-LN(2)/2))/(LN(2)/2)*AQ140*AT140*VLOOKUP('Données projet'!$B$10,Paramètres!$A$1:$I$89,3,0)*0.475*44/12</f>
        <v>8.7171757737507356E-16</v>
      </c>
      <c r="AX140" s="21">
        <f t="shared" si="114"/>
        <v>0.65186123149835873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-6.7984728957526396E-14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250.93905519128998</v>
      </c>
      <c r="BJ140" s="59">
        <f t="shared" si="146"/>
        <v>222.32879462265032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0.15391889157717403</v>
      </c>
      <c r="BQ140" s="21">
        <f>EXP(-LN(2)/25)*BQ139+(1-EXP(-LN(2)/25))/(LN(2)/25)*Calculateur!BL140*Calculateur!BN140*VLOOKUP('Données projet'!$B$11,Paramètres!$A$1:$I$89,3,0)*0.475*44/12</f>
        <v>0.59580108421550593</v>
      </c>
      <c r="BR140" s="21">
        <f>EXP(-LN(2)/2)*BR139+(1-EXP(-LN(2)/2))/(LN(2)/2)*BL140*BO140*VLOOKUP('Données projet'!$B$11,Paramètres!$A$1:$I$89,3,0)*0.475*44/12</f>
        <v>1.4816794146827791E-16</v>
      </c>
      <c r="BS140" s="22">
        <f t="shared" si="117"/>
        <v>0.74971997579268013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-2.8421709430404007E-13</v>
      </c>
      <c r="BZ140" s="13">
        <f>BY140*VLOOKUP('Données projet'!$B$12,Paramètres!$A$1:$I$89,3,0)*VLOOKUP('Données projet'!$B$12,Paramètres!$A$1:$I$89,5,0)</f>
        <v>-1.69961822393816E-13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179.32848817523677</v>
      </c>
      <c r="CE140" s="59">
        <f t="shared" si="148"/>
        <v>131.3292389103035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0.67843714060543348</v>
      </c>
      <c r="CM140" s="21">
        <f>EXP(-LN(2)/2)*CM139+(1-EXP(-LN(2)/2))/(LN(2)/2)*CG140*CJ140*VLOOKUP('Données projet'!$B$12,Paramètres!$A$1:$I$89,3,0)*0.475*44/12</f>
        <v>4.1315957601254209E-16</v>
      </c>
      <c r="CN140" s="22">
        <f t="shared" si="120"/>
        <v>0.67843714060543392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7.2230769230769223</v>
      </c>
      <c r="CT140" s="12">
        <f>IF('Données projet'!$A$140&gt;35,CT139+CS140-DB139,IF(A140&lt;'Données projet'!$A$140,$CQ$205^A140,IF(A140='Données projet'!$A$140,'Données projet'!$B$140,CT139+CS140-DB139)))</f>
        <v>410.04230769230708</v>
      </c>
      <c r="CU140" s="17">
        <f>CT140*VLOOKUP('Données projet'!$B$13,Paramètres!$A$1:$I$89,3,0)*VLOOKUP('Données projet'!$B$13,Paramètres!$A$1:$I$89,5,0)</f>
        <v>371.00627999999944</v>
      </c>
      <c r="CV140" s="13">
        <f t="shared" si="149"/>
        <v>85.873140718665468</v>
      </c>
      <c r="CW140" s="20">
        <f t="shared" si="121"/>
        <v>795.73165775167456</v>
      </c>
      <c r="CX140" s="59">
        <f t="shared" si="122"/>
        <v>1089.0649910850079</v>
      </c>
      <c r="CY140" s="59">
        <f ca="1">AVERAGE(OFFSET($CX$3,0,0,'Données projet'!$E$13+1,1))-AVERAGE(OFFSET($H$3,0,0,'Données projet'!$E$13+1,1))</f>
        <v>309.07357540707869</v>
      </c>
      <c r="CZ140" s="59">
        <f t="shared" si="150"/>
        <v>155.9593924683299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227.99999999999986</v>
      </c>
      <c r="DP140" s="17">
        <f>DO140*VLOOKUP('Données projet'!$B$14,Paramètres!$A$1:$I$89,3,0)*VLOOKUP('Données projet'!$B$14,Paramètres!$A$1:$I$89,5,0)</f>
        <v>199.18079999999992</v>
      </c>
      <c r="DQ140" s="13">
        <f t="shared" si="151"/>
        <v>49.564089376413683</v>
      </c>
      <c r="DR140" s="20">
        <f t="shared" si="124"/>
        <v>433.23068233058694</v>
      </c>
      <c r="DS140" s="59">
        <f t="shared" si="125"/>
        <v>726.56401566392026</v>
      </c>
      <c r="DT140" s="59">
        <f ca="1">AVERAGE(OFFSET($DS$3,0,0,'Données projet'!$E$14+1,1))-AVERAGE(OFFSET($H$3,0,0,'Données projet'!$E$14+1,1))</f>
        <v>210.07838338464626</v>
      </c>
      <c r="DU140" s="59">
        <f t="shared" si="152"/>
        <v>241.76003724236273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0.63679848034800335</v>
      </c>
      <c r="EB140" s="21">
        <f>EXP(-LN(2)/25)*EB139+(1-EXP(-LN(2)/25))/(LN(2)/25)*Calculateur!DW140*Calculateur!DY140*VLOOKUP('Données projet'!$B$14,Paramètres!$A$1:$I$89,3,0)*0.475*44/12</f>
        <v>0.69798859634455745</v>
      </c>
      <c r="EC140" s="21">
        <f>EXP(-LN(2)/2)*EC139+(1-EXP(-LN(2)/2))/(LN(2)/2)*DW140*DZ140*VLOOKUP('Données projet'!$B$14,Paramètres!$A$1:$I$89,3,0)*0.475*44/12</f>
        <v>1.253830655805905E-15</v>
      </c>
      <c r="ED140" s="22">
        <f t="shared" si="126"/>
        <v>1.334787076692562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6.2527760746888816E-13</v>
      </c>
      <c r="EK140" s="17">
        <f>EJ140*VLOOKUP('Données projet'!$B$15,Paramètres!$A$1:$I$89,3,0)*VLOOKUP('Données projet'!$B$15,Paramètres!$A$1:$I$89,5,0)</f>
        <v>3.9017322706058616E-13</v>
      </c>
      <c r="EL140" s="13">
        <f t="shared" si="153"/>
        <v>5.0025007393608908E-12</v>
      </c>
      <c r="EM140" s="20">
        <f t="shared" si="127"/>
        <v>9.3922404915174053E-12</v>
      </c>
      <c r="EN140" s="59">
        <f t="shared" si="128"/>
        <v>293.33333333334269</v>
      </c>
      <c r="EO140" s="59">
        <f ca="1">AVERAGE(OFFSET($EN$3,0,0,'Données projet'!$E$15+1,1))-AVERAGE(OFFSET($H$3,0,0,'Données projet'!$E$15+1,1))</f>
        <v>209.93608079129638</v>
      </c>
      <c r="EP140" s="59">
        <f t="shared" si="154"/>
        <v>240.15652428700969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0.83541165740310164</v>
      </c>
      <c r="EW140" s="21">
        <f>EXP(-LN(2)/25)*EW139+(1-EXP(-LN(2)/25))/(LN(2)/25)*Calculateur!ER140*Calculateur!ET140*VLOOKUP('Données projet'!$B$15,Paramètres!$A$1:$I$89,3,0)*0.475*44/12</f>
        <v>1.0700459171036485</v>
      </c>
      <c r="EX140" s="21">
        <f>EXP(-LN(2)/2)*EX139+(1-EXP(-LN(2)/2))/(LN(2)/2)*ER140*EU140*VLOOKUP('Données projet'!$B$15,Paramètres!$A$1:$I$89,3,0)*0.475*44/12</f>
        <v>1.5850723578529266E-15</v>
      </c>
      <c r="EY140" s="22">
        <f t="shared" si="129"/>
        <v>1.9054575745067517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5.6843418860808015E-14</v>
      </c>
      <c r="O141" s="13">
        <f>N141*VLOOKUP('Données projet'!$B$9,Paramètres!$A$1:$I$89,3,0)*VLOOKUP('Données projet'!$B$9,Paramètres!$A$1:$I$89,5,0)</f>
        <v>4.5224624045658861E-14</v>
      </c>
      <c r="P141" s="13">
        <f t="shared" si="141"/>
        <v>7.4514601661523691E-13</v>
      </c>
      <c r="Q141" s="20">
        <f t="shared" si="108"/>
        <v>1.3765621991510601E-12</v>
      </c>
      <c r="R141" s="59">
        <f t="shared" si="109"/>
        <v>293.33333333333468</v>
      </c>
      <c r="S141" s="59">
        <f ca="1">AVERAGE(OFFSET($R$3,0,0,'Données projet'!$E$9+1,1))-AVERAGE(OFFSET($H$3,0,0,'Données projet'!$E$9+1,1))</f>
        <v>199.58763537752952</v>
      </c>
      <c r="T141" s="59">
        <f t="shared" si="142"/>
        <v>242.62852778451929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</v>
      </c>
      <c r="AA141" s="21">
        <f>EXP(-LN(2)/25)*AA140+(1-EXP(-LN(2)/25))/(LN(2)/25)*Calculateur!V141*Calculateur!X141*VLOOKUP('Données projet'!$B$9,Paramètres!$A$1:$I$89,3,0)*0.475*44/12</f>
        <v>0.51483641885054343</v>
      </c>
      <c r="AB141" s="21">
        <f>EXP(-LN(2)/2)*AB140+(1-EXP(-LN(2)/2))/(LN(2)/2)*V141*Y141*VLOOKUP('Données projet'!$B$9,Paramètres!$A$1:$I$89,3,0)*0.475*44/12</f>
        <v>5.9738649545005961E-16</v>
      </c>
      <c r="AC141" s="22">
        <f t="shared" si="111"/>
        <v>0.51483641885054399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566</v>
      </c>
      <c r="AJ141" s="13">
        <f>AI141*VLOOKUP('Données projet'!$B$10,Paramètres!$A$1:$I$89,3,0)*VLOOKUP('Données projet'!$B$10,Paramètres!$A$1:$I$89,5,0)</f>
        <v>338.46800000000002</v>
      </c>
      <c r="AK141" s="13">
        <f t="shared" si="143"/>
        <v>79.183342377469998</v>
      </c>
      <c r="AL141" s="20">
        <f t="shared" si="112"/>
        <v>727.4094213074269</v>
      </c>
      <c r="AM141" s="59">
        <f t="shared" si="113"/>
        <v>1020.7427546407603</v>
      </c>
      <c r="AN141" s="59">
        <f ca="1">AVERAGE(OFFSET($AM$3,0,0,'Données projet'!$E$10+1,1))-AVERAGE(OFFSET($H$3,0,0,'Données projet'!$E$10+1,1))</f>
        <v>287.78657453117694</v>
      </c>
      <c r="AO141" s="59">
        <f t="shared" si="144"/>
        <v>153.31562485362252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0.34479689684113729</v>
      </c>
      <c r="AV141" s="21">
        <f>EXP(-LN(2)/25)*AV140+(1-EXP(-LN(2)/25))/(LN(2)/25)*Calculateur!AQ141*Calculateur!AS141*VLOOKUP('Données projet'!$B$10,Paramètres!$A$1:$I$89,3,0)*0.475*44/12</f>
        <v>0.29195973637788392</v>
      </c>
      <c r="AW141" s="21">
        <f>EXP(-LN(2)/2)*AW140+(1-EXP(-LN(2)/2))/(LN(2)/2)*AQ141*AT141*VLOOKUP('Données projet'!$B$10,Paramètres!$A$1:$I$89,3,0)*0.475*44/12</f>
        <v>6.1639741024142348E-16</v>
      </c>
      <c r="AX141" s="21">
        <f t="shared" si="114"/>
        <v>0.63675663321902187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-6.7984728957526396E-14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250.93905519128998</v>
      </c>
      <c r="BJ141" s="59">
        <f t="shared" si="146"/>
        <v>222.32879462265032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0.15090063599459952</v>
      </c>
      <c r="BQ141" s="21">
        <f>EXP(-LN(2)/25)*BQ140+(1-EXP(-LN(2)/25))/(LN(2)/25)*Calculateur!BL141*Calculateur!BN141*VLOOKUP('Données projet'!$B$11,Paramètres!$A$1:$I$89,3,0)*0.475*44/12</f>
        <v>0.5795088722358156</v>
      </c>
      <c r="BR141" s="21">
        <f>EXP(-LN(2)/2)*BR140+(1-EXP(-LN(2)/2))/(LN(2)/2)*BL141*BO141*VLOOKUP('Données projet'!$B$11,Paramètres!$A$1:$I$89,3,0)*0.475*44/12</f>
        <v>1.0477055616667077E-16</v>
      </c>
      <c r="BS141" s="22">
        <f t="shared" si="117"/>
        <v>0.73040950823041528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-2.8421709430404007E-13</v>
      </c>
      <c r="BZ141" s="13">
        <f>BY141*VLOOKUP('Données projet'!$B$12,Paramètres!$A$1:$I$89,3,0)*VLOOKUP('Données projet'!$B$12,Paramètres!$A$1:$I$89,5,0)</f>
        <v>-1.69961822393816E-13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179.32848817523677</v>
      </c>
      <c r="CE141" s="59">
        <f t="shared" si="148"/>
        <v>131.3292389103035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0.65988524131811921</v>
      </c>
      <c r="CM141" s="21">
        <f>EXP(-LN(2)/2)*CM140+(1-EXP(-LN(2)/2))/(LN(2)/2)*CG141*CJ141*VLOOKUP('Données projet'!$B$12,Paramètres!$A$1:$I$89,3,0)*0.475*44/12</f>
        <v>2.9214793791062735E-16</v>
      </c>
      <c r="CN141" s="22">
        <f t="shared" si="120"/>
        <v>0.65988524131811954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7.2230769230769223</v>
      </c>
      <c r="CT141" s="12">
        <f>IF('Données projet'!$A$140&gt;35,CT140+CS141-DB140,IF(A141&lt;'Données projet'!$A$140,$CQ$205^A141,IF(A141='Données projet'!$A$140,'Données projet'!$B$140,CT140+CS141-DB140)))</f>
        <v>417.26538461538399</v>
      </c>
      <c r="CU141" s="17">
        <f>CT141*VLOOKUP('Données projet'!$B$13,Paramètres!$A$1:$I$89,3,0)*VLOOKUP('Données projet'!$B$13,Paramètres!$A$1:$I$89,5,0)</f>
        <v>377.54171999999943</v>
      </c>
      <c r="CV141" s="13">
        <f t="shared" si="149"/>
        <v>87.208395201480016</v>
      </c>
      <c r="CW141" s="20">
        <f t="shared" si="121"/>
        <v>809.43978397591002</v>
      </c>
      <c r="CX141" s="59">
        <f t="shared" si="122"/>
        <v>1102.7731173092434</v>
      </c>
      <c r="CY141" s="59">
        <f ca="1">AVERAGE(OFFSET($CX$3,0,0,'Données projet'!$E$13+1,1))-AVERAGE(OFFSET($H$3,0,0,'Données projet'!$E$13+1,1))</f>
        <v>309.07357540707869</v>
      </c>
      <c r="CZ141" s="59">
        <f t="shared" si="150"/>
        <v>155.9593924683299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227.99999999999986</v>
      </c>
      <c r="DP141" s="17">
        <f>DO141*VLOOKUP('Données projet'!$B$14,Paramètres!$A$1:$I$89,3,0)*VLOOKUP('Données projet'!$B$14,Paramètres!$A$1:$I$89,5,0)</f>
        <v>199.18079999999992</v>
      </c>
      <c r="DQ141" s="13">
        <f t="shared" si="151"/>
        <v>49.564089376413683</v>
      </c>
      <c r="DR141" s="20">
        <f t="shared" si="124"/>
        <v>433.23068233058694</v>
      </c>
      <c r="DS141" s="59">
        <f t="shared" si="125"/>
        <v>726.56401566392026</v>
      </c>
      <c r="DT141" s="59">
        <f ca="1">AVERAGE(OFFSET($DS$3,0,0,'Données projet'!$E$14+1,1))-AVERAGE(OFFSET($H$3,0,0,'Données projet'!$E$14+1,1))</f>
        <v>210.07838338464626</v>
      </c>
      <c r="DU141" s="59">
        <f t="shared" si="152"/>
        <v>241.76003724236273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0.62431125055709979</v>
      </c>
      <c r="EB141" s="21">
        <f>EXP(-LN(2)/25)*EB140+(1-EXP(-LN(2)/25))/(LN(2)/25)*Calculateur!DW141*Calculateur!DY141*VLOOKUP('Données projet'!$B$14,Paramètres!$A$1:$I$89,3,0)*0.475*44/12</f>
        <v>0.67890206147189047</v>
      </c>
      <c r="EC141" s="21">
        <f>EXP(-LN(2)/2)*EC140+(1-EXP(-LN(2)/2))/(LN(2)/2)*DW141*DZ141*VLOOKUP('Données projet'!$B$14,Paramètres!$A$1:$I$89,3,0)*0.475*44/12</f>
        <v>8.8659215917993154E-16</v>
      </c>
      <c r="ED141" s="22">
        <f t="shared" si="126"/>
        <v>1.303213312028991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6.2527760746888816E-13</v>
      </c>
      <c r="EK141" s="17">
        <f>EJ141*VLOOKUP('Données projet'!$B$15,Paramètres!$A$1:$I$89,3,0)*VLOOKUP('Données projet'!$B$15,Paramètres!$A$1:$I$89,5,0)</f>
        <v>3.9017322706058616E-13</v>
      </c>
      <c r="EL141" s="13">
        <f t="shared" si="153"/>
        <v>5.0025007393608908E-12</v>
      </c>
      <c r="EM141" s="20">
        <f t="shared" si="127"/>
        <v>9.3922404915174053E-12</v>
      </c>
      <c r="EN141" s="59">
        <f t="shared" si="128"/>
        <v>293.33333333334269</v>
      </c>
      <c r="EO141" s="59">
        <f ca="1">AVERAGE(OFFSET($EN$3,0,0,'Données projet'!$E$15+1,1))-AVERAGE(OFFSET($H$3,0,0,'Données projet'!$E$15+1,1))</f>
        <v>209.93608079129638</v>
      </c>
      <c r="EP141" s="59">
        <f t="shared" si="154"/>
        <v>240.15652428700969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0.81902974435222387</v>
      </c>
      <c r="EW141" s="21">
        <f>EXP(-LN(2)/25)*EW140+(1-EXP(-LN(2)/25))/(LN(2)/25)*Calculateur!ER141*Calculateur!ET141*VLOOKUP('Données projet'!$B$15,Paramètres!$A$1:$I$89,3,0)*0.475*44/12</f>
        <v>1.04078545522918</v>
      </c>
      <c r="EX141" s="21">
        <f>EXP(-LN(2)/2)*EX140+(1-EXP(-LN(2)/2))/(LN(2)/2)*ER141*EU141*VLOOKUP('Données projet'!$B$15,Paramètres!$A$1:$I$89,3,0)*0.475*44/12</f>
        <v>1.1208154129091543E-15</v>
      </c>
      <c r="EY141" s="22">
        <f t="shared" si="129"/>
        <v>1.859815199581405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5.6843418860808015E-14</v>
      </c>
      <c r="O142" s="13">
        <f>N142*VLOOKUP('Données projet'!$B$9,Paramètres!$A$1:$I$89,3,0)*VLOOKUP('Données projet'!$B$9,Paramètres!$A$1:$I$89,5,0)</f>
        <v>4.5224624045658861E-14</v>
      </c>
      <c r="P142" s="13">
        <f t="shared" si="141"/>
        <v>7.4514601661523691E-13</v>
      </c>
      <c r="Q142" s="20">
        <f t="shared" si="108"/>
        <v>1.3765621991510601E-12</v>
      </c>
      <c r="R142" s="59">
        <f t="shared" si="109"/>
        <v>293.33333333333468</v>
      </c>
      <c r="S142" s="59">
        <f ca="1">AVERAGE(OFFSET($R$3,0,0,'Données projet'!$E$9+1,1))-AVERAGE(OFFSET($H$3,0,0,'Données projet'!$E$9+1,1))</f>
        <v>199.58763537752952</v>
      </c>
      <c r="T142" s="59">
        <f t="shared" si="142"/>
        <v>242.62852778451929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</v>
      </c>
      <c r="AA142" s="21">
        <f>EXP(-LN(2)/25)*AA141+(1-EXP(-LN(2)/25))/(LN(2)/25)*Calculateur!V142*Calculateur!X142*VLOOKUP('Données projet'!$B$9,Paramètres!$A$1:$I$89,3,0)*0.475*44/12</f>
        <v>0.50075818990300469</v>
      </c>
      <c r="AB142" s="21">
        <f>EXP(-LN(2)/2)*AB141+(1-EXP(-LN(2)/2))/(LN(2)/2)*V142*Y142*VLOOKUP('Données projet'!$B$9,Paramètres!$A$1:$I$89,3,0)*0.475*44/12</f>
        <v>4.2241604192200378E-16</v>
      </c>
      <c r="AC142" s="22">
        <f t="shared" si="111"/>
        <v>0.50075818990300514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566</v>
      </c>
      <c r="AJ142" s="13">
        <f>AI142*VLOOKUP('Données projet'!$B$10,Paramètres!$A$1:$I$89,3,0)*VLOOKUP('Données projet'!$B$10,Paramètres!$A$1:$I$89,5,0)</f>
        <v>338.46800000000002</v>
      </c>
      <c r="AK142" s="13">
        <f t="shared" si="143"/>
        <v>79.183342377469998</v>
      </c>
      <c r="AL142" s="20">
        <f t="shared" si="112"/>
        <v>727.4094213074269</v>
      </c>
      <c r="AM142" s="59">
        <f t="shared" si="113"/>
        <v>1020.7427546407603</v>
      </c>
      <c r="AN142" s="59">
        <f ca="1">AVERAGE(OFFSET($AM$3,0,0,'Données projet'!$E$10+1,1))-AVERAGE(OFFSET($H$3,0,0,'Données projet'!$E$10+1,1))</f>
        <v>287.78657453117694</v>
      </c>
      <c r="AO142" s="59">
        <f t="shared" si="144"/>
        <v>153.31562485362252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0.33803563999942371</v>
      </c>
      <c r="AV142" s="21">
        <f>EXP(-LN(2)/25)*AV141+(1-EXP(-LN(2)/25))/(LN(2)/25)*Calculateur!AQ142*Calculateur!AS142*VLOOKUP('Données projet'!$B$10,Paramètres!$A$1:$I$89,3,0)*0.475*44/12</f>
        <v>0.2839760820331354</v>
      </c>
      <c r="AW142" s="21">
        <f>EXP(-LN(2)/2)*AW141+(1-EXP(-LN(2)/2))/(LN(2)/2)*AQ142*AT142*VLOOKUP('Données projet'!$B$10,Paramètres!$A$1:$I$89,3,0)*0.475*44/12</f>
        <v>4.3585878868753683E-16</v>
      </c>
      <c r="AX142" s="21">
        <f t="shared" si="114"/>
        <v>0.62201172203255961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-6.7984728957526396E-14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250.93905519128998</v>
      </c>
      <c r="BJ142" s="59">
        <f t="shared" si="146"/>
        <v>222.32879462265032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0.14794156656304516</v>
      </c>
      <c r="BQ142" s="21">
        <f>EXP(-LN(2)/25)*BQ141+(1-EXP(-LN(2)/25))/(LN(2)/25)*Calculateur!BL142*Calculateur!BN142*VLOOKUP('Données projet'!$B$11,Paramètres!$A$1:$I$89,3,0)*0.475*44/12</f>
        <v>0.56366217164948007</v>
      </c>
      <c r="BR142" s="21">
        <f>EXP(-LN(2)/2)*BR141+(1-EXP(-LN(2)/2))/(LN(2)/2)*BL142*BO142*VLOOKUP('Données projet'!$B$11,Paramètres!$A$1:$I$89,3,0)*0.475*44/12</f>
        <v>7.4083970734138956E-17</v>
      </c>
      <c r="BS142" s="22">
        <f t="shared" si="117"/>
        <v>0.71160373821252532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-2.8421709430404007E-13</v>
      </c>
      <c r="BZ142" s="13">
        <f>BY142*VLOOKUP('Données projet'!$B$12,Paramètres!$A$1:$I$89,3,0)*VLOOKUP('Données projet'!$B$12,Paramètres!$A$1:$I$89,5,0)</f>
        <v>-1.69961822393816E-13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179.32848817523677</v>
      </c>
      <c r="CE142" s="59">
        <f t="shared" si="148"/>
        <v>131.3292389103035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0.64184064469241864</v>
      </c>
      <c r="CM142" s="21">
        <f>EXP(-LN(2)/2)*CM141+(1-EXP(-LN(2)/2))/(LN(2)/2)*CG142*CJ142*VLOOKUP('Données projet'!$B$12,Paramètres!$A$1:$I$89,3,0)*0.475*44/12</f>
        <v>2.0657978800627104E-16</v>
      </c>
      <c r="CN142" s="22">
        <f t="shared" si="120"/>
        <v>0.64184064469241886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7.2230769230769223</v>
      </c>
      <c r="CT142" s="12">
        <f>IF('Données projet'!$A$140&gt;35,CT141+CS142-DB141,IF(A142&lt;'Données projet'!$A$140,$CQ$205^A142,IF(A142='Données projet'!$A$140,'Données projet'!$B$140,CT141+CS142-DB141)))</f>
        <v>424.48846153846091</v>
      </c>
      <c r="CU142" s="17">
        <f>CT142*VLOOKUP('Données projet'!$B$13,Paramètres!$A$1:$I$89,3,0)*VLOOKUP('Données projet'!$B$13,Paramètres!$A$1:$I$89,5,0)</f>
        <v>384.07715999999942</v>
      </c>
      <c r="CV142" s="13">
        <f t="shared" si="149"/>
        <v>88.540961788845209</v>
      </c>
      <c r="CW142" s="20">
        <f t="shared" si="121"/>
        <v>823.14322878223766</v>
      </c>
      <c r="CX142" s="59">
        <f t="shared" si="122"/>
        <v>1116.4765621155709</v>
      </c>
      <c r="CY142" s="59">
        <f ca="1">AVERAGE(OFFSET($CX$3,0,0,'Données projet'!$E$13+1,1))-AVERAGE(OFFSET($H$3,0,0,'Données projet'!$E$13+1,1))</f>
        <v>309.07357540707869</v>
      </c>
      <c r="CZ142" s="59">
        <f t="shared" si="150"/>
        <v>155.9593924683299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227.99999999999986</v>
      </c>
      <c r="DP142" s="17">
        <f>DO142*VLOOKUP('Données projet'!$B$14,Paramètres!$A$1:$I$89,3,0)*VLOOKUP('Données projet'!$B$14,Paramètres!$A$1:$I$89,5,0)</f>
        <v>199.18079999999992</v>
      </c>
      <c r="DQ142" s="13">
        <f t="shared" si="151"/>
        <v>49.564089376413683</v>
      </c>
      <c r="DR142" s="20">
        <f t="shared" si="124"/>
        <v>433.23068233058694</v>
      </c>
      <c r="DS142" s="59">
        <f t="shared" si="125"/>
        <v>726.56401566392026</v>
      </c>
      <c r="DT142" s="59">
        <f ca="1">AVERAGE(OFFSET($DS$3,0,0,'Données projet'!$E$14+1,1))-AVERAGE(OFFSET($H$3,0,0,'Données projet'!$E$14+1,1))</f>
        <v>210.07838338464626</v>
      </c>
      <c r="DU142" s="59">
        <f t="shared" si="152"/>
        <v>241.76003724236273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0.61206888772593782</v>
      </c>
      <c r="EB142" s="21">
        <f>EXP(-LN(2)/25)*EB141+(1-EXP(-LN(2)/25))/(LN(2)/25)*Calculateur!DW142*Calculateur!DY142*VLOOKUP('Données projet'!$B$14,Paramètres!$A$1:$I$89,3,0)*0.475*44/12</f>
        <v>0.6603374488990339</v>
      </c>
      <c r="EC142" s="21">
        <f>EXP(-LN(2)/2)*EC141+(1-EXP(-LN(2)/2))/(LN(2)/2)*DW142*DZ142*VLOOKUP('Données projet'!$B$14,Paramètres!$A$1:$I$89,3,0)*0.475*44/12</f>
        <v>6.2691532790295261E-16</v>
      </c>
      <c r="ED142" s="22">
        <f t="shared" si="126"/>
        <v>1.2724063366249723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6.2527760746888816E-13</v>
      </c>
      <c r="EK142" s="17">
        <f>EJ142*VLOOKUP('Données projet'!$B$15,Paramètres!$A$1:$I$89,3,0)*VLOOKUP('Données projet'!$B$15,Paramètres!$A$1:$I$89,5,0)</f>
        <v>3.9017322706058616E-13</v>
      </c>
      <c r="EL142" s="13">
        <f t="shared" si="153"/>
        <v>5.0025007393608908E-12</v>
      </c>
      <c r="EM142" s="20">
        <f t="shared" si="127"/>
        <v>9.3922404915174053E-12</v>
      </c>
      <c r="EN142" s="59">
        <f t="shared" si="128"/>
        <v>293.33333333334269</v>
      </c>
      <c r="EO142" s="59">
        <f ca="1">AVERAGE(OFFSET($EN$3,0,0,'Données projet'!$E$15+1,1))-AVERAGE(OFFSET($H$3,0,0,'Données projet'!$E$15+1,1))</f>
        <v>209.93608079129638</v>
      </c>
      <c r="EP142" s="59">
        <f t="shared" si="154"/>
        <v>240.15652428700969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0.80296907062429346</v>
      </c>
      <c r="EW142" s="21">
        <f>EXP(-LN(2)/25)*EW141+(1-EXP(-LN(2)/25))/(LN(2)/25)*Calculateur!ER142*Calculateur!ET142*VLOOKUP('Données projet'!$B$15,Paramètres!$A$1:$I$89,3,0)*0.475*44/12</f>
        <v>1.0123251222234098</v>
      </c>
      <c r="EX142" s="21">
        <f>EXP(-LN(2)/2)*EX141+(1-EXP(-LN(2)/2))/(LN(2)/2)*ER142*EU142*VLOOKUP('Données projet'!$B$15,Paramètres!$A$1:$I$89,3,0)*0.475*44/12</f>
        <v>7.9253617892646331E-16</v>
      </c>
      <c r="EY142" s="22">
        <f t="shared" si="129"/>
        <v>1.8152941928477042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5.6843418860808015E-14</v>
      </c>
      <c r="O143" s="13">
        <f>N143*VLOOKUP('Données projet'!$B$9,Paramètres!$A$1:$I$89,3,0)*VLOOKUP('Données projet'!$B$9,Paramètres!$A$1:$I$89,5,0)</f>
        <v>4.5224624045658861E-14</v>
      </c>
      <c r="P143" s="13">
        <f t="shared" si="141"/>
        <v>7.4514601661523691E-13</v>
      </c>
      <c r="Q143" s="20">
        <f t="shared" si="108"/>
        <v>1.3765621991510601E-12</v>
      </c>
      <c r="R143" s="59">
        <f t="shared" si="109"/>
        <v>293.33333333333468</v>
      </c>
      <c r="S143" s="59">
        <f ca="1">AVERAGE(OFFSET($R$3,0,0,'Données projet'!$E$9+1,1))-AVERAGE(OFFSET($H$3,0,0,'Données projet'!$E$9+1,1))</f>
        <v>199.58763537752952</v>
      </c>
      <c r="T143" s="59">
        <f t="shared" si="142"/>
        <v>242.62852778451929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</v>
      </c>
      <c r="AA143" s="21">
        <f>EXP(-LN(2)/25)*AA142+(1-EXP(-LN(2)/25))/(LN(2)/25)*Calculateur!V143*Calculateur!X143*VLOOKUP('Données projet'!$B$9,Paramètres!$A$1:$I$89,3,0)*0.475*44/12</f>
        <v>0.48706493086637831</v>
      </c>
      <c r="AB143" s="21">
        <f>EXP(-LN(2)/2)*AB142+(1-EXP(-LN(2)/2))/(LN(2)/2)*V143*Y143*VLOOKUP('Données projet'!$B$9,Paramètres!$A$1:$I$89,3,0)*0.475*44/12</f>
        <v>2.9869324772502981E-16</v>
      </c>
      <c r="AC143" s="22">
        <f t="shared" si="111"/>
        <v>0.48706493086637859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566</v>
      </c>
      <c r="AJ143" s="13">
        <f>AI143*VLOOKUP('Données projet'!$B$10,Paramètres!$A$1:$I$89,3,0)*VLOOKUP('Données projet'!$B$10,Paramètres!$A$1:$I$89,5,0)</f>
        <v>338.46800000000002</v>
      </c>
      <c r="AK143" s="13">
        <f t="shared" si="143"/>
        <v>79.183342377469998</v>
      </c>
      <c r="AL143" s="20">
        <f t="shared" si="112"/>
        <v>727.4094213074269</v>
      </c>
      <c r="AM143" s="59">
        <f t="shared" si="113"/>
        <v>1020.7427546407603</v>
      </c>
      <c r="AN143" s="59">
        <f ca="1">AVERAGE(OFFSET($AM$3,0,0,'Données projet'!$E$10+1,1))-AVERAGE(OFFSET($H$3,0,0,'Données projet'!$E$10+1,1))</f>
        <v>287.78657453117694</v>
      </c>
      <c r="AO143" s="59">
        <f t="shared" si="144"/>
        <v>153.31562485362252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0.33140696728041669</v>
      </c>
      <c r="AV143" s="21">
        <f>EXP(-LN(2)/25)*AV142+(1-EXP(-LN(2)/25))/(LN(2)/25)*Calculateur!AQ143*Calculateur!AS143*VLOOKUP('Données projet'!$B$10,Paramètres!$A$1:$I$89,3,0)*0.475*44/12</f>
        <v>0.27621074113628619</v>
      </c>
      <c r="AW143" s="21">
        <f>EXP(-LN(2)/2)*AW142+(1-EXP(-LN(2)/2))/(LN(2)/2)*AQ143*AT143*VLOOKUP('Données projet'!$B$10,Paramètres!$A$1:$I$89,3,0)*0.475*44/12</f>
        <v>3.0819870512071179E-16</v>
      </c>
      <c r="AX143" s="21">
        <f t="shared" si="114"/>
        <v>0.60761770841670326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-6.7984728957526396E-14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250.93905519128998</v>
      </c>
      <c r="BJ143" s="59">
        <f t="shared" si="146"/>
        <v>222.32879462265032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0.14504052267818945</v>
      </c>
      <c r="BQ143" s="21">
        <f>EXP(-LN(2)/25)*BQ142+(1-EXP(-LN(2)/25))/(LN(2)/25)*Calculateur!BL143*Calculateur!BN143*VLOOKUP('Données projet'!$B$11,Paramètres!$A$1:$I$89,3,0)*0.475*44/12</f>
        <v>0.54824879992401965</v>
      </c>
      <c r="BR143" s="21">
        <f>EXP(-LN(2)/2)*BR142+(1-EXP(-LN(2)/2))/(LN(2)/2)*BL143*BO143*VLOOKUP('Données projet'!$B$11,Paramètres!$A$1:$I$89,3,0)*0.475*44/12</f>
        <v>5.2385278083335386E-17</v>
      </c>
      <c r="BS143" s="22">
        <f t="shared" si="117"/>
        <v>0.6932893226022091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-2.8421709430404007E-13</v>
      </c>
      <c r="BZ143" s="13">
        <f>BY143*VLOOKUP('Données projet'!$B$12,Paramètres!$A$1:$I$89,3,0)*VLOOKUP('Données projet'!$B$12,Paramètres!$A$1:$I$89,5,0)</f>
        <v>-1.69961822393816E-13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179.32848817523677</v>
      </c>
      <c r="CE143" s="59">
        <f t="shared" si="148"/>
        <v>131.3292389103035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0.62428947851037186</v>
      </c>
      <c r="CM143" s="21">
        <f>EXP(-LN(2)/2)*CM142+(1-EXP(-LN(2)/2))/(LN(2)/2)*CG143*CJ143*VLOOKUP('Données projet'!$B$12,Paramètres!$A$1:$I$89,3,0)*0.475*44/12</f>
        <v>1.4607396895531367E-16</v>
      </c>
      <c r="CN143" s="22">
        <f t="shared" si="120"/>
        <v>0.62428947851037198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>
        <f>VLOOKUP(A143,'Données projet'!$A$139:$I$159,2,0)</f>
        <v>431.71153846153845</v>
      </c>
      <c r="CR143" s="12">
        <f>VLOOKUP(A143,'Données projet'!$A$139:$I$159,9,0)</f>
        <v>7.2230769230769223</v>
      </c>
      <c r="CS143" s="12">
        <f t="array" ref="CS143">INDEX(CR:CR,MIN(IF(ISNUMBER(CR143:CR339),ROW(CR143:CR339),"")))</f>
        <v>7.2230769230769223</v>
      </c>
      <c r="CT143" s="12">
        <f>IF('Données projet'!$A$140&gt;35,CT142+CS143-DB142,IF(A143&lt;'Données projet'!$A$140,$CQ$205^A143,IF(A143='Données projet'!$A$140,'Données projet'!$B$140,CT142+CS143-DB142)))</f>
        <v>431.71153846153783</v>
      </c>
      <c r="CU143" s="17">
        <f>CT143*VLOOKUP('Données projet'!$B$13,Paramètres!$A$1:$I$89,3,0)*VLOOKUP('Données projet'!$B$13,Paramètres!$A$1:$I$89,5,0)</f>
        <v>390.61259999999942</v>
      </c>
      <c r="CV143" s="13">
        <f t="shared" si="149"/>
        <v>89.870891496098764</v>
      </c>
      <c r="CW143" s="20">
        <f t="shared" si="121"/>
        <v>836.84208102237096</v>
      </c>
      <c r="CX143" s="59">
        <f t="shared" si="122"/>
        <v>1130.1754143557043</v>
      </c>
      <c r="CY143" s="59">
        <f ca="1">AVERAGE(OFFSET($CX$3,0,0,'Données projet'!$E$13+1,1))-AVERAGE(OFFSET($H$3,0,0,'Données projet'!$E$13+1,1))</f>
        <v>309.07357540707869</v>
      </c>
      <c r="CZ143" s="59">
        <f t="shared" si="150"/>
        <v>155.9593924683299</v>
      </c>
      <c r="DA143" s="15">
        <f>IF(ISNA(VLOOKUP(A143,'Données projet'!$A$139:$I$159,3,0)),0,VLOOKUP(A143,'Données projet'!$A$139:$I$159,3,0))</f>
        <v>13</v>
      </c>
      <c r="DB143" s="15">
        <f>IF(ISNA(VLOOKUP(A143,'Données projet'!$A$139:$I$159,4,0)),0,VLOOKUP(A143,'Données projet'!$A$139:$I$159,4,0))</f>
        <v>50.467948717948715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227.99999999999986</v>
      </c>
      <c r="DP143" s="17">
        <f>DO143*VLOOKUP('Données projet'!$B$14,Paramètres!$A$1:$I$89,3,0)*VLOOKUP('Données projet'!$B$14,Paramètres!$A$1:$I$89,5,0)</f>
        <v>199.18079999999992</v>
      </c>
      <c r="DQ143" s="13">
        <f t="shared" si="151"/>
        <v>49.564089376413683</v>
      </c>
      <c r="DR143" s="20">
        <f t="shared" si="124"/>
        <v>433.23068233058694</v>
      </c>
      <c r="DS143" s="59">
        <f t="shared" si="125"/>
        <v>726.56401566392026</v>
      </c>
      <c r="DT143" s="59">
        <f ca="1">AVERAGE(OFFSET($DS$3,0,0,'Données projet'!$E$14+1,1))-AVERAGE(OFFSET($H$3,0,0,'Données projet'!$E$14+1,1))</f>
        <v>210.07838338464626</v>
      </c>
      <c r="DU143" s="59">
        <f t="shared" si="152"/>
        <v>241.76003724236273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0.60006659016279085</v>
      </c>
      <c r="EB143" s="21">
        <f>EXP(-LN(2)/25)*EB142+(1-EXP(-LN(2)/25))/(LN(2)/25)*Calculateur!DW143*Calculateur!DY143*VLOOKUP('Données projet'!$B$14,Paramètres!$A$1:$I$89,3,0)*0.475*44/12</f>
        <v>0.64228048663325255</v>
      </c>
      <c r="EC143" s="21">
        <f>EXP(-LN(2)/2)*EC142+(1-EXP(-LN(2)/2))/(LN(2)/2)*DW143*DZ143*VLOOKUP('Données projet'!$B$14,Paramètres!$A$1:$I$89,3,0)*0.475*44/12</f>
        <v>4.4329607958996582E-16</v>
      </c>
      <c r="ED143" s="22">
        <f t="shared" si="126"/>
        <v>1.2423470767960438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6.2527760746888816E-13</v>
      </c>
      <c r="EK143" s="17">
        <f>EJ143*VLOOKUP('Données projet'!$B$15,Paramètres!$A$1:$I$89,3,0)*VLOOKUP('Données projet'!$B$15,Paramètres!$A$1:$I$89,5,0)</f>
        <v>3.9017322706058616E-13</v>
      </c>
      <c r="EL143" s="13">
        <f t="shared" si="153"/>
        <v>5.0025007393608908E-12</v>
      </c>
      <c r="EM143" s="20">
        <f t="shared" si="127"/>
        <v>9.3922404915174053E-12</v>
      </c>
      <c r="EN143" s="59">
        <f t="shared" si="128"/>
        <v>293.33333333334269</v>
      </c>
      <c r="EO143" s="59">
        <f ca="1">AVERAGE(OFFSET($EN$3,0,0,'Données projet'!$E$15+1,1))-AVERAGE(OFFSET($H$3,0,0,'Données projet'!$E$15+1,1))</f>
        <v>209.93608079129638</v>
      </c>
      <c r="EP143" s="59">
        <f t="shared" si="154"/>
        <v>240.15652428700969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0.78722333691212409</v>
      </c>
      <c r="EW143" s="21">
        <f>EXP(-LN(2)/25)*EW142+(1-EXP(-LN(2)/25))/(LN(2)/25)*Calculateur!ER143*Calculateur!ET143*VLOOKUP('Données projet'!$B$15,Paramètres!$A$1:$I$89,3,0)*0.475*44/12</f>
        <v>0.98464303852034618</v>
      </c>
      <c r="EX143" s="21">
        <f>EXP(-LN(2)/2)*EX142+(1-EXP(-LN(2)/2))/(LN(2)/2)*ER143*EU143*VLOOKUP('Données projet'!$B$15,Paramètres!$A$1:$I$89,3,0)*0.475*44/12</f>
        <v>5.6040770645457716E-16</v>
      </c>
      <c r="EY143" s="22">
        <f t="shared" si="129"/>
        <v>1.7718663754324708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5.6843418860808015E-14</v>
      </c>
      <c r="O144" s="13">
        <f>N144*VLOOKUP('Données projet'!$B$9,Paramètres!$A$1:$I$89,3,0)*VLOOKUP('Données projet'!$B$9,Paramètres!$A$1:$I$89,5,0)</f>
        <v>4.5224624045658861E-14</v>
      </c>
      <c r="P144" s="13">
        <f t="shared" si="141"/>
        <v>7.4514601661523691E-13</v>
      </c>
      <c r="Q144" s="20">
        <f t="shared" si="108"/>
        <v>1.3765621991510601E-12</v>
      </c>
      <c r="R144" s="59">
        <f t="shared" si="109"/>
        <v>293.33333333333468</v>
      </c>
      <c r="S144" s="59">
        <f ca="1">AVERAGE(OFFSET($R$3,0,0,'Données projet'!$E$9+1,1))-AVERAGE(OFFSET($H$3,0,0,'Données projet'!$E$9+1,1))</f>
        <v>199.58763537752952</v>
      </c>
      <c r="T144" s="59">
        <f t="shared" si="142"/>
        <v>242.62852778451929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</v>
      </c>
      <c r="AA144" s="21">
        <f>EXP(-LN(2)/25)*AA143+(1-EXP(-LN(2)/25))/(LN(2)/25)*Calculateur!V144*Calculateur!X144*VLOOKUP('Données projet'!$B$9,Paramètres!$A$1:$I$89,3,0)*0.475*44/12</f>
        <v>0.47374611471820566</v>
      </c>
      <c r="AB144" s="21">
        <f>EXP(-LN(2)/2)*AB143+(1-EXP(-LN(2)/2))/(LN(2)/2)*V144*Y144*VLOOKUP('Données projet'!$B$9,Paramètres!$A$1:$I$89,3,0)*0.475*44/12</f>
        <v>2.1120802096100189E-16</v>
      </c>
      <c r="AC144" s="22">
        <f t="shared" si="111"/>
        <v>0.47374611471820588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566</v>
      </c>
      <c r="AJ144" s="13">
        <f>AI144*VLOOKUP('Données projet'!$B$10,Paramètres!$A$1:$I$89,3,0)*VLOOKUP('Données projet'!$B$10,Paramètres!$A$1:$I$89,5,0)</f>
        <v>338.46800000000002</v>
      </c>
      <c r="AK144" s="13">
        <f t="shared" si="143"/>
        <v>79.183342377469998</v>
      </c>
      <c r="AL144" s="20">
        <f t="shared" si="112"/>
        <v>727.4094213074269</v>
      </c>
      <c r="AM144" s="59">
        <f t="shared" si="113"/>
        <v>1020.7427546407603</v>
      </c>
      <c r="AN144" s="59">
        <f ca="1">AVERAGE(OFFSET($AM$3,0,0,'Données projet'!$E$10+1,1))-AVERAGE(OFFSET($H$3,0,0,'Données projet'!$E$10+1,1))</f>
        <v>287.78657453117694</v>
      </c>
      <c r="AO144" s="59">
        <f t="shared" si="144"/>
        <v>153.31562485362252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0.32490827879033823</v>
      </c>
      <c r="AV144" s="21">
        <f>EXP(-LN(2)/25)*AV143+(1-EXP(-LN(2)/25))/(LN(2)/25)*Calculateur!AQ144*Calculateur!AS144*VLOOKUP('Données projet'!$B$10,Paramètres!$A$1:$I$89,3,0)*0.475*44/12</f>
        <v>0.26865774389462288</v>
      </c>
      <c r="AW144" s="21">
        <f>EXP(-LN(2)/2)*AW143+(1-EXP(-LN(2)/2))/(LN(2)/2)*AQ144*AT144*VLOOKUP('Données projet'!$B$10,Paramètres!$A$1:$I$89,3,0)*0.475*44/12</f>
        <v>2.1792939434376844E-16</v>
      </c>
      <c r="AX144" s="21">
        <f t="shared" si="114"/>
        <v>0.59356602268496128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-6.7984728957526396E-14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250.93905519128998</v>
      </c>
      <c r="BJ144" s="59">
        <f t="shared" si="146"/>
        <v>222.32879462265032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0.14219636649445369</v>
      </c>
      <c r="BQ144" s="21">
        <f>EXP(-LN(2)/25)*BQ143+(1-EXP(-LN(2)/25))/(LN(2)/25)*Calculateur!BL144*Calculateur!BN144*VLOOKUP('Données projet'!$B$11,Paramètres!$A$1:$I$89,3,0)*0.475*44/12</f>
        <v>0.53325690765894596</v>
      </c>
      <c r="BR144" s="21">
        <f>EXP(-LN(2)/2)*BR143+(1-EXP(-LN(2)/2))/(LN(2)/2)*BL144*BO144*VLOOKUP('Données projet'!$B$11,Paramètres!$A$1:$I$89,3,0)*0.475*44/12</f>
        <v>3.7041985367069478E-17</v>
      </c>
      <c r="BS144" s="22">
        <f t="shared" si="117"/>
        <v>0.67545327415339962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-2.8421709430404007E-13</v>
      </c>
      <c r="BZ144" s="13">
        <f>BY144*VLOOKUP('Données projet'!$B$12,Paramètres!$A$1:$I$89,3,0)*VLOOKUP('Données projet'!$B$12,Paramètres!$A$1:$I$89,5,0)</f>
        <v>-1.69961822393816E-13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179.32848817523677</v>
      </c>
      <c r="CE144" s="59">
        <f t="shared" si="148"/>
        <v>131.3292389103035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0.60721824989054896</v>
      </c>
      <c r="CM144" s="21">
        <f>EXP(-LN(2)/2)*CM143+(1-EXP(-LN(2)/2))/(LN(2)/2)*CG144*CJ144*VLOOKUP('Données projet'!$B$12,Paramètres!$A$1:$I$89,3,0)*0.475*44/12</f>
        <v>1.0328989400313552E-16</v>
      </c>
      <c r="CN144" s="22">
        <f t="shared" si="120"/>
        <v>0.60721824989054907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7.2314102564102543</v>
      </c>
      <c r="CT144" s="12">
        <f>IF('Données projet'!$A$140&gt;35,CT143+CS144-DB143,IF(A144&lt;'Données projet'!$A$140,$CQ$205^A144,IF(A144='Données projet'!$A$140,'Données projet'!$B$140,CT143+CS144-DB143)))</f>
        <v>388.47499999999934</v>
      </c>
      <c r="CU144" s="17">
        <f>CT144*VLOOKUP('Données projet'!$B$13,Paramètres!$A$1:$I$89,3,0)*VLOOKUP('Données projet'!$B$13,Paramètres!$A$1:$I$89,5,0)</f>
        <v>351.49217999999939</v>
      </c>
      <c r="CV144" s="13">
        <f t="shared" si="149"/>
        <v>81.869690479070712</v>
      </c>
      <c r="CW144" s="20">
        <f t="shared" si="121"/>
        <v>754.77192441771376</v>
      </c>
      <c r="CX144" s="59">
        <f t="shared" si="122"/>
        <v>1048.105257751047</v>
      </c>
      <c r="CY144" s="59">
        <f ca="1">AVERAGE(OFFSET($CX$3,0,0,'Données projet'!$E$13+1,1))-AVERAGE(OFFSET($H$3,0,0,'Données projet'!$E$13+1,1))</f>
        <v>309.07357540707869</v>
      </c>
      <c r="CZ144" s="59">
        <f t="shared" si="150"/>
        <v>155.9593924683299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227.99999999999986</v>
      </c>
      <c r="DP144" s="17">
        <f>DO144*VLOOKUP('Données projet'!$B$14,Paramètres!$A$1:$I$89,3,0)*VLOOKUP('Données projet'!$B$14,Paramètres!$A$1:$I$89,5,0)</f>
        <v>199.18079999999992</v>
      </c>
      <c r="DQ144" s="13">
        <f t="shared" si="151"/>
        <v>49.564089376413683</v>
      </c>
      <c r="DR144" s="20">
        <f t="shared" si="124"/>
        <v>433.23068233058694</v>
      </c>
      <c r="DS144" s="59">
        <f t="shared" si="125"/>
        <v>726.56401566392026</v>
      </c>
      <c r="DT144" s="59">
        <f ca="1">AVERAGE(OFFSET($DS$3,0,0,'Données projet'!$E$14+1,1))-AVERAGE(OFFSET($H$3,0,0,'Données projet'!$E$14+1,1))</f>
        <v>210.07838338464626</v>
      </c>
      <c r="DU144" s="59">
        <f t="shared" si="152"/>
        <v>241.76003724236273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0.58829965033417853</v>
      </c>
      <c r="EB144" s="21">
        <f>EXP(-LN(2)/25)*EB143+(1-EXP(-LN(2)/25))/(LN(2)/25)*Calculateur!DW144*Calculateur!DY144*VLOOKUP('Données projet'!$B$14,Paramètres!$A$1:$I$89,3,0)*0.475*44/12</f>
        <v>0.6247172929502034</v>
      </c>
      <c r="EC144" s="21">
        <f>EXP(-LN(2)/2)*EC143+(1-EXP(-LN(2)/2))/(LN(2)/2)*DW144*DZ144*VLOOKUP('Données projet'!$B$14,Paramètres!$A$1:$I$89,3,0)*0.475*44/12</f>
        <v>3.1345766395147635E-16</v>
      </c>
      <c r="ED144" s="22">
        <f t="shared" si="126"/>
        <v>1.213016943284382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6.2527760746888816E-13</v>
      </c>
      <c r="EK144" s="17">
        <f>EJ144*VLOOKUP('Données projet'!$B$15,Paramètres!$A$1:$I$89,3,0)*VLOOKUP('Données projet'!$B$15,Paramètres!$A$1:$I$89,5,0)</f>
        <v>3.9017322706058616E-13</v>
      </c>
      <c r="EL144" s="13">
        <f t="shared" si="153"/>
        <v>5.0025007393608908E-12</v>
      </c>
      <c r="EM144" s="20">
        <f t="shared" si="127"/>
        <v>9.3922404915174053E-12</v>
      </c>
      <c r="EN144" s="59">
        <f t="shared" si="128"/>
        <v>293.33333333334269</v>
      </c>
      <c r="EO144" s="59">
        <f ca="1">AVERAGE(OFFSET($EN$3,0,0,'Données projet'!$E$15+1,1))-AVERAGE(OFFSET($H$3,0,0,'Données projet'!$E$15+1,1))</f>
        <v>209.93608079129638</v>
      </c>
      <c r="EP144" s="59">
        <f t="shared" si="154"/>
        <v>240.15652428700969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0.77178636743410112</v>
      </c>
      <c r="EW144" s="21">
        <f>EXP(-LN(2)/25)*EW143+(1-EXP(-LN(2)/25))/(LN(2)/25)*Calculateur!ER144*Calculateur!ET144*VLOOKUP('Données projet'!$B$15,Paramètres!$A$1:$I$89,3,0)*0.475*44/12</f>
        <v>0.9577179228518804</v>
      </c>
      <c r="EX144" s="21">
        <f>EXP(-LN(2)/2)*EX143+(1-EXP(-LN(2)/2))/(LN(2)/2)*ER144*EU144*VLOOKUP('Données projet'!$B$15,Paramètres!$A$1:$I$89,3,0)*0.475*44/12</f>
        <v>3.9626808946323165E-16</v>
      </c>
      <c r="EY144" s="22">
        <f t="shared" si="129"/>
        <v>1.7295042902859818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5.6843418860808015E-14</v>
      </c>
      <c r="O145" s="13">
        <f>N145*VLOOKUP('Données projet'!$B$9,Paramètres!$A$1:$I$89,3,0)*VLOOKUP('Données projet'!$B$9,Paramètres!$A$1:$I$89,5,0)</f>
        <v>4.5224624045658861E-14</v>
      </c>
      <c r="P145" s="13">
        <f t="shared" si="141"/>
        <v>7.4514601661523691E-13</v>
      </c>
      <c r="Q145" s="20">
        <f t="shared" si="108"/>
        <v>1.3765621991510601E-12</v>
      </c>
      <c r="R145" s="59">
        <f t="shared" si="109"/>
        <v>293.33333333333468</v>
      </c>
      <c r="S145" s="59">
        <f ca="1">AVERAGE(OFFSET($R$3,0,0,'Données projet'!$E$9+1,1))-AVERAGE(OFFSET($H$3,0,0,'Données projet'!$E$9+1,1))</f>
        <v>199.58763537752952</v>
      </c>
      <c r="T145" s="59">
        <f t="shared" si="142"/>
        <v>242.62852778451929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</v>
      </c>
      <c r="AA145" s="21">
        <f>EXP(-LN(2)/25)*AA144+(1-EXP(-LN(2)/25))/(LN(2)/25)*Calculateur!V145*Calculateur!X145*VLOOKUP('Données projet'!$B$9,Paramètres!$A$1:$I$89,3,0)*0.475*44/12</f>
        <v>0.46079150229801091</v>
      </c>
      <c r="AB145" s="21">
        <f>EXP(-LN(2)/2)*AB144+(1-EXP(-LN(2)/2))/(LN(2)/2)*V145*Y145*VLOOKUP('Données projet'!$B$9,Paramètres!$A$1:$I$89,3,0)*0.475*44/12</f>
        <v>1.493466238625149E-16</v>
      </c>
      <c r="AC145" s="22">
        <f t="shared" si="111"/>
        <v>0.46079150229801108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566</v>
      </c>
      <c r="AJ145" s="13">
        <f>AI145*VLOOKUP('Données projet'!$B$10,Paramètres!$A$1:$I$89,3,0)*VLOOKUP('Données projet'!$B$10,Paramètres!$A$1:$I$89,5,0)</f>
        <v>338.46800000000002</v>
      </c>
      <c r="AK145" s="13">
        <f t="shared" si="143"/>
        <v>79.183342377469998</v>
      </c>
      <c r="AL145" s="20">
        <f t="shared" si="112"/>
        <v>727.4094213074269</v>
      </c>
      <c r="AM145" s="59">
        <f t="shared" si="113"/>
        <v>1020.7427546407603</v>
      </c>
      <c r="AN145" s="59">
        <f ca="1">AVERAGE(OFFSET($AM$3,0,0,'Données projet'!$E$10+1,1))-AVERAGE(OFFSET($H$3,0,0,'Données projet'!$E$10+1,1))</f>
        <v>287.78657453117694</v>
      </c>
      <c r="AO145" s="59">
        <f t="shared" si="144"/>
        <v>153.31562485362252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0.31853702561774166</v>
      </c>
      <c r="AV145" s="21">
        <f>EXP(-LN(2)/25)*AV144+(1-EXP(-LN(2)/25))/(LN(2)/25)*Calculateur!AQ145*Calculateur!AS145*VLOOKUP('Données projet'!$B$10,Paramètres!$A$1:$I$89,3,0)*0.475*44/12</f>
        <v>0.26131128375972767</v>
      </c>
      <c r="AW145" s="21">
        <f>EXP(-LN(2)/2)*AW144+(1-EXP(-LN(2)/2))/(LN(2)/2)*AQ145*AT145*VLOOKUP('Données projet'!$B$10,Paramètres!$A$1:$I$89,3,0)*0.475*44/12</f>
        <v>1.5409935256035592E-16</v>
      </c>
      <c r="AX145" s="21">
        <f t="shared" si="114"/>
        <v>0.57984830937746945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-6.7984728957526396E-14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250.93905519128998</v>
      </c>
      <c r="BJ145" s="59">
        <f t="shared" si="146"/>
        <v>222.32879462265032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0.13940798247871702</v>
      </c>
      <c r="BQ145" s="21">
        <f>EXP(-LN(2)/25)*BQ144+(1-EXP(-LN(2)/25))/(LN(2)/25)*Calculateur!BL145*Calculateur!BN145*VLOOKUP('Données projet'!$B$11,Paramètres!$A$1:$I$89,3,0)*0.475*44/12</f>
        <v>0.51867496947625003</v>
      </c>
      <c r="BR145" s="21">
        <f>EXP(-LN(2)/2)*BR144+(1-EXP(-LN(2)/2))/(LN(2)/2)*BL145*BO145*VLOOKUP('Données projet'!$B$11,Paramètres!$A$1:$I$89,3,0)*0.475*44/12</f>
        <v>2.6192639041667693E-17</v>
      </c>
      <c r="BS145" s="22">
        <f t="shared" si="117"/>
        <v>0.65808295195496702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-2.8421709430404007E-13</v>
      </c>
      <c r="BZ145" s="13">
        <f>BY145*VLOOKUP('Données projet'!$B$12,Paramètres!$A$1:$I$89,3,0)*VLOOKUP('Données projet'!$B$12,Paramètres!$A$1:$I$89,5,0)</f>
        <v>-1.69961822393816E-13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179.32848817523677</v>
      </c>
      <c r="CE145" s="59">
        <f t="shared" si="148"/>
        <v>131.3292389103035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0.59061383491507191</v>
      </c>
      <c r="CM145" s="21">
        <f>EXP(-LN(2)/2)*CM144+(1-EXP(-LN(2)/2))/(LN(2)/2)*CG145*CJ145*VLOOKUP('Données projet'!$B$12,Paramètres!$A$1:$I$89,3,0)*0.475*44/12</f>
        <v>7.3036984477656836E-17</v>
      </c>
      <c r="CN145" s="22">
        <f t="shared" si="120"/>
        <v>0.59061383491507202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7.2314102564102543</v>
      </c>
      <c r="CT145" s="12">
        <f>IF('Données projet'!$A$140&gt;35,CT144+CS145-DB144,IF(A145&lt;'Données projet'!$A$140,$CQ$205^A145,IF(A145='Données projet'!$A$140,'Données projet'!$B$140,CT144+CS145-DB144)))</f>
        <v>395.70641025640958</v>
      </c>
      <c r="CU145" s="17">
        <f>CT145*VLOOKUP('Données projet'!$B$13,Paramètres!$A$1:$I$89,3,0)*VLOOKUP('Données projet'!$B$13,Paramètres!$A$1:$I$89,5,0)</f>
        <v>358.03515999999939</v>
      </c>
      <c r="CV145" s="13">
        <f t="shared" si="149"/>
        <v>83.214842129951279</v>
      </c>
      <c r="CW145" s="20">
        <f t="shared" si="121"/>
        <v>768.51042037633067</v>
      </c>
      <c r="CX145" s="59">
        <f t="shared" si="122"/>
        <v>1061.843753709664</v>
      </c>
      <c r="CY145" s="59">
        <f ca="1">AVERAGE(OFFSET($CX$3,0,0,'Données projet'!$E$13+1,1))-AVERAGE(OFFSET($H$3,0,0,'Données projet'!$E$13+1,1))</f>
        <v>309.07357540707869</v>
      </c>
      <c r="CZ145" s="59">
        <f t="shared" si="150"/>
        <v>155.9593924683299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227.99999999999986</v>
      </c>
      <c r="DP145" s="17">
        <f>DO145*VLOOKUP('Données projet'!$B$14,Paramètres!$A$1:$I$89,3,0)*VLOOKUP('Données projet'!$B$14,Paramètres!$A$1:$I$89,5,0)</f>
        <v>199.18079999999992</v>
      </c>
      <c r="DQ145" s="13">
        <f t="shared" si="151"/>
        <v>49.564089376413683</v>
      </c>
      <c r="DR145" s="20">
        <f t="shared" si="124"/>
        <v>433.23068233058694</v>
      </c>
      <c r="DS145" s="59">
        <f t="shared" si="125"/>
        <v>726.56401566392026</v>
      </c>
      <c r="DT145" s="59">
        <f ca="1">AVERAGE(OFFSET($DS$3,0,0,'Données projet'!$E$14+1,1))-AVERAGE(OFFSET($H$3,0,0,'Données projet'!$E$14+1,1))</f>
        <v>210.07838338464626</v>
      </c>
      <c r="DU145" s="59">
        <f t="shared" si="152"/>
        <v>241.76003724236273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0.57676345301848075</v>
      </c>
      <c r="EB145" s="21">
        <f>EXP(-LN(2)/25)*EB144+(1-EXP(-LN(2)/25))/(LN(2)/25)*Calculateur!DW145*Calculateur!DY145*VLOOKUP('Données projet'!$B$14,Paramètres!$A$1:$I$89,3,0)*0.475*44/12</f>
        <v>0.60763436572202545</v>
      </c>
      <c r="EC145" s="21">
        <f>EXP(-LN(2)/2)*EC144+(1-EXP(-LN(2)/2))/(LN(2)/2)*DW145*DZ145*VLOOKUP('Données projet'!$B$14,Paramètres!$A$1:$I$89,3,0)*0.475*44/12</f>
        <v>2.2164803979498296E-16</v>
      </c>
      <c r="ED145" s="22">
        <f t="shared" si="126"/>
        <v>1.1843978187405064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6.2527760746888816E-13</v>
      </c>
      <c r="EK145" s="17">
        <f>EJ145*VLOOKUP('Données projet'!$B$15,Paramètres!$A$1:$I$89,3,0)*VLOOKUP('Données projet'!$B$15,Paramètres!$A$1:$I$89,5,0)</f>
        <v>3.9017322706058616E-13</v>
      </c>
      <c r="EL145" s="13">
        <f t="shared" si="153"/>
        <v>5.0025007393608908E-12</v>
      </c>
      <c r="EM145" s="20">
        <f t="shared" si="127"/>
        <v>9.3922404915174053E-12</v>
      </c>
      <c r="EN145" s="59">
        <f t="shared" si="128"/>
        <v>293.33333333334269</v>
      </c>
      <c r="EO145" s="59">
        <f ca="1">AVERAGE(OFFSET($EN$3,0,0,'Données projet'!$E$15+1,1))-AVERAGE(OFFSET($H$3,0,0,'Données projet'!$E$15+1,1))</f>
        <v>209.93608079129638</v>
      </c>
      <c r="EP145" s="59">
        <f t="shared" si="154"/>
        <v>240.15652428700969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0.75665210751192047</v>
      </c>
      <c r="EW145" s="21">
        <f>EXP(-LN(2)/25)*EW144+(1-EXP(-LN(2)/25))/(LN(2)/25)*Calculateur!ER145*Calculateur!ET145*VLOOKUP('Données projet'!$B$15,Paramètres!$A$1:$I$89,3,0)*0.475*44/12</f>
        <v>0.93152907588729905</v>
      </c>
      <c r="EX145" s="21">
        <f>EXP(-LN(2)/2)*EX144+(1-EXP(-LN(2)/2))/(LN(2)/2)*ER145*EU145*VLOOKUP('Données projet'!$B$15,Paramètres!$A$1:$I$89,3,0)*0.475*44/12</f>
        <v>2.8020385322728858E-16</v>
      </c>
      <c r="EY145" s="22">
        <f t="shared" si="129"/>
        <v>1.6881811833992197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5.6843418860808015E-14</v>
      </c>
      <c r="O146" s="13">
        <f>N146*VLOOKUP('Données projet'!$B$9,Paramètres!$A$1:$I$89,3,0)*VLOOKUP('Données projet'!$B$9,Paramètres!$A$1:$I$89,5,0)</f>
        <v>4.5224624045658861E-14</v>
      </c>
      <c r="P146" s="13">
        <f t="shared" si="141"/>
        <v>7.4514601661523691E-13</v>
      </c>
      <c r="Q146" s="20">
        <f t="shared" si="108"/>
        <v>1.3765621991510601E-12</v>
      </c>
      <c r="R146" s="59">
        <f t="shared" si="109"/>
        <v>293.33333333333468</v>
      </c>
      <c r="S146" s="59">
        <f ca="1">AVERAGE(OFFSET($R$3,0,0,'Données projet'!$E$9+1,1))-AVERAGE(OFFSET($H$3,0,0,'Données projet'!$E$9+1,1))</f>
        <v>199.58763537752952</v>
      </c>
      <c r="T146" s="59">
        <f t="shared" si="142"/>
        <v>242.62852778451929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</v>
      </c>
      <c r="AA146" s="21">
        <f>EXP(-LN(2)/25)*AA145+(1-EXP(-LN(2)/25))/(LN(2)/25)*Calculateur!V146*Calculateur!X146*VLOOKUP('Données projet'!$B$9,Paramètres!$A$1:$I$89,3,0)*0.475*44/12</f>
        <v>0.44819113443569986</v>
      </c>
      <c r="AB146" s="21">
        <f>EXP(-LN(2)/2)*AB145+(1-EXP(-LN(2)/2))/(LN(2)/2)*V146*Y146*VLOOKUP('Données projet'!$B$9,Paramètres!$A$1:$I$89,3,0)*0.475*44/12</f>
        <v>1.0560401048050094E-16</v>
      </c>
      <c r="AC146" s="22">
        <f t="shared" si="111"/>
        <v>0.44819113443569997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566</v>
      </c>
      <c r="AJ146" s="13">
        <f>AI146*VLOOKUP('Données projet'!$B$10,Paramètres!$A$1:$I$89,3,0)*VLOOKUP('Données projet'!$B$10,Paramètres!$A$1:$I$89,5,0)</f>
        <v>338.46800000000002</v>
      </c>
      <c r="AK146" s="13">
        <f t="shared" si="143"/>
        <v>79.183342377469998</v>
      </c>
      <c r="AL146" s="20">
        <f t="shared" si="112"/>
        <v>727.4094213074269</v>
      </c>
      <c r="AM146" s="59">
        <f t="shared" si="113"/>
        <v>1020.7427546407603</v>
      </c>
      <c r="AN146" s="59">
        <f ca="1">AVERAGE(OFFSET($AM$3,0,0,'Données projet'!$E$10+1,1))-AVERAGE(OFFSET($H$3,0,0,'Données projet'!$E$10+1,1))</f>
        <v>287.78657453117694</v>
      </c>
      <c r="AO146" s="59">
        <f t="shared" si="144"/>
        <v>153.31562485362252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0.31229070883377902</v>
      </c>
      <c r="AV146" s="21">
        <f>EXP(-LN(2)/25)*AV145+(1-EXP(-LN(2)/25))/(LN(2)/25)*Calculateur!AQ146*Calculateur!AS146*VLOOKUP('Données projet'!$B$10,Paramètres!$A$1:$I$89,3,0)*0.475*44/12</f>
        <v>0.25416571296355472</v>
      </c>
      <c r="AW146" s="21">
        <f>EXP(-LN(2)/2)*AW145+(1-EXP(-LN(2)/2))/(LN(2)/2)*AQ146*AT146*VLOOKUP('Données projet'!$B$10,Paramètres!$A$1:$I$89,3,0)*0.475*44/12</f>
        <v>1.0896469717188424E-16</v>
      </c>
      <c r="AX146" s="21">
        <f t="shared" si="114"/>
        <v>0.56645642179733391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-6.7984728957526396E-14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250.93905519128998</v>
      </c>
      <c r="BJ146" s="59">
        <f t="shared" si="146"/>
        <v>222.32879462265032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0.13667427697278264</v>
      </c>
      <c r="BQ146" s="21">
        <f>EXP(-LN(2)/25)*BQ145+(1-EXP(-LN(2)/25))/(LN(2)/25)*Calculateur!BL146*Calculateur!BN146*VLOOKUP('Données projet'!$B$11,Paramètres!$A$1:$I$89,3,0)*0.475*44/12</f>
        <v>0.50449177515999077</v>
      </c>
      <c r="BR146" s="21">
        <f>EXP(-LN(2)/2)*BR145+(1-EXP(-LN(2)/2))/(LN(2)/2)*BL146*BO146*VLOOKUP('Données projet'!$B$11,Paramètres!$A$1:$I$89,3,0)*0.475*44/12</f>
        <v>1.8520992683534739E-17</v>
      </c>
      <c r="BS146" s="22">
        <f t="shared" si="117"/>
        <v>0.64116605213277345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-2.8421709430404007E-13</v>
      </c>
      <c r="BZ146" s="13">
        <f>BY146*VLOOKUP('Données projet'!$B$12,Paramètres!$A$1:$I$89,3,0)*VLOOKUP('Données projet'!$B$12,Paramètres!$A$1:$I$89,5,0)</f>
        <v>-1.69961822393816E-13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179.32848817523677</v>
      </c>
      <c r="CE146" s="59">
        <f t="shared" si="148"/>
        <v>131.3292389103035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0.57446346854028751</v>
      </c>
      <c r="CM146" s="21">
        <f>EXP(-LN(2)/2)*CM145+(1-EXP(-LN(2)/2))/(LN(2)/2)*CG146*CJ146*VLOOKUP('Données projet'!$B$12,Paramètres!$A$1:$I$89,3,0)*0.475*44/12</f>
        <v>5.1644947001567761E-17</v>
      </c>
      <c r="CN146" s="22">
        <f t="shared" si="120"/>
        <v>0.57446346854028751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7.2314102564102543</v>
      </c>
      <c r="CT146" s="12">
        <f>IF('Données projet'!$A$140&gt;35,CT145+CS146-DB145,IF(A146&lt;'Données projet'!$A$140,$CQ$205^A146,IF(A146='Données projet'!$A$140,'Données projet'!$B$140,CT145+CS146-DB145)))</f>
        <v>402.93782051281983</v>
      </c>
      <c r="CU146" s="17">
        <f>CT146*VLOOKUP('Données projet'!$B$13,Paramètres!$A$1:$I$89,3,0)*VLOOKUP('Données projet'!$B$13,Paramètres!$A$1:$I$89,5,0)</f>
        <v>364.57813999999939</v>
      </c>
      <c r="CV146" s="13">
        <f t="shared" si="149"/>
        <v>84.557135282967096</v>
      </c>
      <c r="CW146" s="20">
        <f t="shared" si="121"/>
        <v>782.24393778449996</v>
      </c>
      <c r="CX146" s="59">
        <f t="shared" si="122"/>
        <v>1075.5772711178333</v>
      </c>
      <c r="CY146" s="59">
        <f ca="1">AVERAGE(OFFSET($CX$3,0,0,'Données projet'!$E$13+1,1))-AVERAGE(OFFSET($H$3,0,0,'Données projet'!$E$13+1,1))</f>
        <v>309.07357540707869</v>
      </c>
      <c r="CZ146" s="59">
        <f t="shared" si="150"/>
        <v>155.9593924683299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227.99999999999986</v>
      </c>
      <c r="DP146" s="17">
        <f>DO146*VLOOKUP('Données projet'!$B$14,Paramètres!$A$1:$I$89,3,0)*VLOOKUP('Données projet'!$B$14,Paramètres!$A$1:$I$89,5,0)</f>
        <v>199.18079999999992</v>
      </c>
      <c r="DQ146" s="13">
        <f t="shared" si="151"/>
        <v>49.564089376413683</v>
      </c>
      <c r="DR146" s="20">
        <f t="shared" si="124"/>
        <v>433.23068233058694</v>
      </c>
      <c r="DS146" s="59">
        <f t="shared" si="125"/>
        <v>726.56401566392026</v>
      </c>
      <c r="DT146" s="59">
        <f ca="1">AVERAGE(OFFSET($DS$3,0,0,'Données projet'!$E$14+1,1))-AVERAGE(OFFSET($H$3,0,0,'Données projet'!$E$14+1,1))</f>
        <v>210.07838338464626</v>
      </c>
      <c r="DU146" s="59">
        <f t="shared" si="152"/>
        <v>241.76003724236273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0.56545347349575825</v>
      </c>
      <c r="EB146" s="21">
        <f>EXP(-LN(2)/25)*EB145+(1-EXP(-LN(2)/25))/(LN(2)/25)*Calculateur!DW146*Calculateur!DY146*VLOOKUP('Données projet'!$B$14,Paramètres!$A$1:$I$89,3,0)*0.475*44/12</f>
        <v>0.59101857203725416</v>
      </c>
      <c r="EC146" s="21">
        <f>EXP(-LN(2)/2)*EC145+(1-EXP(-LN(2)/2))/(LN(2)/2)*DW146*DZ146*VLOOKUP('Données projet'!$B$14,Paramètres!$A$1:$I$89,3,0)*0.475*44/12</f>
        <v>1.567288319757382E-16</v>
      </c>
      <c r="ED146" s="22">
        <f t="shared" si="126"/>
        <v>1.1564720455330126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6.2527760746888816E-13</v>
      </c>
      <c r="EK146" s="17">
        <f>EJ146*VLOOKUP('Données projet'!$B$15,Paramètres!$A$1:$I$89,3,0)*VLOOKUP('Données projet'!$B$15,Paramètres!$A$1:$I$89,5,0)</f>
        <v>3.9017322706058616E-13</v>
      </c>
      <c r="EL146" s="13">
        <f t="shared" si="153"/>
        <v>5.0025007393608908E-12</v>
      </c>
      <c r="EM146" s="20">
        <f t="shared" si="127"/>
        <v>9.3922404915174053E-12</v>
      </c>
      <c r="EN146" s="59">
        <f t="shared" si="128"/>
        <v>293.33333333334269</v>
      </c>
      <c r="EO146" s="59">
        <f ca="1">AVERAGE(OFFSET($EN$3,0,0,'Données projet'!$E$15+1,1))-AVERAGE(OFFSET($H$3,0,0,'Données projet'!$E$15+1,1))</f>
        <v>209.93608079129638</v>
      </c>
      <c r="EP146" s="59">
        <f t="shared" si="154"/>
        <v>240.15652428700969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0.74181462119582675</v>
      </c>
      <c r="EW146" s="21">
        <f>EXP(-LN(2)/25)*EW145+(1-EXP(-LN(2)/25))/(LN(2)/25)*Calculateur!ER146*Calculateur!ET146*VLOOKUP('Données projet'!$B$15,Paramètres!$A$1:$I$89,3,0)*0.475*44/12</f>
        <v>0.90605636432017578</v>
      </c>
      <c r="EX146" s="21">
        <f>EXP(-LN(2)/2)*EX145+(1-EXP(-LN(2)/2))/(LN(2)/2)*ER146*EU146*VLOOKUP('Données projet'!$B$15,Paramètres!$A$1:$I$89,3,0)*0.475*44/12</f>
        <v>1.9813404473161583E-16</v>
      </c>
      <c r="EY146" s="22">
        <f t="shared" si="129"/>
        <v>1.6478709855160028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5.6843418860808015E-14</v>
      </c>
      <c r="O147" s="13">
        <f>N147*VLOOKUP('Données projet'!$B$9,Paramètres!$A$1:$I$89,3,0)*VLOOKUP('Données projet'!$B$9,Paramètres!$A$1:$I$89,5,0)</f>
        <v>4.5224624045658861E-14</v>
      </c>
      <c r="P147" s="13">
        <f t="shared" si="141"/>
        <v>7.4514601661523691E-13</v>
      </c>
      <c r="Q147" s="20">
        <f t="shared" si="108"/>
        <v>1.3765621991510601E-12</v>
      </c>
      <c r="R147" s="59">
        <f t="shared" si="109"/>
        <v>293.33333333333468</v>
      </c>
      <c r="S147" s="59">
        <f ca="1">AVERAGE(OFFSET($R$3,0,0,'Données projet'!$E$9+1,1))-AVERAGE(OFFSET($H$3,0,0,'Données projet'!$E$9+1,1))</f>
        <v>199.58763537752952</v>
      </c>
      <c r="T147" s="59">
        <f t="shared" si="142"/>
        <v>242.62852778451929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</v>
      </c>
      <c r="AA147" s="21">
        <f>EXP(-LN(2)/25)*AA146+(1-EXP(-LN(2)/25))/(LN(2)/25)*Calculateur!V147*Calculateur!X147*VLOOKUP('Données projet'!$B$9,Paramètres!$A$1:$I$89,3,0)*0.475*44/12</f>
        <v>0.43593532429520826</v>
      </c>
      <c r="AB147" s="21">
        <f>EXP(-LN(2)/2)*AB146+(1-EXP(-LN(2)/2))/(LN(2)/2)*V147*Y147*VLOOKUP('Données projet'!$B$9,Paramètres!$A$1:$I$89,3,0)*0.475*44/12</f>
        <v>7.4673311931257452E-17</v>
      </c>
      <c r="AC147" s="22">
        <f t="shared" si="111"/>
        <v>0.43593532429520832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566</v>
      </c>
      <c r="AJ147" s="13">
        <f>AI147*VLOOKUP('Données projet'!$B$10,Paramètres!$A$1:$I$89,3,0)*VLOOKUP('Données projet'!$B$10,Paramètres!$A$1:$I$89,5,0)</f>
        <v>338.46800000000002</v>
      </c>
      <c r="AK147" s="13">
        <f t="shared" si="143"/>
        <v>79.183342377469998</v>
      </c>
      <c r="AL147" s="20">
        <f t="shared" si="112"/>
        <v>727.4094213074269</v>
      </c>
      <c r="AM147" s="59">
        <f t="shared" si="113"/>
        <v>1020.7427546407603</v>
      </c>
      <c r="AN147" s="59">
        <f ca="1">AVERAGE(OFFSET($AM$3,0,0,'Données projet'!$E$10+1,1))-AVERAGE(OFFSET($H$3,0,0,'Données projet'!$E$10+1,1))</f>
        <v>287.78657453117694</v>
      </c>
      <c r="AO147" s="59">
        <f t="shared" si="144"/>
        <v>153.31562485362252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0.3061668785120728</v>
      </c>
      <c r="AV147" s="21">
        <f>EXP(-LN(2)/25)*AV146+(1-EXP(-LN(2)/25))/(LN(2)/25)*Calculateur!AQ147*Calculateur!AS147*VLOOKUP('Données projet'!$B$10,Paramètres!$A$1:$I$89,3,0)*0.475*44/12</f>
        <v>0.24721553817657238</v>
      </c>
      <c r="AW147" s="21">
        <f>EXP(-LN(2)/2)*AW146+(1-EXP(-LN(2)/2))/(LN(2)/2)*AQ147*AT147*VLOOKUP('Données projet'!$B$10,Paramètres!$A$1:$I$89,3,0)*0.475*44/12</f>
        <v>7.7049676280177971E-17</v>
      </c>
      <c r="AX147" s="21">
        <f t="shared" si="114"/>
        <v>0.5533824166886453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-6.7984728957526396E-14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250.93905519128998</v>
      </c>
      <c r="BJ147" s="59">
        <f t="shared" si="146"/>
        <v>222.32879462265032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0.13399417776442391</v>
      </c>
      <c r="BQ147" s="21">
        <f>EXP(-LN(2)/25)*BQ146+(1-EXP(-LN(2)/25))/(LN(2)/25)*Calculateur!BL147*Calculateur!BN147*VLOOKUP('Données projet'!$B$11,Paramètres!$A$1:$I$89,3,0)*0.475*44/12</f>
        <v>0.4906964210381714</v>
      </c>
      <c r="BR147" s="21">
        <f>EXP(-LN(2)/2)*BR146+(1-EXP(-LN(2)/2))/(LN(2)/2)*BL147*BO147*VLOOKUP('Données projet'!$B$11,Paramètres!$A$1:$I$89,3,0)*0.475*44/12</f>
        <v>1.3096319520833846E-17</v>
      </c>
      <c r="BS147" s="22">
        <f t="shared" si="117"/>
        <v>0.62469059880259525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-2.8421709430404007E-13</v>
      </c>
      <c r="BZ147" s="13">
        <f>BY147*VLOOKUP('Données projet'!$B$12,Paramètres!$A$1:$I$89,3,0)*VLOOKUP('Données projet'!$B$12,Paramètres!$A$1:$I$89,5,0)</f>
        <v>-1.69961822393816E-13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179.32848817523677</v>
      </c>
      <c r="CE147" s="59">
        <f t="shared" si="148"/>
        <v>131.3292389103035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0.55875473478333249</v>
      </c>
      <c r="CM147" s="21">
        <f>EXP(-LN(2)/2)*CM146+(1-EXP(-LN(2)/2))/(LN(2)/2)*CG147*CJ147*VLOOKUP('Données projet'!$B$12,Paramètres!$A$1:$I$89,3,0)*0.475*44/12</f>
        <v>3.6518492238828418E-17</v>
      </c>
      <c r="CN147" s="22">
        <f t="shared" si="120"/>
        <v>0.55875473478333249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7.2314102564102543</v>
      </c>
      <c r="CT147" s="12">
        <f>IF('Données projet'!$A$140&gt;35,CT146+CS147-DB146,IF(A147&lt;'Données projet'!$A$140,$CQ$205^A147,IF(A147='Données projet'!$A$140,'Données projet'!$B$140,CT146+CS147-DB146)))</f>
        <v>410.16923076923007</v>
      </c>
      <c r="CU147" s="17">
        <f>CT147*VLOOKUP('Données projet'!$B$13,Paramètres!$A$1:$I$89,3,0)*VLOOKUP('Données projet'!$B$13,Paramètres!$A$1:$I$89,5,0)</f>
        <v>371.12111999999939</v>
      </c>
      <c r="CV147" s="13">
        <f t="shared" si="149"/>
        <v>85.896627156574425</v>
      </c>
      <c r="CW147" s="20">
        <f t="shared" si="121"/>
        <v>795.97257629769945</v>
      </c>
      <c r="CX147" s="59">
        <f t="shared" si="122"/>
        <v>1089.3059096310328</v>
      </c>
      <c r="CY147" s="59">
        <f ca="1">AVERAGE(OFFSET($CX$3,0,0,'Données projet'!$E$13+1,1))-AVERAGE(OFFSET($H$3,0,0,'Données projet'!$E$13+1,1))</f>
        <v>309.07357540707869</v>
      </c>
      <c r="CZ147" s="59">
        <f t="shared" si="150"/>
        <v>155.9593924683299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227.99999999999986</v>
      </c>
      <c r="DP147" s="17">
        <f>DO147*VLOOKUP('Données projet'!$B$14,Paramètres!$A$1:$I$89,3,0)*VLOOKUP('Données projet'!$B$14,Paramètres!$A$1:$I$89,5,0)</f>
        <v>199.18079999999992</v>
      </c>
      <c r="DQ147" s="13">
        <f t="shared" si="151"/>
        <v>49.564089376413683</v>
      </c>
      <c r="DR147" s="20">
        <f t="shared" si="124"/>
        <v>433.23068233058694</v>
      </c>
      <c r="DS147" s="59">
        <f t="shared" si="125"/>
        <v>726.56401566392026</v>
      </c>
      <c r="DT147" s="59">
        <f ca="1">AVERAGE(OFFSET($DS$3,0,0,'Données projet'!$E$14+1,1))-AVERAGE(OFFSET($H$3,0,0,'Données projet'!$E$14+1,1))</f>
        <v>210.07838338464626</v>
      </c>
      <c r="DU147" s="59">
        <f t="shared" si="152"/>
        <v>241.76003724236273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0.55436527577306993</v>
      </c>
      <c r="EB147" s="21">
        <f>EXP(-LN(2)/25)*EB146+(1-EXP(-LN(2)/25))/(LN(2)/25)*Calculateur!DW147*Calculateur!DY147*VLOOKUP('Données projet'!$B$14,Paramètres!$A$1:$I$89,3,0)*0.475*44/12</f>
        <v>0.5748571381045795</v>
      </c>
      <c r="EC147" s="21">
        <f>EXP(-LN(2)/2)*EC146+(1-EXP(-LN(2)/2))/(LN(2)/2)*DW147*DZ147*VLOOKUP('Données projet'!$B$14,Paramètres!$A$1:$I$89,3,0)*0.475*44/12</f>
        <v>1.1082401989749149E-16</v>
      </c>
      <c r="ED147" s="22">
        <f t="shared" si="126"/>
        <v>1.1292224138776494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6.2527760746888816E-13</v>
      </c>
      <c r="EK147" s="17">
        <f>EJ147*VLOOKUP('Données projet'!$B$15,Paramètres!$A$1:$I$89,3,0)*VLOOKUP('Données projet'!$B$15,Paramètres!$A$1:$I$89,5,0)</f>
        <v>3.9017322706058616E-13</v>
      </c>
      <c r="EL147" s="13">
        <f t="shared" si="153"/>
        <v>5.0025007393608908E-12</v>
      </c>
      <c r="EM147" s="20">
        <f t="shared" si="127"/>
        <v>9.3922404915174053E-12</v>
      </c>
      <c r="EN147" s="59">
        <f t="shared" si="128"/>
        <v>293.33333333334269</v>
      </c>
      <c r="EO147" s="59">
        <f ca="1">AVERAGE(OFFSET($EN$3,0,0,'Données projet'!$E$15+1,1))-AVERAGE(OFFSET($H$3,0,0,'Données projet'!$E$15+1,1))</f>
        <v>209.93608079129638</v>
      </c>
      <c r="EP147" s="59">
        <f t="shared" si="154"/>
        <v>240.15652428700969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0.72726808893641859</v>
      </c>
      <c r="EW147" s="21">
        <f>EXP(-LN(2)/25)*EW146+(1-EXP(-LN(2)/25))/(LN(2)/25)*Calculateur!ER147*Calculateur!ET147*VLOOKUP('Données projet'!$B$15,Paramètres!$A$1:$I$89,3,0)*0.475*44/12</f>
        <v>0.88128020539040719</v>
      </c>
      <c r="EX147" s="21">
        <f>EXP(-LN(2)/2)*EX146+(1-EXP(-LN(2)/2))/(LN(2)/2)*ER147*EU147*VLOOKUP('Données projet'!$B$15,Paramètres!$A$1:$I$89,3,0)*0.475*44/12</f>
        <v>1.4010192661364429E-16</v>
      </c>
      <c r="EY147" s="22">
        <f t="shared" si="129"/>
        <v>1.6085482943268261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5.6843418860808015E-14</v>
      </c>
      <c r="O148" s="13">
        <f>N148*VLOOKUP('Données projet'!$B$9,Paramètres!$A$1:$I$89,3,0)*VLOOKUP('Données projet'!$B$9,Paramètres!$A$1:$I$89,5,0)</f>
        <v>4.5224624045658861E-14</v>
      </c>
      <c r="P148" s="13">
        <f t="shared" si="141"/>
        <v>7.4514601661523691E-13</v>
      </c>
      <c r="Q148" s="20">
        <f t="shared" si="108"/>
        <v>1.3765621991510601E-12</v>
      </c>
      <c r="R148" s="59">
        <f t="shared" si="109"/>
        <v>293.33333333333468</v>
      </c>
      <c r="S148" s="59">
        <f ca="1">AVERAGE(OFFSET($R$3,0,0,'Données projet'!$E$9+1,1))-AVERAGE(OFFSET($H$3,0,0,'Données projet'!$E$9+1,1))</f>
        <v>199.58763537752952</v>
      </c>
      <c r="T148" s="59">
        <f t="shared" si="142"/>
        <v>242.62852778451929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</v>
      </c>
      <c r="AA148" s="21">
        <f>EXP(-LN(2)/25)*AA147+(1-EXP(-LN(2)/25))/(LN(2)/25)*Calculateur!V148*Calculateur!X148*VLOOKUP('Données projet'!$B$9,Paramètres!$A$1:$I$89,3,0)*0.475*44/12</f>
        <v>0.42401464992751342</v>
      </c>
      <c r="AB148" s="21">
        <f>EXP(-LN(2)/2)*AB147+(1-EXP(-LN(2)/2))/(LN(2)/2)*V148*Y148*VLOOKUP('Données projet'!$B$9,Paramètres!$A$1:$I$89,3,0)*0.475*44/12</f>
        <v>5.2802005240250472E-17</v>
      </c>
      <c r="AC148" s="22">
        <f t="shared" si="111"/>
        <v>0.42401464992751348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566</v>
      </c>
      <c r="AJ148" s="13">
        <f>AI148*VLOOKUP('Données projet'!$B$10,Paramètres!$A$1:$I$89,3,0)*VLOOKUP('Données projet'!$B$10,Paramètres!$A$1:$I$89,5,0)</f>
        <v>338.46800000000002</v>
      </c>
      <c r="AK148" s="13">
        <f t="shared" si="143"/>
        <v>79.183342377469998</v>
      </c>
      <c r="AL148" s="20">
        <f t="shared" si="112"/>
        <v>727.4094213074269</v>
      </c>
      <c r="AM148" s="59">
        <f t="shared" si="113"/>
        <v>1020.7427546407603</v>
      </c>
      <c r="AN148" s="59">
        <f ca="1">AVERAGE(OFFSET($AM$3,0,0,'Données projet'!$E$10+1,1))-AVERAGE(OFFSET($H$3,0,0,'Données projet'!$E$10+1,1))</f>
        <v>287.78657453117694</v>
      </c>
      <c r="AO148" s="59">
        <f t="shared" si="144"/>
        <v>153.31562485362252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0.30016313276780759</v>
      </c>
      <c r="AV148" s="21">
        <f>EXP(-LN(2)/25)*AV147+(1-EXP(-LN(2)/25))/(LN(2)/25)*Calculateur!AQ148*Calculateur!AS148*VLOOKUP('Données projet'!$B$10,Paramètres!$A$1:$I$89,3,0)*0.475*44/12</f>
        <v>0.24045541628463388</v>
      </c>
      <c r="AW148" s="21">
        <f>EXP(-LN(2)/2)*AW147+(1-EXP(-LN(2)/2))/(LN(2)/2)*AQ148*AT148*VLOOKUP('Données projet'!$B$10,Paramètres!$A$1:$I$89,3,0)*0.475*44/12</f>
        <v>5.4482348585942128E-17</v>
      </c>
      <c r="AX148" s="21">
        <f t="shared" si="114"/>
        <v>0.54061854905244144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-6.7984728957526396E-14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250.93905519128998</v>
      </c>
      <c r="BJ148" s="59">
        <f t="shared" si="146"/>
        <v>222.32879462265032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0.13136663366684198</v>
      </c>
      <c r="BQ148" s="21">
        <f>EXP(-LN(2)/25)*BQ147+(1-EXP(-LN(2)/25))/(LN(2)/25)*Calculateur!BL148*Calculateur!BN148*VLOOKUP('Données projet'!$B$11,Paramètres!$A$1:$I$89,3,0)*0.475*44/12</f>
        <v>0.47727830160027934</v>
      </c>
      <c r="BR148" s="21">
        <f>EXP(-LN(2)/2)*BR147+(1-EXP(-LN(2)/2))/(LN(2)/2)*BL148*BO148*VLOOKUP('Données projet'!$B$11,Paramètres!$A$1:$I$89,3,0)*0.475*44/12</f>
        <v>9.2604963417673695E-18</v>
      </c>
      <c r="BS148" s="22">
        <f t="shared" si="117"/>
        <v>0.60864493526712127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-2.8421709430404007E-13</v>
      </c>
      <c r="BZ148" s="13">
        <f>BY148*VLOOKUP('Données projet'!$B$12,Paramètres!$A$1:$I$89,3,0)*VLOOKUP('Données projet'!$B$12,Paramètres!$A$1:$I$89,5,0)</f>
        <v>-1.69961822393816E-13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179.32848817523677</v>
      </c>
      <c r="CE148" s="59">
        <f t="shared" si="148"/>
        <v>131.3292389103035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0.54347555717704776</v>
      </c>
      <c r="CM148" s="21">
        <f>EXP(-LN(2)/2)*CM147+(1-EXP(-LN(2)/2))/(LN(2)/2)*CG148*CJ148*VLOOKUP('Données projet'!$B$12,Paramètres!$A$1:$I$89,3,0)*0.475*44/12</f>
        <v>2.5822473500783881E-17</v>
      </c>
      <c r="CN148" s="22">
        <f t="shared" si="120"/>
        <v>0.54347555717704776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7.2314102564102543</v>
      </c>
      <c r="CT148" s="12">
        <f>IF('Données projet'!$A$140&gt;35,CT147+CS148-DB147,IF(A148&lt;'Données projet'!$A$140,$CQ$205^A148,IF(A148='Données projet'!$A$140,'Données projet'!$B$140,CT147+CS148-DB147)))</f>
        <v>417.40064102564031</v>
      </c>
      <c r="CU148" s="17">
        <f>CT148*VLOOKUP('Données projet'!$B$13,Paramètres!$A$1:$I$89,3,0)*VLOOKUP('Données projet'!$B$13,Paramètres!$A$1:$I$89,5,0)</f>
        <v>377.66409999999934</v>
      </c>
      <c r="CV148" s="13">
        <f t="shared" si="149"/>
        <v>87.233372836107904</v>
      </c>
      <c r="CW148" s="20">
        <f t="shared" si="121"/>
        <v>809.69643185621999</v>
      </c>
      <c r="CX148" s="59">
        <f t="shared" si="122"/>
        <v>1103.0297651895532</v>
      </c>
      <c r="CY148" s="59">
        <f ca="1">AVERAGE(OFFSET($CX$3,0,0,'Données projet'!$E$13+1,1))-AVERAGE(OFFSET($H$3,0,0,'Données projet'!$E$13+1,1))</f>
        <v>309.07357540707869</v>
      </c>
      <c r="CZ148" s="59">
        <f t="shared" si="150"/>
        <v>155.9593924683299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227.99999999999986</v>
      </c>
      <c r="DP148" s="17">
        <f>DO148*VLOOKUP('Données projet'!$B$14,Paramètres!$A$1:$I$89,3,0)*VLOOKUP('Données projet'!$B$14,Paramètres!$A$1:$I$89,5,0)</f>
        <v>199.18079999999992</v>
      </c>
      <c r="DQ148" s="13">
        <f t="shared" si="151"/>
        <v>49.564089376413683</v>
      </c>
      <c r="DR148" s="20">
        <f t="shared" si="124"/>
        <v>433.23068233058694</v>
      </c>
      <c r="DS148" s="59">
        <f t="shared" si="125"/>
        <v>726.56401566392026</v>
      </c>
      <c r="DT148" s="59">
        <f ca="1">AVERAGE(OFFSET($DS$3,0,0,'Données projet'!$E$14+1,1))-AVERAGE(OFFSET($H$3,0,0,'Données projet'!$E$14+1,1))</f>
        <v>210.07838338464626</v>
      </c>
      <c r="DU148" s="59">
        <f t="shared" si="152"/>
        <v>241.76003724236273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0.54349451084459077</v>
      </c>
      <c r="EB148" s="21">
        <f>EXP(-LN(2)/25)*EB147+(1-EXP(-LN(2)/25))/(LN(2)/25)*Calculateur!DW148*Calculateur!DY148*VLOOKUP('Données projet'!$B$14,Paramètres!$A$1:$I$89,3,0)*0.475*44/12</f>
        <v>0.55913763943268668</v>
      </c>
      <c r="EC148" s="21">
        <f>EXP(-LN(2)/2)*EC147+(1-EXP(-LN(2)/2))/(LN(2)/2)*DW148*DZ148*VLOOKUP('Données projet'!$B$14,Paramètres!$A$1:$I$89,3,0)*0.475*44/12</f>
        <v>7.8364415987869113E-17</v>
      </c>
      <c r="ED148" s="22">
        <f t="shared" si="126"/>
        <v>1.1026321502772776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6.2527760746888816E-13</v>
      </c>
      <c r="EK148" s="17">
        <f>EJ148*VLOOKUP('Données projet'!$B$15,Paramètres!$A$1:$I$89,3,0)*VLOOKUP('Données projet'!$B$15,Paramètres!$A$1:$I$89,5,0)</f>
        <v>3.9017322706058616E-13</v>
      </c>
      <c r="EL148" s="13">
        <f t="shared" si="153"/>
        <v>5.0025007393608908E-12</v>
      </c>
      <c r="EM148" s="20">
        <f t="shared" si="127"/>
        <v>9.3922404915174053E-12</v>
      </c>
      <c r="EN148" s="59">
        <f t="shared" si="128"/>
        <v>293.33333333334269</v>
      </c>
      <c r="EO148" s="59">
        <f ca="1">AVERAGE(OFFSET($EN$3,0,0,'Données projet'!$E$15+1,1))-AVERAGE(OFFSET($H$3,0,0,'Données projet'!$E$15+1,1))</f>
        <v>209.93608079129638</v>
      </c>
      <c r="EP148" s="59">
        <f t="shared" si="154"/>
        <v>240.15652428700969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0.7130068053021088</v>
      </c>
      <c r="EW148" s="21">
        <f>EXP(-LN(2)/25)*EW147+(1-EXP(-LN(2)/25))/(LN(2)/25)*Calculateur!ER148*Calculateur!ET148*VLOOKUP('Données projet'!$B$15,Paramètres!$A$1:$I$89,3,0)*0.475*44/12</f>
        <v>0.85718155182949474</v>
      </c>
      <c r="EX148" s="21">
        <f>EXP(-LN(2)/2)*EX147+(1-EXP(-LN(2)/2))/(LN(2)/2)*ER148*EU148*VLOOKUP('Données projet'!$B$15,Paramètres!$A$1:$I$89,3,0)*0.475*44/12</f>
        <v>9.9067022365807913E-17</v>
      </c>
      <c r="EY148" s="22">
        <f t="shared" si="129"/>
        <v>1.5701883571316035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5.6843418860808015E-14</v>
      </c>
      <c r="O149" s="13">
        <f>N149*VLOOKUP('Données projet'!$B$9,Paramètres!$A$1:$I$89,3,0)*VLOOKUP('Données projet'!$B$9,Paramètres!$A$1:$I$89,5,0)</f>
        <v>4.5224624045658861E-14</v>
      </c>
      <c r="P149" s="13">
        <f t="shared" si="141"/>
        <v>7.4514601661523691E-13</v>
      </c>
      <c r="Q149" s="20">
        <f t="shared" si="108"/>
        <v>1.3765621991510601E-12</v>
      </c>
      <c r="R149" s="59">
        <f t="shared" si="109"/>
        <v>293.33333333333468</v>
      </c>
      <c r="S149" s="59">
        <f ca="1">AVERAGE(OFFSET($R$3,0,0,'Données projet'!$E$9+1,1))-AVERAGE(OFFSET($H$3,0,0,'Données projet'!$E$9+1,1))</f>
        <v>199.58763537752952</v>
      </c>
      <c r="T149" s="59">
        <f t="shared" si="142"/>
        <v>242.62852778451929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</v>
      </c>
      <c r="AA149" s="21">
        <f>EXP(-LN(2)/25)*AA148+(1-EXP(-LN(2)/25))/(LN(2)/25)*Calculateur!V149*Calculateur!X149*VLOOKUP('Données projet'!$B$9,Paramètres!$A$1:$I$89,3,0)*0.475*44/12</f>
        <v>0.41241994702728424</v>
      </c>
      <c r="AB149" s="21">
        <f>EXP(-LN(2)/2)*AB148+(1-EXP(-LN(2)/2))/(LN(2)/2)*V149*Y149*VLOOKUP('Données projet'!$B$9,Paramètres!$A$1:$I$89,3,0)*0.475*44/12</f>
        <v>3.7336655965628726E-17</v>
      </c>
      <c r="AC149" s="22">
        <f t="shared" si="111"/>
        <v>0.41241994702728429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566</v>
      </c>
      <c r="AJ149" s="13">
        <f>AI149*VLOOKUP('Données projet'!$B$10,Paramètres!$A$1:$I$89,3,0)*VLOOKUP('Données projet'!$B$10,Paramètres!$A$1:$I$89,5,0)</f>
        <v>338.46800000000002</v>
      </c>
      <c r="AK149" s="13">
        <f t="shared" si="143"/>
        <v>79.183342377469998</v>
      </c>
      <c r="AL149" s="20">
        <f t="shared" si="112"/>
        <v>727.4094213074269</v>
      </c>
      <c r="AM149" s="59">
        <f t="shared" si="113"/>
        <v>1020.7427546407603</v>
      </c>
      <c r="AN149" s="59">
        <f ca="1">AVERAGE(OFFSET($AM$3,0,0,'Données projet'!$E$10+1,1))-AVERAGE(OFFSET($H$3,0,0,'Données projet'!$E$10+1,1))</f>
        <v>287.78657453117694</v>
      </c>
      <c r="AO149" s="59">
        <f t="shared" si="144"/>
        <v>153.31562485362252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0.2942771168156641</v>
      </c>
      <c r="AV149" s="21">
        <f>EXP(-LN(2)/25)*AV148+(1-EXP(-LN(2)/25))/(LN(2)/25)*Calculateur!AQ149*Calculateur!AS149*VLOOKUP('Données projet'!$B$10,Paramètres!$A$1:$I$89,3,0)*0.475*44/12</f>
        <v>0.2338801502813298</v>
      </c>
      <c r="AW149" s="21">
        <f>EXP(-LN(2)/2)*AW148+(1-EXP(-LN(2)/2))/(LN(2)/2)*AQ149*AT149*VLOOKUP('Données projet'!$B$10,Paramètres!$A$1:$I$89,3,0)*0.475*44/12</f>
        <v>3.8524838140088992E-17</v>
      </c>
      <c r="AX149" s="21">
        <f t="shared" si="114"/>
        <v>0.52815726709699384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-6.7984728957526396E-14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250.93905519128998</v>
      </c>
      <c r="BJ149" s="59">
        <f t="shared" si="146"/>
        <v>222.32879462265032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0.12879061410636999</v>
      </c>
      <c r="BQ149" s="21">
        <f>EXP(-LN(2)/25)*BQ148+(1-EXP(-LN(2)/25))/(LN(2)/25)*Calculateur!BL149*Calculateur!BN149*VLOOKUP('Données projet'!$B$11,Paramètres!$A$1:$I$89,3,0)*0.475*44/12</f>
        <v>0.46422710134404466</v>
      </c>
      <c r="BR149" s="21">
        <f>EXP(-LN(2)/2)*BR148+(1-EXP(-LN(2)/2))/(LN(2)/2)*BL149*BO149*VLOOKUP('Données projet'!$B$11,Paramètres!$A$1:$I$89,3,0)*0.475*44/12</f>
        <v>6.5481597604169232E-18</v>
      </c>
      <c r="BS149" s="22">
        <f t="shared" si="117"/>
        <v>0.5930177154504146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-2.8421709430404007E-13</v>
      </c>
      <c r="BZ149" s="13">
        <f>BY149*VLOOKUP('Données projet'!$B$12,Paramètres!$A$1:$I$89,3,0)*VLOOKUP('Données projet'!$B$12,Paramètres!$A$1:$I$89,5,0)</f>
        <v>-1.69961822393816E-13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179.32848817523677</v>
      </c>
      <c r="CE149" s="59">
        <f t="shared" si="148"/>
        <v>131.3292389103035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0.528614189485904</v>
      </c>
      <c r="CM149" s="21">
        <f>EXP(-LN(2)/2)*CM148+(1-EXP(-LN(2)/2))/(LN(2)/2)*CG149*CJ149*VLOOKUP('Données projet'!$B$12,Paramètres!$A$1:$I$89,3,0)*0.475*44/12</f>
        <v>1.8259246119414209E-17</v>
      </c>
      <c r="CN149" s="22">
        <f t="shared" si="120"/>
        <v>0.528614189485904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7.2314102564102543</v>
      </c>
      <c r="CT149" s="12">
        <f>IF('Données projet'!$A$140&gt;35,CT148+CS149-DB148,IF(A149&lt;'Données projet'!$A$140,$CQ$205^A149,IF(A149='Données projet'!$A$140,'Données projet'!$B$140,CT148+CS149-DB148)))</f>
        <v>424.63205128205055</v>
      </c>
      <c r="CU149" s="17">
        <f>CT149*VLOOKUP('Données projet'!$B$13,Paramètres!$A$1:$I$89,3,0)*VLOOKUP('Données projet'!$B$13,Paramètres!$A$1:$I$89,5,0)</f>
        <v>384.20707999999934</v>
      </c>
      <c r="CV149" s="13">
        <f t="shared" si="149"/>
        <v>88.567425388857529</v>
      </c>
      <c r="CW149" s="20">
        <f t="shared" si="121"/>
        <v>823.41559688559244</v>
      </c>
      <c r="CX149" s="59">
        <f t="shared" si="122"/>
        <v>1116.7489302189258</v>
      </c>
      <c r="CY149" s="59">
        <f ca="1">AVERAGE(OFFSET($CX$3,0,0,'Données projet'!$E$13+1,1))-AVERAGE(OFFSET($H$3,0,0,'Données projet'!$E$13+1,1))</f>
        <v>309.07357540707869</v>
      </c>
      <c r="CZ149" s="59">
        <f t="shared" si="150"/>
        <v>155.9593924683299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227.99999999999986</v>
      </c>
      <c r="DP149" s="17">
        <f>DO149*VLOOKUP('Données projet'!$B$14,Paramètres!$A$1:$I$89,3,0)*VLOOKUP('Données projet'!$B$14,Paramètres!$A$1:$I$89,5,0)</f>
        <v>199.18079999999992</v>
      </c>
      <c r="DQ149" s="13">
        <f t="shared" si="151"/>
        <v>49.564089376413683</v>
      </c>
      <c r="DR149" s="20">
        <f t="shared" si="124"/>
        <v>433.23068233058694</v>
      </c>
      <c r="DS149" s="59">
        <f t="shared" si="125"/>
        <v>726.56401566392026</v>
      </c>
      <c r="DT149" s="59">
        <f ca="1">AVERAGE(OFFSET($DS$3,0,0,'Données projet'!$E$14+1,1))-AVERAGE(OFFSET($H$3,0,0,'Données projet'!$E$14+1,1))</f>
        <v>210.07838338464626</v>
      </c>
      <c r="DU149" s="59">
        <f t="shared" si="152"/>
        <v>241.76003724236273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0.53283691498584718</v>
      </c>
      <c r="EB149" s="21">
        <f>EXP(-LN(2)/25)*EB148+(1-EXP(-LN(2)/25))/(LN(2)/25)*Calculateur!DW149*Calculateur!DY149*VLOOKUP('Données projet'!$B$14,Paramètres!$A$1:$I$89,3,0)*0.475*44/12</f>
        <v>0.54384799127862937</v>
      </c>
      <c r="EC149" s="21">
        <f>EXP(-LN(2)/2)*EC148+(1-EXP(-LN(2)/2))/(LN(2)/2)*DW149*DZ149*VLOOKUP('Données projet'!$B$14,Paramètres!$A$1:$I$89,3,0)*0.475*44/12</f>
        <v>5.5412009948745752E-17</v>
      </c>
      <c r="ED149" s="22">
        <f t="shared" si="126"/>
        <v>1.0766849062644765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6.2527760746888816E-13</v>
      </c>
      <c r="EK149" s="17">
        <f>EJ149*VLOOKUP('Données projet'!$B$15,Paramètres!$A$1:$I$89,3,0)*VLOOKUP('Données projet'!$B$15,Paramètres!$A$1:$I$89,5,0)</f>
        <v>3.9017322706058616E-13</v>
      </c>
      <c r="EL149" s="13">
        <f t="shared" si="153"/>
        <v>5.0025007393608908E-12</v>
      </c>
      <c r="EM149" s="20">
        <f t="shared" si="127"/>
        <v>9.3922404915174053E-12</v>
      </c>
      <c r="EN149" s="59">
        <f t="shared" si="128"/>
        <v>293.33333333334269</v>
      </c>
      <c r="EO149" s="59">
        <f ca="1">AVERAGE(OFFSET($EN$3,0,0,'Données projet'!$E$15+1,1))-AVERAGE(OFFSET($H$3,0,0,'Données projet'!$E$15+1,1))</f>
        <v>209.93608079129638</v>
      </c>
      <c r="EP149" s="59">
        <f t="shared" si="154"/>
        <v>240.15652428700969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0.69902517674134379</v>
      </c>
      <c r="EW149" s="21">
        <f>EXP(-LN(2)/25)*EW148+(1-EXP(-LN(2)/25))/(LN(2)/25)*Calculateur!ER149*Calculateur!ET149*VLOOKUP('Données projet'!$B$15,Paramètres!$A$1:$I$89,3,0)*0.475*44/12</f>
        <v>0.83374187721749848</v>
      </c>
      <c r="EX149" s="21">
        <f>EXP(-LN(2)/2)*EX148+(1-EXP(-LN(2)/2))/(LN(2)/2)*ER149*EU149*VLOOKUP('Données projet'!$B$15,Paramètres!$A$1:$I$89,3,0)*0.475*44/12</f>
        <v>7.0050963306822145E-17</v>
      </c>
      <c r="EY149" s="22">
        <f t="shared" si="129"/>
        <v>1.5327670539588423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5.6843418860808015E-14</v>
      </c>
      <c r="O150" s="13">
        <f>N150*VLOOKUP('Données projet'!$B$9,Paramètres!$A$1:$I$89,3,0)*VLOOKUP('Données projet'!$B$9,Paramètres!$A$1:$I$89,5,0)</f>
        <v>4.5224624045658861E-14</v>
      </c>
      <c r="P150" s="13">
        <f t="shared" si="141"/>
        <v>7.4514601661523691E-13</v>
      </c>
      <c r="Q150" s="20">
        <f t="shared" si="108"/>
        <v>1.3765621991510601E-12</v>
      </c>
      <c r="R150" s="59">
        <f t="shared" si="109"/>
        <v>293.33333333333468</v>
      </c>
      <c r="S150" s="59">
        <f ca="1">AVERAGE(OFFSET($R$3,0,0,'Données projet'!$E$9+1,1))-AVERAGE(OFFSET($H$3,0,0,'Données projet'!$E$9+1,1))</f>
        <v>199.58763537752952</v>
      </c>
      <c r="T150" s="59">
        <f t="shared" si="142"/>
        <v>242.62852778451929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</v>
      </c>
      <c r="AA150" s="21">
        <f>EXP(-LN(2)/25)*AA149+(1-EXP(-LN(2)/25))/(LN(2)/25)*Calculateur!V150*Calculateur!X150*VLOOKUP('Données projet'!$B$9,Paramètres!$A$1:$I$89,3,0)*0.475*44/12</f>
        <v>0.40114230188760075</v>
      </c>
      <c r="AB150" s="21">
        <f>EXP(-LN(2)/2)*AB149+(1-EXP(-LN(2)/2))/(LN(2)/2)*V150*Y150*VLOOKUP('Données projet'!$B$9,Paramètres!$A$1:$I$89,3,0)*0.475*44/12</f>
        <v>2.6401002620125236E-17</v>
      </c>
      <c r="AC150" s="22">
        <f t="shared" si="111"/>
        <v>0.40114230188760075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566</v>
      </c>
      <c r="AJ150" s="13">
        <f>AI150*VLOOKUP('Données projet'!$B$10,Paramètres!$A$1:$I$89,3,0)*VLOOKUP('Données projet'!$B$10,Paramètres!$A$1:$I$89,5,0)</f>
        <v>338.46800000000002</v>
      </c>
      <c r="AK150" s="13">
        <f t="shared" si="143"/>
        <v>79.183342377469998</v>
      </c>
      <c r="AL150" s="20">
        <f t="shared" si="112"/>
        <v>727.4094213074269</v>
      </c>
      <c r="AM150" s="59">
        <f t="shared" si="113"/>
        <v>1020.7427546407603</v>
      </c>
      <c r="AN150" s="59">
        <f ca="1">AVERAGE(OFFSET($AM$3,0,0,'Données projet'!$E$10+1,1))-AVERAGE(OFFSET($H$3,0,0,'Données projet'!$E$10+1,1))</f>
        <v>287.78657453117694</v>
      </c>
      <c r="AO150" s="59">
        <f t="shared" si="144"/>
        <v>153.31562485362252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0.2885065220462269</v>
      </c>
      <c r="AV150" s="21">
        <f>EXP(-LN(2)/25)*AV149+(1-EXP(-LN(2)/25))/(LN(2)/25)*Calculateur!AQ150*Calculateur!AS150*VLOOKUP('Données projet'!$B$10,Paramètres!$A$1:$I$89,3,0)*0.475*44/12</f>
        <v>0.22748468527266427</v>
      </c>
      <c r="AW150" s="21">
        <f>EXP(-LN(2)/2)*AW149+(1-EXP(-LN(2)/2))/(LN(2)/2)*AQ150*AT150*VLOOKUP('Données projet'!$B$10,Paramètres!$A$1:$I$89,3,0)*0.475*44/12</f>
        <v>2.724117429297107E-17</v>
      </c>
      <c r="AX150" s="21">
        <f t="shared" si="114"/>
        <v>0.51599120731889114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-6.7984728957526396E-14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250.93905519128998</v>
      </c>
      <c r="BJ150" s="59">
        <f t="shared" si="146"/>
        <v>222.32879462265032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0.12626510871826208</v>
      </c>
      <c r="BQ150" s="21">
        <f>EXP(-LN(2)/25)*BQ149+(1-EXP(-LN(2)/25))/(LN(2)/25)*Calculateur!BL150*Calculateur!BN150*VLOOKUP('Données projet'!$B$11,Paramètres!$A$1:$I$89,3,0)*0.475*44/12</f>
        <v>0.45153278684514953</v>
      </c>
      <c r="BR150" s="21">
        <f>EXP(-LN(2)/2)*BR149+(1-EXP(-LN(2)/2))/(LN(2)/2)*BL150*BO150*VLOOKUP('Données projet'!$B$11,Paramètres!$A$1:$I$89,3,0)*0.475*44/12</f>
        <v>4.6302481708836847E-18</v>
      </c>
      <c r="BS150" s="22">
        <f t="shared" si="117"/>
        <v>0.57779789556341155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-2.8421709430404007E-13</v>
      </c>
      <c r="BZ150" s="13">
        <f>BY150*VLOOKUP('Données projet'!$B$12,Paramètres!$A$1:$I$89,3,0)*VLOOKUP('Données projet'!$B$12,Paramètres!$A$1:$I$89,5,0)</f>
        <v>-1.69961822393816E-13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179.32848817523677</v>
      </c>
      <c r="CE150" s="59">
        <f t="shared" si="148"/>
        <v>131.3292389103035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0.51415920667579984</v>
      </c>
      <c r="CM150" s="21">
        <f>EXP(-LN(2)/2)*CM149+(1-EXP(-LN(2)/2))/(LN(2)/2)*CG150*CJ150*VLOOKUP('Données projet'!$B$12,Paramètres!$A$1:$I$89,3,0)*0.475*44/12</f>
        <v>1.291123675039194E-17</v>
      </c>
      <c r="CN150" s="22">
        <f t="shared" si="120"/>
        <v>0.51415920667579984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7.2314102564102543</v>
      </c>
      <c r="CT150" s="12">
        <f>IF('Données projet'!$A$140&gt;35,CT149+CS150-DB149,IF(A150&lt;'Données projet'!$A$140,$CQ$205^A150,IF(A150='Données projet'!$A$140,'Données projet'!$B$140,CT149+CS150-DB149)))</f>
        <v>431.8634615384608</v>
      </c>
      <c r="CU150" s="17">
        <f>CT150*VLOOKUP('Données projet'!$B$13,Paramètres!$A$1:$I$89,3,0)*VLOOKUP('Données projet'!$B$13,Paramètres!$A$1:$I$89,5,0)</f>
        <v>390.75005999999934</v>
      </c>
      <c r="CV150" s="13">
        <f t="shared" si="149"/>
        <v>89.898835971083955</v>
      </c>
      <c r="CW150" s="20">
        <f t="shared" si="121"/>
        <v>837.13016048297004</v>
      </c>
      <c r="CX150" s="59">
        <f t="shared" si="122"/>
        <v>1130.4634938163033</v>
      </c>
      <c r="CY150" s="59">
        <f ca="1">AVERAGE(OFFSET($CX$3,0,0,'Données projet'!$E$13+1,1))-AVERAGE(OFFSET($H$3,0,0,'Données projet'!$E$13+1,1))</f>
        <v>309.07357540707869</v>
      </c>
      <c r="CZ150" s="59">
        <f t="shared" si="150"/>
        <v>155.9593924683299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227.99999999999986</v>
      </c>
      <c r="DP150" s="17">
        <f>DO150*VLOOKUP('Données projet'!$B$14,Paramètres!$A$1:$I$89,3,0)*VLOOKUP('Données projet'!$B$14,Paramètres!$A$1:$I$89,5,0)</f>
        <v>199.18079999999992</v>
      </c>
      <c r="DQ150" s="13">
        <f t="shared" si="151"/>
        <v>49.564089376413683</v>
      </c>
      <c r="DR150" s="20">
        <f t="shared" si="124"/>
        <v>433.23068233058694</v>
      </c>
      <c r="DS150" s="59">
        <f t="shared" si="125"/>
        <v>726.56401566392026</v>
      </c>
      <c r="DT150" s="59">
        <f ca="1">AVERAGE(OFFSET($DS$3,0,0,'Données projet'!$E$14+1,1))-AVERAGE(OFFSET($H$3,0,0,'Données projet'!$E$14+1,1))</f>
        <v>210.07838338464626</v>
      </c>
      <c r="DU150" s="59">
        <f t="shared" si="152"/>
        <v>241.76003724236273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0.52238830808140191</v>
      </c>
      <c r="EB150" s="21">
        <f>EXP(-LN(2)/25)*EB149+(1-EXP(-LN(2)/25))/(LN(2)/25)*Calculateur!DW150*Calculateur!DY150*VLOOKUP('Données projet'!$B$14,Paramètres!$A$1:$I$89,3,0)*0.475*44/12</f>
        <v>0.52897643935739236</v>
      </c>
      <c r="EC150" s="21">
        <f>EXP(-LN(2)/2)*EC149+(1-EXP(-LN(2)/2))/(LN(2)/2)*DW150*DZ150*VLOOKUP('Données projet'!$B$14,Paramètres!$A$1:$I$89,3,0)*0.475*44/12</f>
        <v>3.9182207993934563E-17</v>
      </c>
      <c r="ED150" s="22">
        <f t="shared" si="126"/>
        <v>1.0513647474387944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6.2527760746888816E-13</v>
      </c>
      <c r="EK150" s="17">
        <f>EJ150*VLOOKUP('Données projet'!$B$15,Paramètres!$A$1:$I$89,3,0)*VLOOKUP('Données projet'!$B$15,Paramètres!$A$1:$I$89,5,0)</f>
        <v>3.9017322706058616E-13</v>
      </c>
      <c r="EL150" s="13">
        <f t="shared" si="153"/>
        <v>5.0025007393608908E-12</v>
      </c>
      <c r="EM150" s="20">
        <f t="shared" si="127"/>
        <v>9.3922404915174053E-12</v>
      </c>
      <c r="EN150" s="59">
        <f t="shared" si="128"/>
        <v>293.33333333334269</v>
      </c>
      <c r="EO150" s="59">
        <f ca="1">AVERAGE(OFFSET($EN$3,0,0,'Données projet'!$E$15+1,1))-AVERAGE(OFFSET($H$3,0,0,'Données projet'!$E$15+1,1))</f>
        <v>209.93608079129638</v>
      </c>
      <c r="EP150" s="59">
        <f t="shared" si="154"/>
        <v>240.15652428700969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0.68531771938870401</v>
      </c>
      <c r="EW150" s="21">
        <f>EXP(-LN(2)/25)*EW149+(1-EXP(-LN(2)/25))/(LN(2)/25)*Calculateur!ER150*Calculateur!ET150*VLOOKUP('Données projet'!$B$15,Paramètres!$A$1:$I$89,3,0)*0.475*44/12</f>
        <v>0.81094316174040626</v>
      </c>
      <c r="EX150" s="21">
        <f>EXP(-LN(2)/2)*EX149+(1-EXP(-LN(2)/2))/(LN(2)/2)*ER150*EU150*VLOOKUP('Données projet'!$B$15,Paramètres!$A$1:$I$89,3,0)*0.475*44/12</f>
        <v>4.9533511182903957E-17</v>
      </c>
      <c r="EY150" s="22">
        <f t="shared" si="129"/>
        <v>1.4962608811291103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5.6843418860808015E-14</v>
      </c>
      <c r="O151" s="13">
        <f>N151*VLOOKUP('Données projet'!$B$9,Paramètres!$A$1:$I$89,3,0)*VLOOKUP('Données projet'!$B$9,Paramètres!$A$1:$I$89,5,0)</f>
        <v>4.5224624045658861E-14</v>
      </c>
      <c r="P151" s="13">
        <f t="shared" si="141"/>
        <v>7.4514601661523691E-13</v>
      </c>
      <c r="Q151" s="20">
        <f t="shared" si="108"/>
        <v>1.3765621991510601E-12</v>
      </c>
      <c r="R151" s="59">
        <f t="shared" si="109"/>
        <v>293.33333333333468</v>
      </c>
      <c r="S151" s="59">
        <f ca="1">AVERAGE(OFFSET($R$3,0,0,'Données projet'!$E$9+1,1))-AVERAGE(OFFSET($H$3,0,0,'Données projet'!$E$9+1,1))</f>
        <v>199.58763537752952</v>
      </c>
      <c r="T151" s="59">
        <f t="shared" si="142"/>
        <v>242.62852778451929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</v>
      </c>
      <c r="AA151" s="21">
        <f>EXP(-LN(2)/25)*AA150+(1-EXP(-LN(2)/25))/(LN(2)/25)*Calculateur!V151*Calculateur!X151*VLOOKUP('Données projet'!$B$9,Paramètres!$A$1:$I$89,3,0)*0.475*44/12</f>
        <v>0.39017304454732749</v>
      </c>
      <c r="AB151" s="21">
        <f>EXP(-LN(2)/2)*AB150+(1-EXP(-LN(2)/2))/(LN(2)/2)*V151*Y151*VLOOKUP('Données projet'!$B$9,Paramètres!$A$1:$I$89,3,0)*0.475*44/12</f>
        <v>1.8668327982814363E-17</v>
      </c>
      <c r="AC151" s="22">
        <f t="shared" si="111"/>
        <v>0.39017304454732749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566</v>
      </c>
      <c r="AJ151" s="13">
        <f>AI151*VLOOKUP('Données projet'!$B$10,Paramètres!$A$1:$I$89,3,0)*VLOOKUP('Données projet'!$B$10,Paramètres!$A$1:$I$89,5,0)</f>
        <v>338.46800000000002</v>
      </c>
      <c r="AK151" s="13">
        <f t="shared" si="143"/>
        <v>79.183342377469998</v>
      </c>
      <c r="AL151" s="20">
        <f t="shared" si="112"/>
        <v>727.4094213074269</v>
      </c>
      <c r="AM151" s="59">
        <f t="shared" si="113"/>
        <v>1020.7427546407603</v>
      </c>
      <c r="AN151" s="59">
        <f ca="1">AVERAGE(OFFSET($AM$3,0,0,'Données projet'!$E$10+1,1))-AVERAGE(OFFSET($H$3,0,0,'Données projet'!$E$10+1,1))</f>
        <v>287.78657453117694</v>
      </c>
      <c r="AO151" s="59">
        <f t="shared" si="144"/>
        <v>153.31562485362252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0.28284908512050311</v>
      </c>
      <c r="AV151" s="21">
        <f>EXP(-LN(2)/25)*AV150+(1-EXP(-LN(2)/25))/(LN(2)/25)*Calculateur!AQ151*Calculateur!AS151*VLOOKUP('Données projet'!$B$10,Paramètres!$A$1:$I$89,3,0)*0.475*44/12</f>
        <v>0.22126410459098358</v>
      </c>
      <c r="AW151" s="21">
        <f>EXP(-LN(2)/2)*AW150+(1-EXP(-LN(2)/2))/(LN(2)/2)*AQ151*AT151*VLOOKUP('Données projet'!$B$10,Paramètres!$A$1:$I$89,3,0)*0.475*44/12</f>
        <v>1.9262419070044499E-17</v>
      </c>
      <c r="AX151" s="21">
        <f t="shared" si="114"/>
        <v>0.50411318971148666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-6.7984728957526396E-14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250.93905519128998</v>
      </c>
      <c r="BJ151" s="59">
        <f t="shared" si="146"/>
        <v>222.32879462265032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0.12378912695040876</v>
      </c>
      <c r="BQ151" s="21">
        <f>EXP(-LN(2)/25)*BQ150+(1-EXP(-LN(2)/25))/(LN(2)/25)*Calculateur!BL151*Calculateur!BN151*VLOOKUP('Données projet'!$B$11,Paramètres!$A$1:$I$89,3,0)*0.475*44/12</f>
        <v>0.43918559904379162</v>
      </c>
      <c r="BR151" s="21">
        <f>EXP(-LN(2)/2)*BR150+(1-EXP(-LN(2)/2))/(LN(2)/2)*BL151*BO151*VLOOKUP('Données projet'!$B$11,Paramètres!$A$1:$I$89,3,0)*0.475*44/12</f>
        <v>3.2740798802084616E-18</v>
      </c>
      <c r="BS151" s="22">
        <f t="shared" si="117"/>
        <v>0.5629747259942004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-2.8421709430404007E-13</v>
      </c>
      <c r="BZ151" s="13">
        <f>BY151*VLOOKUP('Données projet'!$B$12,Paramètres!$A$1:$I$89,3,0)*VLOOKUP('Données projet'!$B$12,Paramètres!$A$1:$I$89,5,0)</f>
        <v>-1.69961822393816E-13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179.32848817523677</v>
      </c>
      <c r="CE151" s="59">
        <f t="shared" si="148"/>
        <v>131.3292389103035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0.50009949613079252</v>
      </c>
      <c r="CM151" s="21">
        <f>EXP(-LN(2)/2)*CM150+(1-EXP(-LN(2)/2))/(LN(2)/2)*CG151*CJ151*VLOOKUP('Données projet'!$B$12,Paramètres!$A$1:$I$89,3,0)*0.475*44/12</f>
        <v>9.1296230597071045E-18</v>
      </c>
      <c r="CN151" s="22">
        <f t="shared" si="120"/>
        <v>0.50009949613079252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7.2314102564102543</v>
      </c>
      <c r="CT151" s="12">
        <f>IF('Données projet'!$A$140&gt;35,CT150+CS151-DB150,IF(A151&lt;'Données projet'!$A$140,$CQ$205^A151,IF(A151='Données projet'!$A$140,'Données projet'!$B$140,CT150+CS151-DB150)))</f>
        <v>439.09487179487104</v>
      </c>
      <c r="CU151" s="17">
        <f>CT151*VLOOKUP('Données projet'!$B$13,Paramètres!$A$1:$I$89,3,0)*VLOOKUP('Données projet'!$B$13,Paramètres!$A$1:$I$89,5,0)</f>
        <v>397.29303999999928</v>
      </c>
      <c r="CV151" s="13">
        <f t="shared" si="149"/>
        <v>91.227653927663823</v>
      </c>
      <c r="CW151" s="20">
        <f t="shared" si="121"/>
        <v>850.84020859067994</v>
      </c>
      <c r="CX151" s="59">
        <f t="shared" si="122"/>
        <v>1144.1735419240133</v>
      </c>
      <c r="CY151" s="59">
        <f ca="1">AVERAGE(OFFSET($CX$3,0,0,'Données projet'!$E$13+1,1))-AVERAGE(OFFSET($H$3,0,0,'Données projet'!$E$13+1,1))</f>
        <v>309.07357540707869</v>
      </c>
      <c r="CZ151" s="59">
        <f t="shared" si="150"/>
        <v>155.9593924683299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227.99999999999986</v>
      </c>
      <c r="DP151" s="17">
        <f>DO151*VLOOKUP('Données projet'!$B$14,Paramètres!$A$1:$I$89,3,0)*VLOOKUP('Données projet'!$B$14,Paramètres!$A$1:$I$89,5,0)</f>
        <v>199.18079999999992</v>
      </c>
      <c r="DQ151" s="13">
        <f t="shared" si="151"/>
        <v>49.564089376413683</v>
      </c>
      <c r="DR151" s="20">
        <f t="shared" si="124"/>
        <v>433.23068233058694</v>
      </c>
      <c r="DS151" s="59">
        <f t="shared" si="125"/>
        <v>726.56401566392026</v>
      </c>
      <c r="DT151" s="59">
        <f ca="1">AVERAGE(OFFSET($DS$3,0,0,'Données projet'!$E$14+1,1))-AVERAGE(OFFSET($H$3,0,0,'Données projet'!$E$14+1,1))</f>
        <v>210.07838338464626</v>
      </c>
      <c r="DU151" s="59">
        <f t="shared" si="152"/>
        <v>241.76003724236273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0.51214459198533191</v>
      </c>
      <c r="EB151" s="21">
        <f>EXP(-LN(2)/25)*EB150+(1-EXP(-LN(2)/25))/(LN(2)/25)*Calculateur!DW151*Calculateur!DY151*VLOOKUP('Données projet'!$B$14,Paramètres!$A$1:$I$89,3,0)*0.475*44/12</f>
        <v>0.51451155080550248</v>
      </c>
      <c r="EC151" s="21">
        <f>EXP(-LN(2)/2)*EC150+(1-EXP(-LN(2)/2))/(LN(2)/2)*DW151*DZ151*VLOOKUP('Données projet'!$B$14,Paramètres!$A$1:$I$89,3,0)*0.475*44/12</f>
        <v>2.7706004974372882E-17</v>
      </c>
      <c r="ED151" s="22">
        <f t="shared" si="126"/>
        <v>1.0266561427908343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6.2527760746888816E-13</v>
      </c>
      <c r="EK151" s="17">
        <f>EJ151*VLOOKUP('Données projet'!$B$15,Paramètres!$A$1:$I$89,3,0)*VLOOKUP('Données projet'!$B$15,Paramètres!$A$1:$I$89,5,0)</f>
        <v>3.9017322706058616E-13</v>
      </c>
      <c r="EL151" s="13">
        <f t="shared" si="153"/>
        <v>5.0025007393608908E-12</v>
      </c>
      <c r="EM151" s="20">
        <f t="shared" si="127"/>
        <v>9.3922404915174053E-12</v>
      </c>
      <c r="EN151" s="59">
        <f t="shared" si="128"/>
        <v>293.33333333334269</v>
      </c>
      <c r="EO151" s="59">
        <f ca="1">AVERAGE(OFFSET($EN$3,0,0,'Données projet'!$E$15+1,1))-AVERAGE(OFFSET($H$3,0,0,'Données projet'!$E$15+1,1))</f>
        <v>209.93608079129638</v>
      </c>
      <c r="EP151" s="59">
        <f t="shared" si="154"/>
        <v>240.15652428700969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0.67187905691402605</v>
      </c>
      <c r="EW151" s="21">
        <f>EXP(-LN(2)/25)*EW150+(1-EXP(-LN(2)/25))/(LN(2)/25)*Calculateur!ER151*Calculateur!ET151*VLOOKUP('Données projet'!$B$15,Paramètres!$A$1:$I$89,3,0)*0.475*44/12</f>
        <v>0.78876787833696738</v>
      </c>
      <c r="EX151" s="21">
        <f>EXP(-LN(2)/2)*EX150+(1-EXP(-LN(2)/2))/(LN(2)/2)*ER151*EU151*VLOOKUP('Données projet'!$B$15,Paramètres!$A$1:$I$89,3,0)*0.475*44/12</f>
        <v>3.5025481653411072E-17</v>
      </c>
      <c r="EY151" s="22">
        <f t="shared" si="129"/>
        <v>1.4606469352509934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5.6843418860808015E-14</v>
      </c>
      <c r="O152" s="13">
        <f>N152*VLOOKUP('Données projet'!$B$9,Paramètres!$A$1:$I$89,3,0)*VLOOKUP('Données projet'!$B$9,Paramètres!$A$1:$I$89,5,0)</f>
        <v>4.5224624045658861E-14</v>
      </c>
      <c r="P152" s="13">
        <f t="shared" si="141"/>
        <v>7.4514601661523691E-13</v>
      </c>
      <c r="Q152" s="20">
        <f t="shared" si="108"/>
        <v>1.3765621991510601E-12</v>
      </c>
      <c r="R152" s="59">
        <f t="shared" si="109"/>
        <v>293.33333333333468</v>
      </c>
      <c r="S152" s="59">
        <f ca="1">AVERAGE(OFFSET($R$3,0,0,'Données projet'!$E$9+1,1))-AVERAGE(OFFSET($H$3,0,0,'Données projet'!$E$9+1,1))</f>
        <v>199.58763537752952</v>
      </c>
      <c r="T152" s="59">
        <f t="shared" si="142"/>
        <v>242.62852778451929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</v>
      </c>
      <c r="AA152" s="21">
        <f>EXP(-LN(2)/25)*AA151+(1-EXP(-LN(2)/25))/(LN(2)/25)*Calculateur!V152*Calculateur!X152*VLOOKUP('Données projet'!$B$9,Paramètres!$A$1:$I$89,3,0)*0.475*44/12</f>
        <v>0.37950374212587218</v>
      </c>
      <c r="AB152" s="21">
        <f>EXP(-LN(2)/2)*AB151+(1-EXP(-LN(2)/2))/(LN(2)/2)*V152*Y152*VLOOKUP('Données projet'!$B$9,Paramètres!$A$1:$I$89,3,0)*0.475*44/12</f>
        <v>1.3200501310062618E-17</v>
      </c>
      <c r="AC152" s="22">
        <f t="shared" si="111"/>
        <v>0.37950374212587218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566</v>
      </c>
      <c r="AJ152" s="13">
        <f>AI152*VLOOKUP('Données projet'!$B$10,Paramètres!$A$1:$I$89,3,0)*VLOOKUP('Données projet'!$B$10,Paramètres!$A$1:$I$89,5,0)</f>
        <v>338.46800000000002</v>
      </c>
      <c r="AK152" s="13">
        <f t="shared" si="143"/>
        <v>79.183342377469998</v>
      </c>
      <c r="AL152" s="20">
        <f t="shared" si="112"/>
        <v>727.4094213074269</v>
      </c>
      <c r="AM152" s="59">
        <f t="shared" si="113"/>
        <v>1020.7427546407603</v>
      </c>
      <c r="AN152" s="59">
        <f ca="1">AVERAGE(OFFSET($AM$3,0,0,'Données projet'!$E$10+1,1))-AVERAGE(OFFSET($H$3,0,0,'Données projet'!$E$10+1,1))</f>
        <v>287.78657453117694</v>
      </c>
      <c r="AO152" s="59">
        <f t="shared" si="144"/>
        <v>153.31562485362252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0.27730258708219696</v>
      </c>
      <c r="AV152" s="21">
        <f>EXP(-LN(2)/25)*AV151+(1-EXP(-LN(2)/25))/(LN(2)/25)*Calculateur!AQ152*Calculateur!AS152*VLOOKUP('Données projet'!$B$10,Paramètres!$A$1:$I$89,3,0)*0.475*44/12</f>
        <v>0.21521362601516958</v>
      </c>
      <c r="AW152" s="21">
        <f>EXP(-LN(2)/2)*AW151+(1-EXP(-LN(2)/2))/(LN(2)/2)*AQ152*AT152*VLOOKUP('Données projet'!$B$10,Paramètres!$A$1:$I$89,3,0)*0.475*44/12</f>
        <v>1.3620587146485537E-17</v>
      </c>
      <c r="AX152" s="21">
        <f t="shared" si="114"/>
        <v>0.49251621309736654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-6.7984728957526396E-14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250.93905519128998</v>
      </c>
      <c r="BJ152" s="59">
        <f t="shared" si="146"/>
        <v>222.32879462265032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0.1213616976748233</v>
      </c>
      <c r="BQ152" s="21">
        <f>EXP(-LN(2)/25)*BQ151+(1-EXP(-LN(2)/25))/(LN(2)/25)*Calculateur!BL152*Calculateur!BN152*VLOOKUP('Données projet'!$B$11,Paramètres!$A$1:$I$89,3,0)*0.475*44/12</f>
        <v>0.42717604574217227</v>
      </c>
      <c r="BR152" s="21">
        <f>EXP(-LN(2)/2)*BR151+(1-EXP(-LN(2)/2))/(LN(2)/2)*BL152*BO152*VLOOKUP('Données projet'!$B$11,Paramètres!$A$1:$I$89,3,0)*0.475*44/12</f>
        <v>2.3151240854418424E-18</v>
      </c>
      <c r="BS152" s="22">
        <f t="shared" si="117"/>
        <v>0.54853774341699557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-2.8421709430404007E-13</v>
      </c>
      <c r="BZ152" s="13">
        <f>BY152*VLOOKUP('Données projet'!$B$12,Paramètres!$A$1:$I$89,3,0)*VLOOKUP('Données projet'!$B$12,Paramètres!$A$1:$I$89,5,0)</f>
        <v>-1.69961822393816E-13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179.32848817523677</v>
      </c>
      <c r="CE152" s="59">
        <f t="shared" si="148"/>
        <v>131.3292389103035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0.48642424911000648</v>
      </c>
      <c r="CM152" s="21">
        <f>EXP(-LN(2)/2)*CM151+(1-EXP(-LN(2)/2))/(LN(2)/2)*CG152*CJ152*VLOOKUP('Données projet'!$B$12,Paramètres!$A$1:$I$89,3,0)*0.475*44/12</f>
        <v>6.4556183751959701E-18</v>
      </c>
      <c r="CN152" s="22">
        <f t="shared" si="120"/>
        <v>0.48642424911000648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7.2314102564102543</v>
      </c>
      <c r="CT152" s="12">
        <f>IF('Données projet'!$A$140&gt;35,CT151+CS152-DB151,IF(A152&lt;'Données projet'!$A$140,$CQ$205^A152,IF(A152='Données projet'!$A$140,'Données projet'!$B$140,CT151+CS152-DB151)))</f>
        <v>446.32628205128128</v>
      </c>
      <c r="CU152" s="17">
        <f>CT152*VLOOKUP('Données projet'!$B$13,Paramètres!$A$1:$I$89,3,0)*VLOOKUP('Données projet'!$B$13,Paramètres!$A$1:$I$89,5,0)</f>
        <v>403.83601999999928</v>
      </c>
      <c r="CV152" s="13">
        <f t="shared" si="149"/>
        <v>92.553926884983895</v>
      </c>
      <c r="CW152" s="20">
        <f t="shared" si="121"/>
        <v>864.54582415801235</v>
      </c>
      <c r="CX152" s="59">
        <f t="shared" si="122"/>
        <v>1157.8791574913457</v>
      </c>
      <c r="CY152" s="59">
        <f ca="1">AVERAGE(OFFSET($CX$3,0,0,'Données projet'!$E$13+1,1))-AVERAGE(OFFSET($H$3,0,0,'Données projet'!$E$13+1,1))</f>
        <v>309.07357540707869</v>
      </c>
      <c r="CZ152" s="59">
        <f t="shared" si="150"/>
        <v>155.9593924683299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227.99999999999986</v>
      </c>
      <c r="DP152" s="17">
        <f>DO152*VLOOKUP('Données projet'!$B$14,Paramètres!$A$1:$I$89,3,0)*VLOOKUP('Données projet'!$B$14,Paramètres!$A$1:$I$89,5,0)</f>
        <v>199.18079999999992</v>
      </c>
      <c r="DQ152" s="13">
        <f t="shared" si="151"/>
        <v>49.564089376413683</v>
      </c>
      <c r="DR152" s="20">
        <f t="shared" si="124"/>
        <v>433.23068233058694</v>
      </c>
      <c r="DS152" s="59">
        <f t="shared" si="125"/>
        <v>726.56401566392026</v>
      </c>
      <c r="DT152" s="59">
        <f ca="1">AVERAGE(OFFSET($DS$3,0,0,'Données projet'!$E$14+1,1))-AVERAGE(OFFSET($H$3,0,0,'Données projet'!$E$14+1,1))</f>
        <v>210.07838338464626</v>
      </c>
      <c r="DU152" s="59">
        <f t="shared" si="152"/>
        <v>241.76003724236273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0.50210174891385595</v>
      </c>
      <c r="EB152" s="21">
        <f>EXP(-LN(2)/25)*EB151+(1-EXP(-LN(2)/25))/(LN(2)/25)*Calculateur!DW152*Calculateur!DY152*VLOOKUP('Données projet'!$B$14,Paramètres!$A$1:$I$89,3,0)*0.475*44/12</f>
        <v>0.50044220539173945</v>
      </c>
      <c r="EC152" s="21">
        <f>EXP(-LN(2)/2)*EC151+(1-EXP(-LN(2)/2))/(LN(2)/2)*DW152*DZ152*VLOOKUP('Données projet'!$B$14,Paramètres!$A$1:$I$89,3,0)*0.475*44/12</f>
        <v>1.9591103996967284E-17</v>
      </c>
      <c r="ED152" s="22">
        <f t="shared" si="126"/>
        <v>1.0025439543055954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6.2527760746888816E-13</v>
      </c>
      <c r="EK152" s="17">
        <f>EJ152*VLOOKUP('Données projet'!$B$15,Paramètres!$A$1:$I$89,3,0)*VLOOKUP('Données projet'!$B$15,Paramètres!$A$1:$I$89,5,0)</f>
        <v>3.9017322706058616E-13</v>
      </c>
      <c r="EL152" s="13">
        <f t="shared" si="153"/>
        <v>5.0025007393608908E-12</v>
      </c>
      <c r="EM152" s="20">
        <f t="shared" si="127"/>
        <v>9.3922404915174053E-12</v>
      </c>
      <c r="EN152" s="59">
        <f t="shared" si="128"/>
        <v>293.33333333334269</v>
      </c>
      <c r="EO152" s="59">
        <f ca="1">AVERAGE(OFFSET($EN$3,0,0,'Données projet'!$E$15+1,1))-AVERAGE(OFFSET($H$3,0,0,'Données projet'!$E$15+1,1))</f>
        <v>209.93608079129638</v>
      </c>
      <c r="EP152" s="59">
        <f t="shared" si="154"/>
        <v>240.15652428700969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0.65870391841370179</v>
      </c>
      <c r="EW152" s="21">
        <f>EXP(-LN(2)/25)*EW151+(1-EXP(-LN(2)/25))/(LN(2)/25)*Calculateur!ER152*Calculateur!ET152*VLOOKUP('Données projet'!$B$15,Paramètres!$A$1:$I$89,3,0)*0.475*44/12</f>
        <v>0.76719897922434299</v>
      </c>
      <c r="EX152" s="21">
        <f>EXP(-LN(2)/2)*EX151+(1-EXP(-LN(2)/2))/(LN(2)/2)*ER152*EU152*VLOOKUP('Données projet'!$B$15,Paramètres!$A$1:$I$89,3,0)*0.475*44/12</f>
        <v>2.4766755591451978E-17</v>
      </c>
      <c r="EY152" s="22">
        <f t="shared" si="129"/>
        <v>1.4259028976380448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5.6843418860808015E-14</v>
      </c>
      <c r="O153" s="13">
        <f>N153*VLOOKUP('Données projet'!$B$9,Paramètres!$A$1:$I$89,3,0)*VLOOKUP('Données projet'!$B$9,Paramètres!$A$1:$I$89,5,0)</f>
        <v>4.5224624045658861E-14</v>
      </c>
      <c r="P153" s="13">
        <f t="shared" si="141"/>
        <v>7.4514601661523691E-13</v>
      </c>
      <c r="Q153" s="20">
        <f t="shared" si="108"/>
        <v>1.3765621991510601E-12</v>
      </c>
      <c r="R153" s="59">
        <f t="shared" si="109"/>
        <v>293.33333333333468</v>
      </c>
      <c r="S153" s="59">
        <f ca="1">AVERAGE(OFFSET($R$3,0,0,'Données projet'!$E$9+1,1))-AVERAGE(OFFSET($H$3,0,0,'Données projet'!$E$9+1,1))</f>
        <v>199.58763537752952</v>
      </c>
      <c r="T153" s="59">
        <f t="shared" si="142"/>
        <v>242.62852778451929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</v>
      </c>
      <c r="AA153" s="21">
        <f>EXP(-LN(2)/25)*AA152+(1-EXP(-LN(2)/25))/(LN(2)/25)*Calculateur!V153*Calculateur!X153*VLOOKUP('Données projet'!$B$9,Paramètres!$A$1:$I$89,3,0)*0.475*44/12</f>
        <v>0.36912619234020577</v>
      </c>
      <c r="AB153" s="21">
        <f>EXP(-LN(2)/2)*AB152+(1-EXP(-LN(2)/2))/(LN(2)/2)*V153*Y153*VLOOKUP('Données projet'!$B$9,Paramètres!$A$1:$I$89,3,0)*0.475*44/12</f>
        <v>9.3341639914071814E-18</v>
      </c>
      <c r="AC153" s="22">
        <f t="shared" si="111"/>
        <v>0.36912619234020577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566</v>
      </c>
      <c r="AJ153" s="13">
        <f>AI153*VLOOKUP('Données projet'!$B$10,Paramètres!$A$1:$I$89,3,0)*VLOOKUP('Données projet'!$B$10,Paramètres!$A$1:$I$89,5,0)</f>
        <v>338.46800000000002</v>
      </c>
      <c r="AK153" s="13">
        <f t="shared" si="143"/>
        <v>79.183342377469998</v>
      </c>
      <c r="AL153" s="20">
        <f t="shared" si="112"/>
        <v>727.4094213074269</v>
      </c>
      <c r="AM153" s="59">
        <f t="shared" si="113"/>
        <v>1020.7427546407603</v>
      </c>
      <c r="AN153" s="59">
        <f ca="1">AVERAGE(OFFSET($AM$3,0,0,'Données projet'!$E$10+1,1))-AVERAGE(OFFSET($H$3,0,0,'Données projet'!$E$10+1,1))</f>
        <v>287.78657453117694</v>
      </c>
      <c r="AO153" s="59">
        <f t="shared" si="144"/>
        <v>153.31562485362252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0.27186485248739223</v>
      </c>
      <c r="AV153" s="21">
        <f>EXP(-LN(2)/25)*AV152+(1-EXP(-LN(2)/25))/(LN(2)/25)*Calculateur!AQ153*Calculateur!AS153*VLOOKUP('Données projet'!$B$10,Paramètres!$A$1:$I$89,3,0)*0.475*44/12</f>
        <v>0.20932859809419205</v>
      </c>
      <c r="AW153" s="21">
        <f>EXP(-LN(2)/2)*AW152+(1-EXP(-LN(2)/2))/(LN(2)/2)*AQ153*AT153*VLOOKUP('Données projet'!$B$10,Paramètres!$A$1:$I$89,3,0)*0.475*44/12</f>
        <v>9.631209535022251E-18</v>
      </c>
      <c r="AX153" s="21">
        <f t="shared" si="114"/>
        <v>0.48119345058158425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-6.7984728957526396E-14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250.93905519128998</v>
      </c>
      <c r="BJ153" s="59">
        <f t="shared" si="146"/>
        <v>222.32879462265032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0.1189818688067464</v>
      </c>
      <c r="BQ153" s="21">
        <f>EXP(-LN(2)/25)*BQ152+(1-EXP(-LN(2)/25))/(LN(2)/25)*Calculateur!BL153*Calculateur!BN153*VLOOKUP('Données projet'!$B$11,Paramètres!$A$1:$I$89,3,0)*0.475*44/12</f>
        <v>0.41549489430714065</v>
      </c>
      <c r="BR153" s="21">
        <f>EXP(-LN(2)/2)*BR152+(1-EXP(-LN(2)/2))/(LN(2)/2)*BL153*BO153*VLOOKUP('Données projet'!$B$11,Paramètres!$A$1:$I$89,3,0)*0.475*44/12</f>
        <v>1.6370399401042308E-18</v>
      </c>
      <c r="BS153" s="22">
        <f t="shared" si="117"/>
        <v>0.53447676311388703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-2.8421709430404007E-13</v>
      </c>
      <c r="BZ153" s="13">
        <f>BY153*VLOOKUP('Données projet'!$B$12,Paramètres!$A$1:$I$89,3,0)*VLOOKUP('Données projet'!$B$12,Paramètres!$A$1:$I$89,5,0)</f>
        <v>-1.69961822393816E-13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179.32848817523677</v>
      </c>
      <c r="CE153" s="59">
        <f t="shared" si="148"/>
        <v>131.3292389103035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0.47312295243815383</v>
      </c>
      <c r="CM153" s="21">
        <f>EXP(-LN(2)/2)*CM152+(1-EXP(-LN(2)/2))/(LN(2)/2)*CG153*CJ153*VLOOKUP('Données projet'!$B$12,Paramètres!$A$1:$I$89,3,0)*0.475*44/12</f>
        <v>4.5648115298535523E-18</v>
      </c>
      <c r="CN153" s="22">
        <f t="shared" si="120"/>
        <v>0.47312295243815383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>
        <f>VLOOKUP(A153,'Données projet'!$A$139:$I$159,2,0)</f>
        <v>453.55769230769226</v>
      </c>
      <c r="CR153" s="12">
        <f>VLOOKUP(A153,'Données projet'!$A$139:$I$159,9,0)</f>
        <v>7.2314102564102543</v>
      </c>
      <c r="CS153" s="12">
        <f t="array" ref="CS153">INDEX(CR:CR,MIN(IF(ISNUMBER(CR153:CR349),ROW(CR153:CR349),"")))</f>
        <v>7.2314102564102543</v>
      </c>
      <c r="CT153" s="12">
        <f>IF('Données projet'!$A$140&gt;35,CT152+CS153-DB152,IF(A153&lt;'Données projet'!$A$140,$CQ$205^A153,IF(A153='Données projet'!$A$140,'Données projet'!$B$140,CT152+CS153-DB152)))</f>
        <v>453.55769230769153</v>
      </c>
      <c r="CU153" s="17">
        <f>CT153*VLOOKUP('Données projet'!$B$13,Paramètres!$A$1:$I$89,3,0)*VLOOKUP('Données projet'!$B$13,Paramètres!$A$1:$I$89,5,0)</f>
        <v>410.37899999999928</v>
      </c>
      <c r="CV153" s="13">
        <f t="shared" si="149"/>
        <v>93.877700837644795</v>
      </c>
      <c r="CW153" s="20">
        <f t="shared" si="121"/>
        <v>878.24708729223005</v>
      </c>
      <c r="CX153" s="59">
        <f t="shared" si="122"/>
        <v>1171.5804206255634</v>
      </c>
      <c r="CY153" s="59">
        <f ca="1">AVERAGE(OFFSET($CX$3,0,0,'Données projet'!$E$13+1,1))-AVERAGE(OFFSET($H$3,0,0,'Données projet'!$E$13+1,1))</f>
        <v>309.07357540707869</v>
      </c>
      <c r="CZ153" s="59">
        <f t="shared" si="150"/>
        <v>155.9593924683299</v>
      </c>
      <c r="DA153" s="15">
        <f>IF(ISNA(VLOOKUP(A153,'Données projet'!$A$139:$I$159,3,0)),0,VLOOKUP(A153,'Données projet'!$A$139:$I$159,3,0))</f>
        <v>14</v>
      </c>
      <c r="DB153" s="15">
        <f>IF(ISNA(VLOOKUP(A153,'Données projet'!$A$139:$I$159,4,0)),0,VLOOKUP(A153,'Données projet'!$A$139:$I$159,4,0))</f>
        <v>178.72435897435898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227.99999999999986</v>
      </c>
      <c r="DP153" s="17">
        <f>DO153*VLOOKUP('Données projet'!$B$14,Paramètres!$A$1:$I$89,3,0)*VLOOKUP('Données projet'!$B$14,Paramètres!$A$1:$I$89,5,0)</f>
        <v>199.18079999999992</v>
      </c>
      <c r="DQ153" s="13">
        <f t="shared" si="151"/>
        <v>49.564089376413683</v>
      </c>
      <c r="DR153" s="20">
        <f t="shared" si="124"/>
        <v>433.23068233058694</v>
      </c>
      <c r="DS153" s="59">
        <f t="shared" si="125"/>
        <v>726.56401566392026</v>
      </c>
      <c r="DT153" s="59">
        <f ca="1">AVERAGE(OFFSET($DS$3,0,0,'Données projet'!$E$14+1,1))-AVERAGE(OFFSET($H$3,0,0,'Données projet'!$E$14+1,1))</f>
        <v>210.07838338464626</v>
      </c>
      <c r="DU153" s="59">
        <f t="shared" si="152"/>
        <v>241.76003724236273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0.49225583986948224</v>
      </c>
      <c r="EB153" s="21">
        <f>EXP(-LN(2)/25)*EB152+(1-EXP(-LN(2)/25))/(LN(2)/25)*Calculateur!DW153*Calculateur!DY153*VLOOKUP('Données projet'!$B$14,Paramètres!$A$1:$I$89,3,0)*0.475*44/12</f>
        <v>0.48675758696819055</v>
      </c>
      <c r="EC153" s="21">
        <f>EXP(-LN(2)/2)*EC152+(1-EXP(-LN(2)/2))/(LN(2)/2)*DW153*DZ153*VLOOKUP('Données projet'!$B$14,Paramètres!$A$1:$I$89,3,0)*0.475*44/12</f>
        <v>1.3853002487186443E-17</v>
      </c>
      <c r="ED153" s="22">
        <f t="shared" si="126"/>
        <v>0.97901342683767278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6.2527760746888816E-13</v>
      </c>
      <c r="EK153" s="17">
        <f>EJ153*VLOOKUP('Données projet'!$B$15,Paramètres!$A$1:$I$89,3,0)*VLOOKUP('Données projet'!$B$15,Paramètres!$A$1:$I$89,5,0)</f>
        <v>3.9017322706058616E-13</v>
      </c>
      <c r="EL153" s="13">
        <f t="shared" si="153"/>
        <v>5.0025007393608908E-12</v>
      </c>
      <c r="EM153" s="20">
        <f t="shared" si="127"/>
        <v>9.3922404915174053E-12</v>
      </c>
      <c r="EN153" s="59">
        <f t="shared" si="128"/>
        <v>293.33333333334269</v>
      </c>
      <c r="EO153" s="59">
        <f ca="1">AVERAGE(OFFSET($EN$3,0,0,'Données projet'!$E$15+1,1))-AVERAGE(OFFSET($H$3,0,0,'Données projet'!$E$15+1,1))</f>
        <v>209.93608079129638</v>
      </c>
      <c r="EP153" s="59">
        <f t="shared" si="154"/>
        <v>240.15652428700969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0.64578713634332785</v>
      </c>
      <c r="EW153" s="21">
        <f>EXP(-LN(2)/25)*EW152+(1-EXP(-LN(2)/25))/(LN(2)/25)*Calculateur!ER153*Calculateur!ET153*VLOOKUP('Données projet'!$B$15,Paramètres!$A$1:$I$89,3,0)*0.475*44/12</f>
        <v>0.74621988279221252</v>
      </c>
      <c r="EX153" s="21">
        <f>EXP(-LN(2)/2)*EX152+(1-EXP(-LN(2)/2))/(LN(2)/2)*ER153*EU153*VLOOKUP('Données projet'!$B$15,Paramètres!$A$1:$I$89,3,0)*0.475*44/12</f>
        <v>1.7512740826705536E-17</v>
      </c>
      <c r="EY153" s="22">
        <f t="shared" si="129"/>
        <v>1.3920070191355403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5.6843418860808015E-14</v>
      </c>
      <c r="O154" s="13">
        <f>N154*VLOOKUP('Données projet'!$B$9,Paramètres!$A$1:$I$89,3,0)*VLOOKUP('Données projet'!$B$9,Paramètres!$A$1:$I$89,5,0)</f>
        <v>4.5224624045658861E-14</v>
      </c>
      <c r="P154" s="13">
        <f t="shared" si="141"/>
        <v>7.4514601661523691E-13</v>
      </c>
      <c r="Q154" s="20">
        <f t="shared" ref="Q154:Q203" si="162">(O154+P154)*0.475*44/12</f>
        <v>1.3765621991510601E-12</v>
      </c>
      <c r="R154" s="59">
        <f t="shared" si="109"/>
        <v>293.33333333333468</v>
      </c>
      <c r="S154" s="59">
        <f ca="1">AVERAGE(OFFSET($R$3,0,0,'Données projet'!$E$9+1,1))-AVERAGE(OFFSET($H$3,0,0,'Données projet'!$E$9+1,1))</f>
        <v>199.58763537752952</v>
      </c>
      <c r="T154" s="59">
        <f t="shared" si="142"/>
        <v>242.62852778451929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</v>
      </c>
      <c r="AA154" s="21">
        <f>EXP(-LN(2)/25)*AA153+(1-EXP(-LN(2)/25))/(LN(2)/25)*Calculateur!V154*Calculateur!X154*VLOOKUP('Données projet'!$B$9,Paramètres!$A$1:$I$89,3,0)*0.475*44/12</f>
        <v>0.35903241719916001</v>
      </c>
      <c r="AB154" s="21">
        <f>EXP(-LN(2)/2)*AB153+(1-EXP(-LN(2)/2))/(LN(2)/2)*V154*Y154*VLOOKUP('Données projet'!$B$9,Paramètres!$A$1:$I$89,3,0)*0.475*44/12</f>
        <v>6.600250655031309E-18</v>
      </c>
      <c r="AC154" s="22">
        <f t="shared" ref="AC154:AC203" si="163">SUM(Z154:AB154)</f>
        <v>0.35903241719916001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566</v>
      </c>
      <c r="AJ154" s="13">
        <f>AI154*VLOOKUP('Données projet'!$B$10,Paramètres!$A$1:$I$89,3,0)*VLOOKUP('Données projet'!$B$10,Paramètres!$A$1:$I$89,5,0)</f>
        <v>338.46800000000002</v>
      </c>
      <c r="AK154" s="13">
        <f t="shared" ref="AK154:AK203" si="164">EXP(-1.0587+0.8836*LN(AJ154)+0.284)</f>
        <v>79.183342377469998</v>
      </c>
      <c r="AL154" s="20">
        <f t="shared" ref="AL154:AL203" si="165">(AJ154+AK154)*0.475*44/12</f>
        <v>727.4094213074269</v>
      </c>
      <c r="AM154" s="59">
        <f t="shared" si="113"/>
        <v>1020.7427546407603</v>
      </c>
      <c r="AN154" s="59">
        <f ca="1">AVERAGE(OFFSET($AM$3,0,0,'Données projet'!$E$10+1,1))-AVERAGE(OFFSET($H$3,0,0,'Données projet'!$E$10+1,1))</f>
        <v>287.78657453117694</v>
      </c>
      <c r="AO154" s="59">
        <f t="shared" si="144"/>
        <v>153.31562485362252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0.26653374855130102</v>
      </c>
      <c r="AV154" s="21">
        <f>EXP(-LN(2)/25)*AV153+(1-EXP(-LN(2)/25))/(LN(2)/25)*Calculateur!AQ154*Calculateur!AS154*VLOOKUP('Données projet'!$B$10,Paramètres!$A$1:$I$89,3,0)*0.475*44/12</f>
        <v>0.20360449657119381</v>
      </c>
      <c r="AW154" s="21">
        <f>EXP(-LN(2)/2)*AW153+(1-EXP(-LN(2)/2))/(LN(2)/2)*AQ154*AT154*VLOOKUP('Données projet'!$B$10,Paramètres!$A$1:$I$89,3,0)*0.475*44/12</f>
        <v>6.8102935732427691E-18</v>
      </c>
      <c r="AX154" s="21">
        <f t="shared" ref="AX154:AX203" si="166">SUM(AU154:AW154)</f>
        <v>0.4701382451224948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-6.7984728957526396E-14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250.93905519128998</v>
      </c>
      <c r="BJ154" s="59">
        <f t="shared" si="146"/>
        <v>222.32879462265032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0.1166487069312202</v>
      </c>
      <c r="BQ154" s="21">
        <f>EXP(-LN(2)/25)*BQ153+(1-EXP(-LN(2)/25))/(LN(2)/25)*Calculateur!BL154*Calculateur!BN154*VLOOKUP('Données projet'!$B$11,Paramètres!$A$1:$I$89,3,0)*0.475*44/12</f>
        <v>0.40413316457238502</v>
      </c>
      <c r="BR154" s="21">
        <f>EXP(-LN(2)/2)*BR153+(1-EXP(-LN(2)/2))/(LN(2)/2)*BL154*BO154*VLOOKUP('Données projet'!$B$11,Paramètres!$A$1:$I$89,3,0)*0.475*44/12</f>
        <v>1.1575620427209212E-18</v>
      </c>
      <c r="BS154" s="22">
        <f t="shared" ref="BS154:BS203" si="169">SUM(BP154:BR154)</f>
        <v>0.52078187150360522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-2.8421709430404007E-13</v>
      </c>
      <c r="BZ154" s="13">
        <f>BY154*VLOOKUP('Données projet'!$B$12,Paramètres!$A$1:$I$89,3,0)*VLOOKUP('Données projet'!$B$12,Paramètres!$A$1:$I$89,5,0)</f>
        <v>-1.69961822393816E-13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179.32848817523677</v>
      </c>
      <c r="CE154" s="59">
        <f t="shared" si="148"/>
        <v>131.3292389103035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0.46018538042327778</v>
      </c>
      <c r="CM154" s="21">
        <f>EXP(-LN(2)/2)*CM153+(1-EXP(-LN(2)/2))/(LN(2)/2)*CG154*CJ154*VLOOKUP('Données projet'!$B$12,Paramètres!$A$1:$I$89,3,0)*0.475*44/12</f>
        <v>3.2278091875979851E-18</v>
      </c>
      <c r="CN154" s="22">
        <f t="shared" ref="CN154:CN203" si="172">SUM(CK154:CM154)</f>
        <v>0.46018538042327778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6.0235042735042912</v>
      </c>
      <c r="CT154" s="12">
        <f>IF('Données projet'!$A$140&gt;35,CT153+CS154-DB153,IF(A154&lt;'Données projet'!$A$140,$CQ$205^A154,IF(A154='Données projet'!$A$140,'Données projet'!$B$140,CT153+CS154-DB153)))</f>
        <v>280.85683760683685</v>
      </c>
      <c r="CU154" s="17">
        <f>CT154*VLOOKUP('Données projet'!$B$13,Paramètres!$A$1:$I$89,3,0)*VLOOKUP('Données projet'!$B$13,Paramètres!$A$1:$I$89,5,0)</f>
        <v>254.11926666666599</v>
      </c>
      <c r="CV154" s="13">
        <f t="shared" ref="CV154:CV203" si="173">EXP(-1.0587+0.8836*LN(CU154)+0.284)</f>
        <v>61.467179070182553</v>
      </c>
      <c r="CW154" s="20">
        <f t="shared" ref="CW154:CW203" si="174">(CU154+CV154)*0.475*44/12</f>
        <v>549.64639299167777</v>
      </c>
      <c r="CX154" s="59">
        <f t="shared" si="122"/>
        <v>842.97972632501114</v>
      </c>
      <c r="CY154" s="59">
        <f ca="1">AVERAGE(OFFSET($CX$3,0,0,'Données projet'!$E$13+1,1))-AVERAGE(OFFSET($H$3,0,0,'Données projet'!$E$13+1,1))</f>
        <v>309.07357540707869</v>
      </c>
      <c r="CZ154" s="59">
        <f t="shared" si="150"/>
        <v>155.9593924683299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227.99999999999986</v>
      </c>
      <c r="DP154" s="17">
        <f>DO154*VLOOKUP('Données projet'!$B$14,Paramètres!$A$1:$I$89,3,0)*VLOOKUP('Données projet'!$B$14,Paramètres!$A$1:$I$89,5,0)</f>
        <v>199.18079999999992</v>
      </c>
      <c r="DQ154" s="13">
        <f t="shared" ref="DQ154:DQ203" si="176">EXP(-1.0587+0.8836*LN(DP154)+0.284)</f>
        <v>49.564089376413683</v>
      </c>
      <c r="DR154" s="20">
        <f t="shared" ref="DR154:DR203" si="177">(DP154+DQ154)*0.475*44/12</f>
        <v>433.23068233058694</v>
      </c>
      <c r="DS154" s="59">
        <f t="shared" si="125"/>
        <v>726.56401566392026</v>
      </c>
      <c r="DT154" s="59">
        <f ca="1">AVERAGE(OFFSET($DS$3,0,0,'Données projet'!$E$14+1,1))-AVERAGE(OFFSET($H$3,0,0,'Données projet'!$E$14+1,1))</f>
        <v>210.07838338464626</v>
      </c>
      <c r="DU154" s="59">
        <f t="shared" si="152"/>
        <v>241.76003724236273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0.48260300309605714</v>
      </c>
      <c r="EB154" s="21">
        <f>EXP(-LN(2)/25)*EB153+(1-EXP(-LN(2)/25))/(LN(2)/25)*Calculateur!DW154*Calculateur!DY154*VLOOKUP('Données projet'!$B$14,Paramètres!$A$1:$I$89,3,0)*0.475*44/12</f>
        <v>0.47344717515507639</v>
      </c>
      <c r="EC154" s="21">
        <f>EXP(-LN(2)/2)*EC153+(1-EXP(-LN(2)/2))/(LN(2)/2)*DW154*DZ154*VLOOKUP('Données projet'!$B$14,Paramètres!$A$1:$I$89,3,0)*0.475*44/12</f>
        <v>9.7955519984836437E-18</v>
      </c>
      <c r="ED154" s="22">
        <f t="shared" ref="ED154:ED203" si="178">SUM(EA154:EC154)</f>
        <v>0.95605017825113348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6.2527760746888816E-13</v>
      </c>
      <c r="EK154" s="17">
        <f>EJ154*VLOOKUP('Données projet'!$B$15,Paramètres!$A$1:$I$89,3,0)*VLOOKUP('Données projet'!$B$15,Paramètres!$A$1:$I$89,5,0)</f>
        <v>3.9017322706058616E-13</v>
      </c>
      <c r="EL154" s="13">
        <f t="shared" ref="EL154:EL203" si="179">EXP(-1.0587+0.8836*LN(EK154)+0.284)</f>
        <v>5.0025007393608908E-12</v>
      </c>
      <c r="EM154" s="20">
        <f t="shared" ref="EM154:EM203" si="180">(EK154+EL154)*0.475*44/12</f>
        <v>9.3922404915174053E-12</v>
      </c>
      <c r="EN154" s="59">
        <f t="shared" si="128"/>
        <v>293.33333333334269</v>
      </c>
      <c r="EO154" s="59">
        <f ca="1">AVERAGE(OFFSET($EN$3,0,0,'Données projet'!$E$15+1,1))-AVERAGE(OFFSET($H$3,0,0,'Données projet'!$E$15+1,1))</f>
        <v>209.93608079129638</v>
      </c>
      <c r="EP154" s="59">
        <f t="shared" si="154"/>
        <v>240.15652428700969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0.63312364449089487</v>
      </c>
      <c r="EW154" s="21">
        <f>EXP(-LN(2)/25)*EW153+(1-EXP(-LN(2)/25))/(LN(2)/25)*Calculateur!ER154*Calculateur!ET154*VLOOKUP('Données projet'!$B$15,Paramètres!$A$1:$I$89,3,0)*0.475*44/12</f>
        <v>0.72581446085526136</v>
      </c>
      <c r="EX154" s="21">
        <f>EXP(-LN(2)/2)*EX153+(1-EXP(-LN(2)/2))/(LN(2)/2)*ER154*EU154*VLOOKUP('Données projet'!$B$15,Paramètres!$A$1:$I$89,3,0)*0.475*44/12</f>
        <v>1.2383377795725989E-17</v>
      </c>
      <c r="EY154" s="22">
        <f t="shared" ref="EY154:EY203" si="181">SUM(EV154:EX154)</f>
        <v>1.3589381053461562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5.6843418860808015E-14</v>
      </c>
      <c r="O155" s="13">
        <f>N155*VLOOKUP('Données projet'!$B$9,Paramètres!$A$1:$I$89,3,0)*VLOOKUP('Données projet'!$B$9,Paramètres!$A$1:$I$89,5,0)</f>
        <v>4.5224624045658861E-14</v>
      </c>
      <c r="P155" s="13">
        <f t="shared" si="141"/>
        <v>7.4514601661523691E-13</v>
      </c>
      <c r="Q155" s="20">
        <f t="shared" si="162"/>
        <v>1.3765621991510601E-12</v>
      </c>
      <c r="R155" s="59">
        <f t="shared" si="109"/>
        <v>293.33333333333468</v>
      </c>
      <c r="S155" s="59">
        <f ca="1">AVERAGE(OFFSET($R$3,0,0,'Données projet'!$E$9+1,1))-AVERAGE(OFFSET($H$3,0,0,'Données projet'!$E$9+1,1))</f>
        <v>199.58763537752952</v>
      </c>
      <c r="T155" s="59">
        <f t="shared" si="142"/>
        <v>242.62852778451929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</v>
      </c>
      <c r="AA155" s="21">
        <f>EXP(-LN(2)/25)*AA154+(1-EXP(-LN(2)/25))/(LN(2)/25)*Calculateur!V155*Calculateur!X155*VLOOKUP('Données projet'!$B$9,Paramètres!$A$1:$I$89,3,0)*0.475*44/12</f>
        <v>0.34921465687015474</v>
      </c>
      <c r="AB155" s="21">
        <f>EXP(-LN(2)/2)*AB154+(1-EXP(-LN(2)/2))/(LN(2)/2)*V155*Y155*VLOOKUP('Données projet'!$B$9,Paramètres!$A$1:$I$89,3,0)*0.475*44/12</f>
        <v>4.6670819957035907E-18</v>
      </c>
      <c r="AC155" s="22">
        <f t="shared" si="163"/>
        <v>0.34921465687015474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566</v>
      </c>
      <c r="AJ155" s="13">
        <f>AI155*VLOOKUP('Données projet'!$B$10,Paramètres!$A$1:$I$89,3,0)*VLOOKUP('Données projet'!$B$10,Paramètres!$A$1:$I$89,5,0)</f>
        <v>338.46800000000002</v>
      </c>
      <c r="AK155" s="13">
        <f t="shared" si="164"/>
        <v>79.183342377469998</v>
      </c>
      <c r="AL155" s="20">
        <f t="shared" si="165"/>
        <v>727.4094213074269</v>
      </c>
      <c r="AM155" s="59">
        <f t="shared" si="113"/>
        <v>1020.7427546407603</v>
      </c>
      <c r="AN155" s="59">
        <f ca="1">AVERAGE(OFFSET($AM$3,0,0,'Données projet'!$E$10+1,1))-AVERAGE(OFFSET($H$3,0,0,'Données projet'!$E$10+1,1))</f>
        <v>287.78657453117694</v>
      </c>
      <c r="AO155" s="59">
        <f t="shared" si="144"/>
        <v>153.31562485362252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0.26130718431174421</v>
      </c>
      <c r="AV155" s="21">
        <f>EXP(-LN(2)/25)*AV154+(1-EXP(-LN(2)/25))/(LN(2)/25)*Calculateur!AQ155*Calculateur!AS155*VLOOKUP('Données projet'!$B$10,Paramètres!$A$1:$I$89,3,0)*0.475*44/12</f>
        <v>0.19803692090535938</v>
      </c>
      <c r="AW155" s="21">
        <f>EXP(-LN(2)/2)*AW154+(1-EXP(-LN(2)/2))/(LN(2)/2)*AQ155*AT155*VLOOKUP('Données projet'!$B$10,Paramètres!$A$1:$I$89,3,0)*0.475*44/12</f>
        <v>4.8156047675111263E-18</v>
      </c>
      <c r="AX155" s="21">
        <f t="shared" si="166"/>
        <v>0.45934410521710356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-6.7984728957526396E-14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250.93905519128998</v>
      </c>
      <c r="BJ155" s="59">
        <f t="shared" si="146"/>
        <v>222.32879462265032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0.11436129693698485</v>
      </c>
      <c r="BQ155" s="21">
        <f>EXP(-LN(2)/25)*BQ154+(1-EXP(-LN(2)/25))/(LN(2)/25)*Calculateur!BL155*Calculateur!BN155*VLOOKUP('Données projet'!$B$11,Paramètres!$A$1:$I$89,3,0)*0.475*44/12</f>
        <v>0.3930821219347137</v>
      </c>
      <c r="BR155" s="21">
        <f>EXP(-LN(2)/2)*BR154+(1-EXP(-LN(2)/2))/(LN(2)/2)*BL155*BO155*VLOOKUP('Données projet'!$B$11,Paramètres!$A$1:$I$89,3,0)*0.475*44/12</f>
        <v>8.185199700521154E-19</v>
      </c>
      <c r="BS155" s="22">
        <f t="shared" si="169"/>
        <v>0.50744341887169853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-2.8421709430404007E-13</v>
      </c>
      <c r="BZ155" s="13">
        <f>BY155*VLOOKUP('Données projet'!$B$12,Paramètres!$A$1:$I$89,3,0)*VLOOKUP('Données projet'!$B$12,Paramètres!$A$1:$I$89,5,0)</f>
        <v>-1.69961822393816E-13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179.32848817523677</v>
      </c>
      <c r="CE155" s="59">
        <f t="shared" si="148"/>
        <v>131.3292389103035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0.44760158699550584</v>
      </c>
      <c r="CM155" s="21">
        <f>EXP(-LN(2)/2)*CM154+(1-EXP(-LN(2)/2))/(LN(2)/2)*CG155*CJ155*VLOOKUP('Données projet'!$B$12,Paramètres!$A$1:$I$89,3,0)*0.475*44/12</f>
        <v>2.2824057649267761E-18</v>
      </c>
      <c r="CN155" s="22">
        <f t="shared" si="172"/>
        <v>0.44760158699550584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6.0235042735042912</v>
      </c>
      <c r="CT155" s="12">
        <f>IF('Données projet'!$A$140&gt;35,CT154+CS155-DB154,IF(A155&lt;'Données projet'!$A$140,$CQ$205^A155,IF(A155='Données projet'!$A$140,'Données projet'!$B$140,CT154+CS155-DB154)))</f>
        <v>286.88034188034112</v>
      </c>
      <c r="CU155" s="17">
        <f>CT155*VLOOKUP('Données projet'!$B$13,Paramètres!$A$1:$I$89,3,0)*VLOOKUP('Données projet'!$B$13,Paramètres!$A$1:$I$89,5,0)</f>
        <v>259.56933333333262</v>
      </c>
      <c r="CV155" s="13">
        <f t="shared" si="173"/>
        <v>62.63056837113065</v>
      </c>
      <c r="CW155" s="20">
        <f t="shared" si="174"/>
        <v>561.16482880194019</v>
      </c>
      <c r="CX155" s="59">
        <f t="shared" si="122"/>
        <v>854.49816213527356</v>
      </c>
      <c r="CY155" s="59">
        <f ca="1">AVERAGE(OFFSET($CX$3,0,0,'Données projet'!$E$13+1,1))-AVERAGE(OFFSET($H$3,0,0,'Données projet'!$E$13+1,1))</f>
        <v>309.07357540707869</v>
      </c>
      <c r="CZ155" s="59">
        <f t="shared" si="150"/>
        <v>155.9593924683299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227.99999999999986</v>
      </c>
      <c r="DP155" s="17">
        <f>DO155*VLOOKUP('Données projet'!$B$14,Paramètres!$A$1:$I$89,3,0)*VLOOKUP('Données projet'!$B$14,Paramètres!$A$1:$I$89,5,0)</f>
        <v>199.18079999999992</v>
      </c>
      <c r="DQ155" s="13">
        <f t="shared" si="176"/>
        <v>49.564089376413683</v>
      </c>
      <c r="DR155" s="20">
        <f t="shared" si="177"/>
        <v>433.23068233058694</v>
      </c>
      <c r="DS155" s="59">
        <f t="shared" si="125"/>
        <v>726.56401566392026</v>
      </c>
      <c r="DT155" s="59">
        <f ca="1">AVERAGE(OFFSET($DS$3,0,0,'Données projet'!$E$14+1,1))-AVERAGE(OFFSET($H$3,0,0,'Données projet'!$E$14+1,1))</f>
        <v>210.07838338464626</v>
      </c>
      <c r="DU155" s="59">
        <f t="shared" si="152"/>
        <v>241.76003724236273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0.47313945256410983</v>
      </c>
      <c r="EB155" s="21">
        <f>EXP(-LN(2)/25)*EB154+(1-EXP(-LN(2)/25))/(LN(2)/25)*Calculateur!DW155*Calculateur!DY155*VLOOKUP('Données projet'!$B$14,Paramètres!$A$1:$I$89,3,0)*0.475*44/12</f>
        <v>0.46050073725295598</v>
      </c>
      <c r="EC155" s="21">
        <f>EXP(-LN(2)/2)*EC154+(1-EXP(-LN(2)/2))/(LN(2)/2)*DW155*DZ155*VLOOKUP('Données projet'!$B$14,Paramètres!$A$1:$I$89,3,0)*0.475*44/12</f>
        <v>6.9265012435932229E-18</v>
      </c>
      <c r="ED155" s="22">
        <f t="shared" si="178"/>
        <v>0.93364018981706587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6.2527760746888816E-13</v>
      </c>
      <c r="EK155" s="17">
        <f>EJ155*VLOOKUP('Données projet'!$B$15,Paramètres!$A$1:$I$89,3,0)*VLOOKUP('Données projet'!$B$15,Paramètres!$A$1:$I$89,5,0)</f>
        <v>3.9017322706058616E-13</v>
      </c>
      <c r="EL155" s="13">
        <f t="shared" si="179"/>
        <v>5.0025007393608908E-12</v>
      </c>
      <c r="EM155" s="20">
        <f t="shared" si="180"/>
        <v>9.3922404915174053E-12</v>
      </c>
      <c r="EN155" s="59">
        <f t="shared" si="128"/>
        <v>293.33333333334269</v>
      </c>
      <c r="EO155" s="59">
        <f ca="1">AVERAGE(OFFSET($EN$3,0,0,'Données projet'!$E$15+1,1))-AVERAGE(OFFSET($H$3,0,0,'Données projet'!$E$15+1,1))</f>
        <v>209.93608079129638</v>
      </c>
      <c r="EP155" s="59">
        <f t="shared" si="154"/>
        <v>240.15652428700969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0.62070847598972068</v>
      </c>
      <c r="EW155" s="21">
        <f>EXP(-LN(2)/25)*EW154+(1-EXP(-LN(2)/25))/(LN(2)/25)*Calculateur!ER155*Calculateur!ET155*VLOOKUP('Données projet'!$B$15,Paramètres!$A$1:$I$89,3,0)*0.475*44/12</f>
        <v>0.70596702625425056</v>
      </c>
      <c r="EX155" s="21">
        <f>EXP(-LN(2)/2)*EX154+(1-EXP(-LN(2)/2))/(LN(2)/2)*ER155*EU155*VLOOKUP('Données projet'!$B$15,Paramètres!$A$1:$I$89,3,0)*0.475*44/12</f>
        <v>8.7563704133527681E-18</v>
      </c>
      <c r="EY155" s="22">
        <f t="shared" si="181"/>
        <v>1.3266755022439711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5.6843418860808015E-14</v>
      </c>
      <c r="O156" s="13">
        <f>N156*VLOOKUP('Données projet'!$B$9,Paramètres!$A$1:$I$89,3,0)*VLOOKUP('Données projet'!$B$9,Paramètres!$A$1:$I$89,5,0)</f>
        <v>4.5224624045658861E-14</v>
      </c>
      <c r="P156" s="13">
        <f t="shared" si="141"/>
        <v>7.4514601661523691E-13</v>
      </c>
      <c r="Q156" s="20">
        <f t="shared" si="162"/>
        <v>1.3765621991510601E-12</v>
      </c>
      <c r="R156" s="59">
        <f t="shared" si="109"/>
        <v>293.33333333333468</v>
      </c>
      <c r="S156" s="59">
        <f ca="1">AVERAGE(OFFSET($R$3,0,0,'Données projet'!$E$9+1,1))-AVERAGE(OFFSET($H$3,0,0,'Données projet'!$E$9+1,1))</f>
        <v>199.58763537752952</v>
      </c>
      <c r="T156" s="59">
        <f t="shared" si="142"/>
        <v>242.62852778451929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</v>
      </c>
      <c r="AA156" s="21">
        <f>EXP(-LN(2)/25)*AA155+(1-EXP(-LN(2)/25))/(LN(2)/25)*Calculateur!V156*Calculateur!X156*VLOOKUP('Données projet'!$B$9,Paramètres!$A$1:$I$89,3,0)*0.475*44/12</f>
        <v>0.3396653637136397</v>
      </c>
      <c r="AB156" s="21">
        <f>EXP(-LN(2)/2)*AB155+(1-EXP(-LN(2)/2))/(LN(2)/2)*V156*Y156*VLOOKUP('Données projet'!$B$9,Paramètres!$A$1:$I$89,3,0)*0.475*44/12</f>
        <v>3.3001253275156545E-18</v>
      </c>
      <c r="AC156" s="22">
        <f t="shared" si="163"/>
        <v>0.3396653637136397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566</v>
      </c>
      <c r="AJ156" s="13">
        <f>AI156*VLOOKUP('Données projet'!$B$10,Paramètres!$A$1:$I$89,3,0)*VLOOKUP('Données projet'!$B$10,Paramètres!$A$1:$I$89,5,0)</f>
        <v>338.46800000000002</v>
      </c>
      <c r="AK156" s="13">
        <f t="shared" si="164"/>
        <v>79.183342377469998</v>
      </c>
      <c r="AL156" s="20">
        <f t="shared" si="165"/>
        <v>727.4094213074269</v>
      </c>
      <c r="AM156" s="59">
        <f t="shared" si="113"/>
        <v>1020.7427546407603</v>
      </c>
      <c r="AN156" s="59">
        <f ca="1">AVERAGE(OFFSET($AM$3,0,0,'Données projet'!$E$10+1,1))-AVERAGE(OFFSET($H$3,0,0,'Données projet'!$E$10+1,1))</f>
        <v>287.78657453117694</v>
      </c>
      <c r="AO156" s="59">
        <f t="shared" si="144"/>
        <v>153.31562485362252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0.25618310980903569</v>
      </c>
      <c r="AV156" s="21">
        <f>EXP(-LN(2)/25)*AV155+(1-EXP(-LN(2)/25))/(LN(2)/25)*Calculateur!AQ156*Calculateur!AS156*VLOOKUP('Données projet'!$B$10,Paramètres!$A$1:$I$89,3,0)*0.475*44/12</f>
        <v>0.19262159088889327</v>
      </c>
      <c r="AW156" s="21">
        <f>EXP(-LN(2)/2)*AW155+(1-EXP(-LN(2)/2))/(LN(2)/2)*AQ156*AT156*VLOOKUP('Données projet'!$B$10,Paramètres!$A$1:$I$89,3,0)*0.475*44/12</f>
        <v>3.4051467866213853E-18</v>
      </c>
      <c r="AX156" s="21">
        <f t="shared" si="166"/>
        <v>0.44880470069792899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-6.7984728957526396E-14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250.93905519128998</v>
      </c>
      <c r="BJ156" s="59">
        <f t="shared" si="146"/>
        <v>222.32879462265032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0.11211874165755413</v>
      </c>
      <c r="BQ156" s="21">
        <f>EXP(-LN(2)/25)*BQ155+(1-EXP(-LN(2)/25))/(LN(2)/25)*Calculateur!BL156*Calculateur!BN156*VLOOKUP('Données projet'!$B$11,Paramètres!$A$1:$I$89,3,0)*0.475*44/12</f>
        <v>0.38233327063911854</v>
      </c>
      <c r="BR156" s="21">
        <f>EXP(-LN(2)/2)*BR155+(1-EXP(-LN(2)/2))/(LN(2)/2)*BL156*BO156*VLOOKUP('Données projet'!$B$11,Paramètres!$A$1:$I$89,3,0)*0.475*44/12</f>
        <v>5.7878102136046059E-19</v>
      </c>
      <c r="BS156" s="22">
        <f t="shared" si="169"/>
        <v>0.49445201229667268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-2.8421709430404007E-13</v>
      </c>
      <c r="BZ156" s="13">
        <f>BY156*VLOOKUP('Données projet'!$B$12,Paramètres!$A$1:$I$89,3,0)*VLOOKUP('Données projet'!$B$12,Paramètres!$A$1:$I$89,5,0)</f>
        <v>-1.69961822393816E-13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179.32848817523677</v>
      </c>
      <c r="CE156" s="59">
        <f t="shared" si="148"/>
        <v>131.3292389103035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0.4353618980607693</v>
      </c>
      <c r="CM156" s="21">
        <f>EXP(-LN(2)/2)*CM155+(1-EXP(-LN(2)/2))/(LN(2)/2)*CG156*CJ156*VLOOKUP('Données projet'!$B$12,Paramètres!$A$1:$I$89,3,0)*0.475*44/12</f>
        <v>1.6139045937989925E-18</v>
      </c>
      <c r="CN156" s="22">
        <f t="shared" si="172"/>
        <v>0.4353618980607693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>
        <f>VLOOKUP(A156,'Données projet'!$A$139:$I$159,2,0)</f>
        <v>292.90384615384613</v>
      </c>
      <c r="CR156" s="12">
        <f>VLOOKUP(A156,'Données projet'!$A$139:$I$159,9,0)</f>
        <v>6.0235042735042912</v>
      </c>
      <c r="CS156" s="12">
        <f t="array" ref="CS156">INDEX(CR:CR,MIN(IF(ISNUMBER(CR156:CR352),ROW(CR156:CR352),"")))</f>
        <v>6.0235042735042912</v>
      </c>
      <c r="CT156" s="12">
        <f>IF('Données projet'!$A$140&gt;35,CT155+CS156-DB155,IF(A156&lt;'Données projet'!$A$140,$CQ$205^A156,IF(A156='Données projet'!$A$140,'Données projet'!$B$140,CT155+CS156-DB155)))</f>
        <v>292.90384615384539</v>
      </c>
      <c r="CU156" s="17">
        <f>CT156*VLOOKUP('Données projet'!$B$13,Paramètres!$A$1:$I$89,3,0)*VLOOKUP('Données projet'!$B$13,Paramètres!$A$1:$I$89,5,0)</f>
        <v>265.01939999999934</v>
      </c>
      <c r="CV156" s="13">
        <f t="shared" si="173"/>
        <v>63.791117598380389</v>
      </c>
      <c r="CW156" s="20">
        <f t="shared" si="174"/>
        <v>572.67831815051125</v>
      </c>
      <c r="CX156" s="59">
        <f t="shared" si="122"/>
        <v>866.01165148384462</v>
      </c>
      <c r="CY156" s="59">
        <f ca="1">AVERAGE(OFFSET($CX$3,0,0,'Données projet'!$E$13+1,1))-AVERAGE(OFFSET($H$3,0,0,'Données projet'!$E$13+1,1))</f>
        <v>309.07357540707869</v>
      </c>
      <c r="CZ156" s="59">
        <f t="shared" si="150"/>
        <v>155.9593924683299</v>
      </c>
      <c r="DA156" s="15">
        <f>IF(ISNA(VLOOKUP(A156,'Données projet'!$A$139:$I$159,3,0)),0,VLOOKUP(A156,'Données projet'!$A$139:$I$159,3,0))</f>
        <v>15</v>
      </c>
      <c r="DB156" s="15">
        <f>IF(ISNA(VLOOKUP(A156,'Données projet'!$A$139:$I$159,4,0)),0,VLOOKUP(A156,'Données projet'!$A$139:$I$159,4,0))</f>
        <v>105.26282051282051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227.99999999999986</v>
      </c>
      <c r="DP156" s="17">
        <f>DO156*VLOOKUP('Données projet'!$B$14,Paramètres!$A$1:$I$89,3,0)*VLOOKUP('Données projet'!$B$14,Paramètres!$A$1:$I$89,5,0)</f>
        <v>199.18079999999992</v>
      </c>
      <c r="DQ156" s="13">
        <f t="shared" si="176"/>
        <v>49.564089376413683</v>
      </c>
      <c r="DR156" s="20">
        <f t="shared" si="177"/>
        <v>433.23068233058694</v>
      </c>
      <c r="DS156" s="59">
        <f t="shared" si="125"/>
        <v>726.56401566392026</v>
      </c>
      <c r="DT156" s="59">
        <f ca="1">AVERAGE(OFFSET($DS$3,0,0,'Données projet'!$E$14+1,1))-AVERAGE(OFFSET($H$3,0,0,'Données projet'!$E$14+1,1))</f>
        <v>210.07838338464626</v>
      </c>
      <c r="DU156" s="59">
        <f t="shared" si="152"/>
        <v>241.76003724236273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0.46386147648589815</v>
      </c>
      <c r="EB156" s="21">
        <f>EXP(-LN(2)/25)*EB155+(1-EXP(-LN(2)/25))/(LN(2)/25)*Calculateur!DW156*Calculateur!DY156*VLOOKUP('Données projet'!$B$14,Paramètres!$A$1:$I$89,3,0)*0.475*44/12</f>
        <v>0.44790832037609263</v>
      </c>
      <c r="EC156" s="21">
        <f>EXP(-LN(2)/2)*EC155+(1-EXP(-LN(2)/2))/(LN(2)/2)*DW156*DZ156*VLOOKUP('Données projet'!$B$14,Paramètres!$A$1:$I$89,3,0)*0.475*44/12</f>
        <v>4.8977759992418226E-18</v>
      </c>
      <c r="ED156" s="22">
        <f t="shared" si="178"/>
        <v>0.91176979686199078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6.2527760746888816E-13</v>
      </c>
      <c r="EK156" s="17">
        <f>EJ156*VLOOKUP('Données projet'!$B$15,Paramètres!$A$1:$I$89,3,0)*VLOOKUP('Données projet'!$B$15,Paramètres!$A$1:$I$89,5,0)</f>
        <v>3.9017322706058616E-13</v>
      </c>
      <c r="EL156" s="13">
        <f t="shared" si="179"/>
        <v>5.0025007393608908E-12</v>
      </c>
      <c r="EM156" s="20">
        <f t="shared" si="180"/>
        <v>9.3922404915174053E-12</v>
      </c>
      <c r="EN156" s="59">
        <f t="shared" si="128"/>
        <v>293.33333333334269</v>
      </c>
      <c r="EO156" s="59">
        <f ca="1">AVERAGE(OFFSET($EN$3,0,0,'Données projet'!$E$15+1,1))-AVERAGE(OFFSET($H$3,0,0,'Données projet'!$E$15+1,1))</f>
        <v>209.93608079129638</v>
      </c>
      <c r="EP156" s="59">
        <f t="shared" si="154"/>
        <v>240.15652428700969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0.60853676137034951</v>
      </c>
      <c r="EW156" s="21">
        <f>EXP(-LN(2)/25)*EW155+(1-EXP(-LN(2)/25))/(LN(2)/25)*Calculateur!ER156*Calculateur!ET156*VLOOKUP('Données projet'!$B$15,Paramètres!$A$1:$I$89,3,0)*0.475*44/12</f>
        <v>0.68666232079613565</v>
      </c>
      <c r="EX156" s="21">
        <f>EXP(-LN(2)/2)*EX155+(1-EXP(-LN(2)/2))/(LN(2)/2)*ER156*EU156*VLOOKUP('Données projet'!$B$15,Paramètres!$A$1:$I$89,3,0)*0.475*44/12</f>
        <v>6.1916888978629946E-18</v>
      </c>
      <c r="EY156" s="22">
        <f t="shared" si="181"/>
        <v>1.2951990821664852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5.6843418860808015E-14</v>
      </c>
      <c r="O157" s="13">
        <f>N157*VLOOKUP('Données projet'!$B$9,Paramètres!$A$1:$I$89,3,0)*VLOOKUP('Données projet'!$B$9,Paramètres!$A$1:$I$89,5,0)</f>
        <v>4.5224624045658861E-14</v>
      </c>
      <c r="P157" s="13">
        <f t="shared" si="141"/>
        <v>7.4514601661523691E-13</v>
      </c>
      <c r="Q157" s="20">
        <f t="shared" si="162"/>
        <v>1.3765621991510601E-12</v>
      </c>
      <c r="R157" s="59">
        <f t="shared" si="109"/>
        <v>293.33333333333468</v>
      </c>
      <c r="S157" s="59">
        <f ca="1">AVERAGE(OFFSET($R$3,0,0,'Données projet'!$E$9+1,1))-AVERAGE(OFFSET($H$3,0,0,'Données projet'!$E$9+1,1))</f>
        <v>199.58763537752952</v>
      </c>
      <c r="T157" s="59">
        <f t="shared" si="142"/>
        <v>242.62852778451929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</v>
      </c>
      <c r="AA157" s="21">
        <f>EXP(-LN(2)/25)*AA156+(1-EXP(-LN(2)/25))/(LN(2)/25)*Calculateur!V157*Calculateur!X157*VLOOKUP('Données projet'!$B$9,Paramètres!$A$1:$I$89,3,0)*0.475*44/12</f>
        <v>0.33037719648066505</v>
      </c>
      <c r="AB157" s="21">
        <f>EXP(-LN(2)/2)*AB156+(1-EXP(-LN(2)/2))/(LN(2)/2)*V157*Y157*VLOOKUP('Données projet'!$B$9,Paramètres!$A$1:$I$89,3,0)*0.475*44/12</f>
        <v>2.3335409978517954E-18</v>
      </c>
      <c r="AC157" s="22">
        <f t="shared" si="163"/>
        <v>0.33037719648066505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566</v>
      </c>
      <c r="AJ157" s="13">
        <f>AI157*VLOOKUP('Données projet'!$B$10,Paramètres!$A$1:$I$89,3,0)*VLOOKUP('Données projet'!$B$10,Paramètres!$A$1:$I$89,5,0)</f>
        <v>338.46800000000002</v>
      </c>
      <c r="AK157" s="13">
        <f t="shared" si="164"/>
        <v>79.183342377469998</v>
      </c>
      <c r="AL157" s="20">
        <f t="shared" si="165"/>
        <v>727.4094213074269</v>
      </c>
      <c r="AM157" s="59">
        <f t="shared" si="113"/>
        <v>1020.7427546407603</v>
      </c>
      <c r="AN157" s="59">
        <f ca="1">AVERAGE(OFFSET($AM$3,0,0,'Données projet'!$E$10+1,1))-AVERAGE(OFFSET($H$3,0,0,'Données projet'!$E$10+1,1))</f>
        <v>287.78657453117694</v>
      </c>
      <c r="AO157" s="59">
        <f t="shared" si="144"/>
        <v>153.31562485362252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0.25115951528194846</v>
      </c>
      <c r="AV157" s="21">
        <f>EXP(-LN(2)/25)*AV156+(1-EXP(-LN(2)/25))/(LN(2)/25)*Calculateur!AQ157*Calculateur!AS157*VLOOKUP('Données projet'!$B$10,Paramètres!$A$1:$I$89,3,0)*0.475*44/12</f>
        <v>0.18735434335650727</v>
      </c>
      <c r="AW157" s="21">
        <f>EXP(-LN(2)/2)*AW156+(1-EXP(-LN(2)/2))/(LN(2)/2)*AQ157*AT157*VLOOKUP('Données projet'!$B$10,Paramètres!$A$1:$I$89,3,0)*0.475*44/12</f>
        <v>2.4078023837555635E-18</v>
      </c>
      <c r="AX157" s="21">
        <f t="shared" si="166"/>
        <v>0.43851385863845571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-6.7984728957526396E-14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250.93905519128998</v>
      </c>
      <c r="BJ157" s="59">
        <f t="shared" si="146"/>
        <v>222.32879462265032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0.10992016151932937</v>
      </c>
      <c r="BQ157" s="21">
        <f>EXP(-LN(2)/25)*BQ156+(1-EXP(-LN(2)/25))/(LN(2)/25)*Calculateur!BL157*Calculateur!BN157*VLOOKUP('Données projet'!$B$11,Paramètres!$A$1:$I$89,3,0)*0.475*44/12</f>
        <v>0.371878347247459</v>
      </c>
      <c r="BR157" s="21">
        <f>EXP(-LN(2)/2)*BR156+(1-EXP(-LN(2)/2))/(LN(2)/2)*BL157*BO157*VLOOKUP('Données projet'!$B$11,Paramètres!$A$1:$I$89,3,0)*0.475*44/12</f>
        <v>4.092599850260577E-19</v>
      </c>
      <c r="BS157" s="22">
        <f t="shared" si="169"/>
        <v>0.48179850876678837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-2.8421709430404007E-13</v>
      </c>
      <c r="BZ157" s="13">
        <f>BY157*VLOOKUP('Données projet'!$B$12,Paramètres!$A$1:$I$89,3,0)*VLOOKUP('Données projet'!$B$12,Paramètres!$A$1:$I$89,5,0)</f>
        <v>-1.69961822393816E-13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179.32848817523677</v>
      </c>
      <c r="CE157" s="59">
        <f t="shared" si="148"/>
        <v>131.3292389103035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0.42345690406361036</v>
      </c>
      <c r="CM157" s="21">
        <f>EXP(-LN(2)/2)*CM156+(1-EXP(-LN(2)/2))/(LN(2)/2)*CG157*CJ157*VLOOKUP('Données projet'!$B$12,Paramètres!$A$1:$I$89,3,0)*0.475*44/12</f>
        <v>1.1412028824633881E-18</v>
      </c>
      <c r="CN157" s="22">
        <f t="shared" si="172"/>
        <v>0.42345690406361036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2.724358974358978</v>
      </c>
      <c r="CT157" s="12">
        <f>IF('Données projet'!$A$140&gt;35,CT156+CS157-DB156,IF(A157&lt;'Données projet'!$A$140,$CQ$205^A157,IF(A157='Données projet'!$A$140,'Données projet'!$B$140,CT156+CS157-DB156)))</f>
        <v>190.3653846153839</v>
      </c>
      <c r="CU157" s="17">
        <f>CT157*VLOOKUP('Données projet'!$B$13,Paramètres!$A$1:$I$89,3,0)*VLOOKUP('Données projet'!$B$13,Paramètres!$A$1:$I$89,5,0)</f>
        <v>172.24259999999936</v>
      </c>
      <c r="CV157" s="13">
        <f t="shared" si="173"/>
        <v>43.591907642239391</v>
      </c>
      <c r="CW157" s="20">
        <f t="shared" si="174"/>
        <v>375.91176747689912</v>
      </c>
      <c r="CX157" s="59">
        <f t="shared" si="122"/>
        <v>669.24510081023243</v>
      </c>
      <c r="CY157" s="59">
        <f ca="1">AVERAGE(OFFSET($CX$3,0,0,'Données projet'!$E$13+1,1))-AVERAGE(OFFSET($H$3,0,0,'Données projet'!$E$13+1,1))</f>
        <v>309.07357540707869</v>
      </c>
      <c r="CZ157" s="59">
        <f t="shared" si="150"/>
        <v>155.9593924683299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227.99999999999986</v>
      </c>
      <c r="DP157" s="17">
        <f>DO157*VLOOKUP('Données projet'!$B$14,Paramètres!$A$1:$I$89,3,0)*VLOOKUP('Données projet'!$B$14,Paramètres!$A$1:$I$89,5,0)</f>
        <v>199.18079999999992</v>
      </c>
      <c r="DQ157" s="13">
        <f t="shared" si="176"/>
        <v>49.564089376413683</v>
      </c>
      <c r="DR157" s="20">
        <f t="shared" si="177"/>
        <v>433.23068233058694</v>
      </c>
      <c r="DS157" s="59">
        <f t="shared" si="125"/>
        <v>726.56401566392026</v>
      </c>
      <c r="DT157" s="59">
        <f ca="1">AVERAGE(OFFSET($DS$3,0,0,'Données projet'!$E$14+1,1))-AVERAGE(OFFSET($H$3,0,0,'Données projet'!$E$14+1,1))</f>
        <v>210.07838338464626</v>
      </c>
      <c r="DU157" s="59">
        <f t="shared" si="152"/>
        <v>241.76003724236273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0.45476543585957357</v>
      </c>
      <c r="EB157" s="21">
        <f>EXP(-LN(2)/25)*EB156+(1-EXP(-LN(2)/25))/(LN(2)/25)*Calculateur!DW157*Calculateur!DY157*VLOOKUP('Données projet'!$B$14,Paramètres!$A$1:$I$89,3,0)*0.475*44/12</f>
        <v>0.43566024380093349</v>
      </c>
      <c r="EC157" s="21">
        <f>EXP(-LN(2)/2)*EC156+(1-EXP(-LN(2)/2))/(LN(2)/2)*DW157*DZ157*VLOOKUP('Données projet'!$B$14,Paramètres!$A$1:$I$89,3,0)*0.475*44/12</f>
        <v>3.4632506217966118E-18</v>
      </c>
      <c r="ED157" s="22">
        <f t="shared" si="178"/>
        <v>0.89042567966050701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6.2527760746888816E-13</v>
      </c>
      <c r="EK157" s="17">
        <f>EJ157*VLOOKUP('Données projet'!$B$15,Paramètres!$A$1:$I$89,3,0)*VLOOKUP('Données projet'!$B$15,Paramètres!$A$1:$I$89,5,0)</f>
        <v>3.9017322706058616E-13</v>
      </c>
      <c r="EL157" s="13">
        <f t="shared" si="179"/>
        <v>5.0025007393608908E-12</v>
      </c>
      <c r="EM157" s="20">
        <f t="shared" si="180"/>
        <v>9.3922404915174053E-12</v>
      </c>
      <c r="EN157" s="59">
        <f t="shared" si="128"/>
        <v>293.33333333334269</v>
      </c>
      <c r="EO157" s="59">
        <f ca="1">AVERAGE(OFFSET($EN$3,0,0,'Données projet'!$E$15+1,1))-AVERAGE(OFFSET($H$3,0,0,'Données projet'!$E$15+1,1))</f>
        <v>209.93608079129638</v>
      </c>
      <c r="EP157" s="59">
        <f t="shared" si="154"/>
        <v>240.15652428700969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0.59660372665065131</v>
      </c>
      <c r="EW157" s="21">
        <f>EXP(-LN(2)/25)*EW156+(1-EXP(-LN(2)/25))/(LN(2)/25)*Calculateur!ER157*Calculateur!ET157*VLOOKUP('Données projet'!$B$15,Paramètres!$A$1:$I$89,3,0)*0.475*44/12</f>
        <v>0.66788550352396325</v>
      </c>
      <c r="EX157" s="21">
        <f>EXP(-LN(2)/2)*EX156+(1-EXP(-LN(2)/2))/(LN(2)/2)*ER157*EU157*VLOOKUP('Données projet'!$B$15,Paramètres!$A$1:$I$89,3,0)*0.475*44/12</f>
        <v>4.3781852066763841E-18</v>
      </c>
      <c r="EY157" s="22">
        <f t="shared" si="181"/>
        <v>1.2644892301746147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5.6843418860808015E-14</v>
      </c>
      <c r="O158" s="13">
        <f>N158*VLOOKUP('Données projet'!$B$9,Paramètres!$A$1:$I$89,3,0)*VLOOKUP('Données projet'!$B$9,Paramètres!$A$1:$I$89,5,0)</f>
        <v>4.5224624045658861E-14</v>
      </c>
      <c r="P158" s="13">
        <f t="shared" si="141"/>
        <v>7.4514601661523691E-13</v>
      </c>
      <c r="Q158" s="20">
        <f t="shared" si="162"/>
        <v>1.3765621991510601E-12</v>
      </c>
      <c r="R158" s="59">
        <f t="shared" si="109"/>
        <v>293.33333333333468</v>
      </c>
      <c r="S158" s="59">
        <f ca="1">AVERAGE(OFFSET($R$3,0,0,'Données projet'!$E$9+1,1))-AVERAGE(OFFSET($H$3,0,0,'Données projet'!$E$9+1,1))</f>
        <v>199.58763537752952</v>
      </c>
      <c r="T158" s="59">
        <f t="shared" si="142"/>
        <v>242.62852778451929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</v>
      </c>
      <c r="AA158" s="21">
        <f>EXP(-LN(2)/25)*AA157+(1-EXP(-LN(2)/25))/(LN(2)/25)*Calculateur!V158*Calculateur!X158*VLOOKUP('Données projet'!$B$9,Paramètres!$A$1:$I$89,3,0)*0.475*44/12</f>
        <v>0.32134301466911958</v>
      </c>
      <c r="AB158" s="21">
        <f>EXP(-LN(2)/2)*AB157+(1-EXP(-LN(2)/2))/(LN(2)/2)*V158*Y158*VLOOKUP('Données projet'!$B$9,Paramètres!$A$1:$I$89,3,0)*0.475*44/12</f>
        <v>1.6500626637578272E-18</v>
      </c>
      <c r="AC158" s="22">
        <f t="shared" si="163"/>
        <v>0.32134301466911958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566</v>
      </c>
      <c r="AJ158" s="13">
        <f>AI158*VLOOKUP('Données projet'!$B$10,Paramètres!$A$1:$I$89,3,0)*VLOOKUP('Données projet'!$B$10,Paramètres!$A$1:$I$89,5,0)</f>
        <v>338.46800000000002</v>
      </c>
      <c r="AK158" s="13">
        <f t="shared" si="164"/>
        <v>79.183342377469998</v>
      </c>
      <c r="AL158" s="20">
        <f t="shared" si="165"/>
        <v>727.4094213074269</v>
      </c>
      <c r="AM158" s="59">
        <f t="shared" si="113"/>
        <v>1020.7427546407603</v>
      </c>
      <c r="AN158" s="59">
        <f ca="1">AVERAGE(OFFSET($AM$3,0,0,'Données projet'!$E$10+1,1))-AVERAGE(OFFSET($H$3,0,0,'Données projet'!$E$10+1,1))</f>
        <v>287.78657453117694</v>
      </c>
      <c r="AO158" s="59">
        <f t="shared" si="144"/>
        <v>153.31562485362252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0.24623443037944731</v>
      </c>
      <c r="AV158" s="21">
        <f>EXP(-LN(2)/25)*AV157+(1-EXP(-LN(2)/25))/(LN(2)/25)*Calculateur!AQ158*Calculateur!AS158*VLOOKUP('Données projet'!$B$10,Paramètres!$A$1:$I$89,3,0)*0.475*44/12</f>
        <v>0.18223112898488686</v>
      </c>
      <c r="AW158" s="21">
        <f>EXP(-LN(2)/2)*AW157+(1-EXP(-LN(2)/2))/(LN(2)/2)*AQ158*AT158*VLOOKUP('Données projet'!$B$10,Paramètres!$A$1:$I$89,3,0)*0.475*44/12</f>
        <v>1.7025733933106929E-18</v>
      </c>
      <c r="AX158" s="21">
        <f t="shared" si="166"/>
        <v>0.42846555936433417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-6.7984728957526396E-14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250.93905519128998</v>
      </c>
      <c r="BJ158" s="59">
        <f t="shared" si="146"/>
        <v>222.32879462265032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0.10776469419661373</v>
      </c>
      <c r="BQ158" s="21">
        <f>EXP(-LN(2)/25)*BQ157+(1-EXP(-LN(2)/25))/(LN(2)/25)*Calculateur!BL158*Calculateur!BN158*VLOOKUP('Données projet'!$B$11,Paramètres!$A$1:$I$89,3,0)*0.475*44/12</f>
        <v>0.36170931428574488</v>
      </c>
      <c r="BR158" s="21">
        <f>EXP(-LN(2)/2)*BR157+(1-EXP(-LN(2)/2))/(LN(2)/2)*BL158*BO158*VLOOKUP('Données projet'!$B$11,Paramètres!$A$1:$I$89,3,0)*0.475*44/12</f>
        <v>2.893905106802303E-19</v>
      </c>
      <c r="BS158" s="22">
        <f t="shared" si="169"/>
        <v>0.4694740084823586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-2.8421709430404007E-13</v>
      </c>
      <c r="BZ158" s="13">
        <f>BY158*VLOOKUP('Données projet'!$B$12,Paramètres!$A$1:$I$89,3,0)*VLOOKUP('Données projet'!$B$12,Paramètres!$A$1:$I$89,5,0)</f>
        <v>-1.69961822393816E-13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179.32848817523677</v>
      </c>
      <c r="CE158" s="59">
        <f t="shared" si="148"/>
        <v>131.3292389103035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0.41187745275336018</v>
      </c>
      <c r="CM158" s="21">
        <f>EXP(-LN(2)/2)*CM157+(1-EXP(-LN(2)/2))/(LN(2)/2)*CG158*CJ158*VLOOKUP('Données projet'!$B$12,Paramètres!$A$1:$I$89,3,0)*0.475*44/12</f>
        <v>8.0695229689949627E-19</v>
      </c>
      <c r="CN158" s="22">
        <f t="shared" si="172"/>
        <v>0.41187745275336018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2.724358974358978</v>
      </c>
      <c r="CT158" s="12">
        <f>IF('Données projet'!$A$140&gt;35,CT157+CS158-DB157,IF(A158&lt;'Données projet'!$A$140,$CQ$205^A158,IF(A158='Données projet'!$A$140,'Données projet'!$B$140,CT157+CS158-DB157)))</f>
        <v>193.08974358974288</v>
      </c>
      <c r="CU158" s="17">
        <f>CT158*VLOOKUP('Données projet'!$B$13,Paramètres!$A$1:$I$89,3,0)*VLOOKUP('Données projet'!$B$13,Paramètres!$A$1:$I$89,5,0)</f>
        <v>174.70759999999936</v>
      </c>
      <c r="CV158" s="13">
        <f t="shared" si="173"/>
        <v>44.142687394836166</v>
      </c>
      <c r="CW158" s="20">
        <f t="shared" si="174"/>
        <v>381.16425054600518</v>
      </c>
      <c r="CX158" s="59">
        <f t="shared" si="122"/>
        <v>674.49758387933844</v>
      </c>
      <c r="CY158" s="59">
        <f ca="1">AVERAGE(OFFSET($CX$3,0,0,'Données projet'!$E$13+1,1))-AVERAGE(OFFSET($H$3,0,0,'Données projet'!$E$13+1,1))</f>
        <v>309.07357540707869</v>
      </c>
      <c r="CZ158" s="59">
        <f t="shared" si="150"/>
        <v>155.9593924683299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227.99999999999986</v>
      </c>
      <c r="DP158" s="17">
        <f>DO158*VLOOKUP('Données projet'!$B$14,Paramètres!$A$1:$I$89,3,0)*VLOOKUP('Données projet'!$B$14,Paramètres!$A$1:$I$89,5,0)</f>
        <v>199.18079999999992</v>
      </c>
      <c r="DQ158" s="13">
        <f t="shared" si="176"/>
        <v>49.564089376413683</v>
      </c>
      <c r="DR158" s="20">
        <f t="shared" si="177"/>
        <v>433.23068233058694</v>
      </c>
      <c r="DS158" s="59">
        <f t="shared" si="125"/>
        <v>726.56401566392026</v>
      </c>
      <c r="DT158" s="59">
        <f ca="1">AVERAGE(OFFSET($DS$3,0,0,'Données projet'!$E$14+1,1))-AVERAGE(OFFSET($H$3,0,0,'Données projet'!$E$14+1,1))</f>
        <v>210.07838338464626</v>
      </c>
      <c r="DU158" s="59">
        <f t="shared" si="152"/>
        <v>241.76003724236273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0.44584776304189427</v>
      </c>
      <c r="EB158" s="21">
        <f>EXP(-LN(2)/25)*EB157+(1-EXP(-LN(2)/25))/(LN(2)/25)*Calculateur!DW158*Calculateur!DY158*VLOOKUP('Données projet'!$B$14,Paramètres!$A$1:$I$89,3,0)*0.475*44/12</f>
        <v>0.42374709152382045</v>
      </c>
      <c r="EC158" s="21">
        <f>EXP(-LN(2)/2)*EC157+(1-EXP(-LN(2)/2))/(LN(2)/2)*DW158*DZ158*VLOOKUP('Données projet'!$B$14,Paramètres!$A$1:$I$89,3,0)*0.475*44/12</f>
        <v>2.4488879996209117E-18</v>
      </c>
      <c r="ED158" s="22">
        <f t="shared" si="178"/>
        <v>0.86959485456571473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6.2527760746888816E-13</v>
      </c>
      <c r="EK158" s="17">
        <f>EJ158*VLOOKUP('Données projet'!$B$15,Paramètres!$A$1:$I$89,3,0)*VLOOKUP('Données projet'!$B$15,Paramètres!$A$1:$I$89,5,0)</f>
        <v>3.9017322706058616E-13</v>
      </c>
      <c r="EL158" s="13">
        <f t="shared" si="179"/>
        <v>5.0025007393608908E-12</v>
      </c>
      <c r="EM158" s="20">
        <f t="shared" si="180"/>
        <v>9.3922404915174053E-12</v>
      </c>
      <c r="EN158" s="59">
        <f t="shared" si="128"/>
        <v>293.33333333334269</v>
      </c>
      <c r="EO158" s="59">
        <f ca="1">AVERAGE(OFFSET($EN$3,0,0,'Données projet'!$E$15+1,1))-AVERAGE(OFFSET($H$3,0,0,'Données projet'!$E$15+1,1))</f>
        <v>209.93608079129638</v>
      </c>
      <c r="EP158" s="59">
        <f t="shared" si="154"/>
        <v>240.15652428700969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0.58490469146337387</v>
      </c>
      <c r="EW158" s="21">
        <f>EXP(-LN(2)/25)*EW157+(1-EXP(-LN(2)/25))/(LN(2)/25)*Calculateur!ER158*Calculateur!ET158*VLOOKUP('Données projet'!$B$15,Paramètres!$A$1:$I$89,3,0)*0.475*44/12</f>
        <v>0.64962213930752832</v>
      </c>
      <c r="EX158" s="21">
        <f>EXP(-LN(2)/2)*EX157+(1-EXP(-LN(2)/2))/(LN(2)/2)*ER158*EU158*VLOOKUP('Données projet'!$B$15,Paramètres!$A$1:$I$89,3,0)*0.475*44/12</f>
        <v>3.0958444489314973E-18</v>
      </c>
      <c r="EY158" s="22">
        <f t="shared" si="181"/>
        <v>1.2345268307709021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5.6843418860808015E-14</v>
      </c>
      <c r="O159" s="13">
        <f>N159*VLOOKUP('Données projet'!$B$9,Paramètres!$A$1:$I$89,3,0)*VLOOKUP('Données projet'!$B$9,Paramètres!$A$1:$I$89,5,0)</f>
        <v>4.5224624045658861E-14</v>
      </c>
      <c r="P159" s="13">
        <f t="shared" si="141"/>
        <v>7.4514601661523691E-13</v>
      </c>
      <c r="Q159" s="20">
        <f t="shared" si="162"/>
        <v>1.3765621991510601E-12</v>
      </c>
      <c r="R159" s="59">
        <f t="shared" si="109"/>
        <v>293.33333333333468</v>
      </c>
      <c r="S159" s="59">
        <f ca="1">AVERAGE(OFFSET($R$3,0,0,'Données projet'!$E$9+1,1))-AVERAGE(OFFSET($H$3,0,0,'Données projet'!$E$9+1,1))</f>
        <v>199.58763537752952</v>
      </c>
      <c r="T159" s="59">
        <f t="shared" si="142"/>
        <v>242.62852778451929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</v>
      </c>
      <c r="AA159" s="21">
        <f>EXP(-LN(2)/25)*AA158+(1-EXP(-LN(2)/25))/(LN(2)/25)*Calculateur!V159*Calculateur!X159*VLOOKUP('Données projet'!$B$9,Paramètres!$A$1:$I$89,3,0)*0.475*44/12</f>
        <v>0.31255587303429777</v>
      </c>
      <c r="AB159" s="21">
        <f>EXP(-LN(2)/2)*AB158+(1-EXP(-LN(2)/2))/(LN(2)/2)*V159*Y159*VLOOKUP('Données projet'!$B$9,Paramètres!$A$1:$I$89,3,0)*0.475*44/12</f>
        <v>1.1667704989258977E-18</v>
      </c>
      <c r="AC159" s="22">
        <f t="shared" si="163"/>
        <v>0.31255587303429777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566</v>
      </c>
      <c r="AJ159" s="13">
        <f>AI159*VLOOKUP('Données projet'!$B$10,Paramètres!$A$1:$I$89,3,0)*VLOOKUP('Données projet'!$B$10,Paramètres!$A$1:$I$89,5,0)</f>
        <v>338.46800000000002</v>
      </c>
      <c r="AK159" s="13">
        <f t="shared" si="164"/>
        <v>79.183342377469998</v>
      </c>
      <c r="AL159" s="20">
        <f t="shared" si="165"/>
        <v>727.4094213074269</v>
      </c>
      <c r="AM159" s="59">
        <f t="shared" si="113"/>
        <v>1020.7427546407603</v>
      </c>
      <c r="AN159" s="59">
        <f ca="1">AVERAGE(OFFSET($AM$3,0,0,'Données projet'!$E$10+1,1))-AVERAGE(OFFSET($H$3,0,0,'Données projet'!$E$10+1,1))</f>
        <v>287.78657453117694</v>
      </c>
      <c r="AO159" s="59">
        <f t="shared" si="144"/>
        <v>153.31562485362252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0.24140592338787903</v>
      </c>
      <c r="AV159" s="21">
        <f>EXP(-LN(2)/25)*AV158+(1-EXP(-LN(2)/25))/(LN(2)/25)*Calculateur!AQ159*Calculateur!AS159*VLOOKUP('Données projet'!$B$10,Paramètres!$A$1:$I$89,3,0)*0.475*44/12</f>
        <v>0.17724800917967654</v>
      </c>
      <c r="AW159" s="21">
        <f>EXP(-LN(2)/2)*AW158+(1-EXP(-LN(2)/2))/(LN(2)/2)*AQ159*AT159*VLOOKUP('Données projet'!$B$10,Paramètres!$A$1:$I$89,3,0)*0.475*44/12</f>
        <v>1.203901191877782E-18</v>
      </c>
      <c r="AX159" s="21">
        <f t="shared" si="166"/>
        <v>0.41865393256755556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-6.7984728957526396E-14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250.93905519128998</v>
      </c>
      <c r="BJ159" s="59">
        <f t="shared" si="146"/>
        <v>222.32879462265032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0.10565149427339131</v>
      </c>
      <c r="BQ159" s="21">
        <f>EXP(-LN(2)/25)*BQ158+(1-EXP(-LN(2)/25))/(LN(2)/25)*Calculateur!BL159*Calculateur!BN159*VLOOKUP('Données projet'!$B$11,Paramètres!$A$1:$I$89,3,0)*0.475*44/12</f>
        <v>0.35181835406513506</v>
      </c>
      <c r="BR159" s="21">
        <f>EXP(-LN(2)/2)*BR158+(1-EXP(-LN(2)/2))/(LN(2)/2)*BL159*BO159*VLOOKUP('Données projet'!$B$11,Paramètres!$A$1:$I$89,3,0)*0.475*44/12</f>
        <v>2.0462999251302885E-19</v>
      </c>
      <c r="BS159" s="22">
        <f t="shared" si="169"/>
        <v>0.45746984833852639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-2.8421709430404007E-13</v>
      </c>
      <c r="BZ159" s="13">
        <f>BY159*VLOOKUP('Données projet'!$B$12,Paramètres!$A$1:$I$89,3,0)*VLOOKUP('Données projet'!$B$12,Paramètres!$A$1:$I$89,5,0)</f>
        <v>-1.69961822393816E-13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179.32848817523677</v>
      </c>
      <c r="CE159" s="59">
        <f t="shared" si="148"/>
        <v>131.3292389103035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0.40061464214812564</v>
      </c>
      <c r="CM159" s="21">
        <f>EXP(-LN(2)/2)*CM158+(1-EXP(-LN(2)/2))/(LN(2)/2)*CG159*CJ159*VLOOKUP('Données projet'!$B$12,Paramètres!$A$1:$I$89,3,0)*0.475*44/12</f>
        <v>5.7060144123169403E-19</v>
      </c>
      <c r="CN159" s="22">
        <f t="shared" si="172"/>
        <v>0.40061464214812564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>
        <f>VLOOKUP(A159,'Données projet'!$A$139:$I$159,2,0)</f>
        <v>195.81410256410257</v>
      </c>
      <c r="CR159" s="12">
        <f>VLOOKUP(A159,'Données projet'!$A$139:$I$159,9,0)</f>
        <v>2.724358974358978</v>
      </c>
      <c r="CS159" s="12">
        <f t="array" ref="CS159">INDEX(CR:CR,MIN(IF(ISNUMBER(CR159:CR355),ROW(CR159:CR355),"")))</f>
        <v>2.724358974358978</v>
      </c>
      <c r="CT159" s="12">
        <f>IF('Données projet'!$A$140&gt;35,CT158+CS159-DB158,IF(A159&lt;'Données projet'!$A$140,$CQ$205^A159,IF(A159='Données projet'!$A$140,'Données projet'!$B$140,CT158+CS159-DB158)))</f>
        <v>195.81410256410186</v>
      </c>
      <c r="CU159" s="17">
        <f>CT159*VLOOKUP('Données projet'!$B$13,Paramètres!$A$1:$I$89,3,0)*VLOOKUP('Données projet'!$B$13,Paramètres!$A$1:$I$89,5,0)</f>
        <v>177.17259999999936</v>
      </c>
      <c r="CV159" s="13">
        <f t="shared" si="173"/>
        <v>44.692563300824965</v>
      </c>
      <c r="CW159" s="20">
        <f t="shared" si="174"/>
        <v>386.41515941560237</v>
      </c>
      <c r="CX159" s="59">
        <f t="shared" si="122"/>
        <v>679.74849274893563</v>
      </c>
      <c r="CY159" s="59">
        <f ca="1">AVERAGE(OFFSET($CX$3,0,0,'Données projet'!$E$13+1,1))-AVERAGE(OFFSET($H$3,0,0,'Données projet'!$E$13+1,1))</f>
        <v>309.07357540707869</v>
      </c>
      <c r="CZ159" s="59">
        <f t="shared" si="150"/>
        <v>155.9593924683299</v>
      </c>
      <c r="DA159" s="15">
        <f>IF(ISNA(VLOOKUP(A159,'Données projet'!$A$139:$I$159,3,0)),0,VLOOKUP(A159,'Données projet'!$A$139:$I$159,3,0))</f>
        <v>16</v>
      </c>
      <c r="DB159" s="15">
        <f>IF(ISNA(VLOOKUP(A159,'Données projet'!$A$139:$I$159,4,0)),0,VLOOKUP(A159,'Données projet'!$A$139:$I$159,4,0))</f>
        <v>65.070512820512818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227.99999999999986</v>
      </c>
      <c r="DP159" s="17">
        <f>DO159*VLOOKUP('Données projet'!$B$14,Paramètres!$A$1:$I$89,3,0)*VLOOKUP('Données projet'!$B$14,Paramètres!$A$1:$I$89,5,0)</f>
        <v>199.18079999999992</v>
      </c>
      <c r="DQ159" s="13">
        <f t="shared" si="176"/>
        <v>49.564089376413683</v>
      </c>
      <c r="DR159" s="20">
        <f t="shared" si="177"/>
        <v>433.23068233058694</v>
      </c>
      <c r="DS159" s="59">
        <f t="shared" si="125"/>
        <v>726.56401566392026</v>
      </c>
      <c r="DT159" s="59">
        <f ca="1">AVERAGE(OFFSET($DS$3,0,0,'Données projet'!$E$14+1,1))-AVERAGE(OFFSET($H$3,0,0,'Données projet'!$E$14+1,1))</f>
        <v>210.07838338464626</v>
      </c>
      <c r="DU159" s="59">
        <f t="shared" si="152"/>
        <v>241.76003724236273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0.43710496034892632</v>
      </c>
      <c r="EB159" s="21">
        <f>EXP(-LN(2)/25)*EB158+(1-EXP(-LN(2)/25))/(LN(2)/25)*Calculateur!DW159*Calculateur!DY159*VLOOKUP('Données projet'!$B$14,Paramètres!$A$1:$I$89,3,0)*0.475*44/12</f>
        <v>0.4121597050222105</v>
      </c>
      <c r="EC159" s="21">
        <f>EXP(-LN(2)/2)*EC158+(1-EXP(-LN(2)/2))/(LN(2)/2)*DW159*DZ159*VLOOKUP('Données projet'!$B$14,Paramètres!$A$1:$I$89,3,0)*0.475*44/12</f>
        <v>1.7316253108983063E-18</v>
      </c>
      <c r="ED159" s="22">
        <f t="shared" si="178"/>
        <v>0.84926466537113687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6.2527760746888816E-13</v>
      </c>
      <c r="EK159" s="17">
        <f>EJ159*VLOOKUP('Données projet'!$B$15,Paramètres!$A$1:$I$89,3,0)*VLOOKUP('Données projet'!$B$15,Paramètres!$A$1:$I$89,5,0)</f>
        <v>3.9017322706058616E-13</v>
      </c>
      <c r="EL159" s="13">
        <f t="shared" si="179"/>
        <v>5.0025007393608908E-12</v>
      </c>
      <c r="EM159" s="20">
        <f t="shared" si="180"/>
        <v>9.3922404915174053E-12</v>
      </c>
      <c r="EN159" s="59">
        <f t="shared" si="128"/>
        <v>293.33333333334269</v>
      </c>
      <c r="EO159" s="59">
        <f ca="1">AVERAGE(OFFSET($EN$3,0,0,'Données projet'!$E$15+1,1))-AVERAGE(OFFSET($H$3,0,0,'Données projet'!$E$15+1,1))</f>
        <v>209.93608079129638</v>
      </c>
      <c r="EP159" s="59">
        <f t="shared" si="154"/>
        <v>240.15652428700969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0.57343506722041215</v>
      </c>
      <c r="EW159" s="21">
        <f>EXP(-LN(2)/25)*EW158+(1-EXP(-LN(2)/25))/(LN(2)/25)*Calculateur!ER159*Calculateur!ET159*VLOOKUP('Données projet'!$B$15,Paramètres!$A$1:$I$89,3,0)*0.475*44/12</f>
        <v>0.63185818774602043</v>
      </c>
      <c r="EX159" s="21">
        <f>EXP(-LN(2)/2)*EX158+(1-EXP(-LN(2)/2))/(LN(2)/2)*ER159*EU159*VLOOKUP('Données projet'!$B$15,Paramètres!$A$1:$I$89,3,0)*0.475*44/12</f>
        <v>2.189092603338192E-18</v>
      </c>
      <c r="EY159" s="22">
        <f t="shared" si="181"/>
        <v>1.2052932549664326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5.6843418860808015E-14</v>
      </c>
      <c r="O160" s="13">
        <f>N160*VLOOKUP('Données projet'!$B$9,Paramètres!$A$1:$I$89,3,0)*VLOOKUP('Données projet'!$B$9,Paramètres!$A$1:$I$89,5,0)</f>
        <v>4.5224624045658861E-14</v>
      </c>
      <c r="P160" s="13">
        <f t="shared" si="141"/>
        <v>7.4514601661523691E-13</v>
      </c>
      <c r="Q160" s="20">
        <f t="shared" si="162"/>
        <v>1.3765621991510601E-12</v>
      </c>
      <c r="R160" s="59">
        <f t="shared" si="109"/>
        <v>293.33333333333468</v>
      </c>
      <c r="S160" s="59">
        <f ca="1">AVERAGE(OFFSET($R$3,0,0,'Données projet'!$E$9+1,1))-AVERAGE(OFFSET($H$3,0,0,'Données projet'!$E$9+1,1))</f>
        <v>199.58763537752952</v>
      </c>
      <c r="T160" s="59">
        <f t="shared" si="142"/>
        <v>242.62852778451929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</v>
      </c>
      <c r="AA160" s="21">
        <f>EXP(-LN(2)/25)*AA159+(1-EXP(-LN(2)/25))/(LN(2)/25)*Calculateur!V160*Calculateur!X160*VLOOKUP('Données projet'!$B$9,Paramètres!$A$1:$I$89,3,0)*0.475*44/12</f>
        <v>0.30400901624957588</v>
      </c>
      <c r="AB160" s="21">
        <f>EXP(-LN(2)/2)*AB159+(1-EXP(-LN(2)/2))/(LN(2)/2)*V160*Y160*VLOOKUP('Données projet'!$B$9,Paramètres!$A$1:$I$89,3,0)*0.475*44/12</f>
        <v>8.2503133187891362E-19</v>
      </c>
      <c r="AC160" s="22">
        <f t="shared" si="163"/>
        <v>0.30400901624957588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566</v>
      </c>
      <c r="AJ160" s="13">
        <f>AI160*VLOOKUP('Données projet'!$B$10,Paramètres!$A$1:$I$89,3,0)*VLOOKUP('Données projet'!$B$10,Paramètres!$A$1:$I$89,5,0)</f>
        <v>338.46800000000002</v>
      </c>
      <c r="AK160" s="13">
        <f t="shared" si="164"/>
        <v>79.183342377469998</v>
      </c>
      <c r="AL160" s="20">
        <f t="shared" si="165"/>
        <v>727.4094213074269</v>
      </c>
      <c r="AM160" s="59">
        <f t="shared" si="113"/>
        <v>1020.7427546407603</v>
      </c>
      <c r="AN160" s="59">
        <f ca="1">AVERAGE(OFFSET($AM$3,0,0,'Données projet'!$E$10+1,1))-AVERAGE(OFFSET($H$3,0,0,'Données projet'!$E$10+1,1))</f>
        <v>287.78657453117694</v>
      </c>
      <c r="AO160" s="59">
        <f t="shared" si="144"/>
        <v>153.31562485362252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0.23667210047331694</v>
      </c>
      <c r="AV160" s="21">
        <f>EXP(-LN(2)/25)*AV159+(1-EXP(-LN(2)/25))/(LN(2)/25)*Calculateur!AQ160*Calculateur!AS160*VLOOKUP('Données projet'!$B$10,Paramètres!$A$1:$I$89,3,0)*0.475*44/12</f>
        <v>0.17240115304759057</v>
      </c>
      <c r="AW160" s="21">
        <f>EXP(-LN(2)/2)*AW159+(1-EXP(-LN(2)/2))/(LN(2)/2)*AQ160*AT160*VLOOKUP('Données projet'!$B$10,Paramètres!$A$1:$I$89,3,0)*0.475*44/12</f>
        <v>8.5128669665534662E-19</v>
      </c>
      <c r="AX160" s="21">
        <f t="shared" si="166"/>
        <v>0.40907325352090751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-6.7984728957526396E-14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250.93905519128998</v>
      </c>
      <c r="BJ160" s="59">
        <f t="shared" si="146"/>
        <v>222.32879462265032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0.10357973291173858</v>
      </c>
      <c r="BQ160" s="21">
        <f>EXP(-LN(2)/25)*BQ159+(1-EXP(-LN(2)/25))/(LN(2)/25)*Calculateur!BL160*Calculateur!BN160*VLOOKUP('Données projet'!$B$11,Paramètres!$A$1:$I$89,3,0)*0.475*44/12</f>
        <v>0.34219786267190078</v>
      </c>
      <c r="BR160" s="21">
        <f>EXP(-LN(2)/2)*BR159+(1-EXP(-LN(2)/2))/(LN(2)/2)*BL160*BO160*VLOOKUP('Données projet'!$B$11,Paramètres!$A$1:$I$89,3,0)*0.475*44/12</f>
        <v>1.4469525534011515E-19</v>
      </c>
      <c r="BS160" s="22">
        <f t="shared" si="169"/>
        <v>0.44577759558363939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-2.8421709430404007E-13</v>
      </c>
      <c r="BZ160" s="13">
        <f>BY160*VLOOKUP('Données projet'!$B$12,Paramètres!$A$1:$I$89,3,0)*VLOOKUP('Données projet'!$B$12,Paramètres!$A$1:$I$89,5,0)</f>
        <v>-1.69961822393816E-13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179.32848817523677</v>
      </c>
      <c r="CE160" s="59">
        <f t="shared" si="148"/>
        <v>131.3292389103035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0.38965981369117675</v>
      </c>
      <c r="CM160" s="21">
        <f>EXP(-LN(2)/2)*CM159+(1-EXP(-LN(2)/2))/(LN(2)/2)*CG160*CJ160*VLOOKUP('Données projet'!$B$12,Paramètres!$A$1:$I$89,3,0)*0.475*44/12</f>
        <v>4.0347614844974813E-19</v>
      </c>
      <c r="CN160" s="22">
        <f t="shared" si="172"/>
        <v>0.38965981369117675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1.6025641025640975</v>
      </c>
      <c r="CT160" s="12">
        <f>IF('Données projet'!$A$140&gt;35,CT159+CS160-DB159,IF(A160&lt;'Données projet'!$A$140,$CQ$205^A160,IF(A160='Données projet'!$A$140,'Données projet'!$B$140,CT159+CS160-DB159)))</f>
        <v>132.34615384615313</v>
      </c>
      <c r="CU160" s="17">
        <f>CT160*VLOOKUP('Données projet'!$B$13,Paramètres!$A$1:$I$89,3,0)*VLOOKUP('Données projet'!$B$13,Paramètres!$A$1:$I$89,5,0)</f>
        <v>119.74679999999935</v>
      </c>
      <c r="CV160" s="13">
        <f t="shared" si="173"/>
        <v>31.615937294397835</v>
      </c>
      <c r="CW160" s="20">
        <f t="shared" si="174"/>
        <v>263.62343412107509</v>
      </c>
      <c r="CX160" s="59">
        <f t="shared" si="122"/>
        <v>556.95676745440846</v>
      </c>
      <c r="CY160" s="59">
        <f ca="1">AVERAGE(OFFSET($CX$3,0,0,'Données projet'!$E$13+1,1))-AVERAGE(OFFSET($H$3,0,0,'Données projet'!$E$13+1,1))</f>
        <v>309.07357540707869</v>
      </c>
      <c r="CZ160" s="59">
        <f t="shared" si="150"/>
        <v>155.9593924683299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227.99999999999986</v>
      </c>
      <c r="DP160" s="17">
        <f>DO160*VLOOKUP('Données projet'!$B$14,Paramètres!$A$1:$I$89,3,0)*VLOOKUP('Données projet'!$B$14,Paramètres!$A$1:$I$89,5,0)</f>
        <v>199.18079999999992</v>
      </c>
      <c r="DQ160" s="13">
        <f t="shared" si="176"/>
        <v>49.564089376413683</v>
      </c>
      <c r="DR160" s="20">
        <f t="shared" si="177"/>
        <v>433.23068233058694</v>
      </c>
      <c r="DS160" s="59">
        <f t="shared" si="125"/>
        <v>726.56401566392026</v>
      </c>
      <c r="DT160" s="59">
        <f ca="1">AVERAGE(OFFSET($DS$3,0,0,'Données projet'!$E$14+1,1))-AVERAGE(OFFSET($H$3,0,0,'Données projet'!$E$14+1,1))</f>
        <v>210.07838338464626</v>
      </c>
      <c r="DU160" s="59">
        <f t="shared" si="152"/>
        <v>241.76003724236273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0.42853359868418434</v>
      </c>
      <c r="EB160" s="21">
        <f>EXP(-LN(2)/25)*EB159+(1-EXP(-LN(2)/25))/(LN(2)/25)*Calculateur!DW160*Calculateur!DY160*VLOOKUP('Données projet'!$B$14,Paramètres!$A$1:$I$89,3,0)*0.475*44/12</f>
        <v>0.40088917621384129</v>
      </c>
      <c r="EC160" s="21">
        <f>EXP(-LN(2)/2)*EC159+(1-EXP(-LN(2)/2))/(LN(2)/2)*DW160*DZ160*VLOOKUP('Données projet'!$B$14,Paramètres!$A$1:$I$89,3,0)*0.475*44/12</f>
        <v>1.224443999810456E-18</v>
      </c>
      <c r="ED160" s="22">
        <f t="shared" si="178"/>
        <v>0.82942277489802563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6.2527760746888816E-13</v>
      </c>
      <c r="EK160" s="17">
        <f>EJ160*VLOOKUP('Données projet'!$B$15,Paramètres!$A$1:$I$89,3,0)*VLOOKUP('Données projet'!$B$15,Paramètres!$A$1:$I$89,5,0)</f>
        <v>3.9017322706058616E-13</v>
      </c>
      <c r="EL160" s="13">
        <f t="shared" si="179"/>
        <v>5.0025007393608908E-12</v>
      </c>
      <c r="EM160" s="20">
        <f t="shared" si="180"/>
        <v>9.3922404915174053E-12</v>
      </c>
      <c r="EN160" s="59">
        <f t="shared" si="128"/>
        <v>293.33333333334269</v>
      </c>
      <c r="EO160" s="59">
        <f ca="1">AVERAGE(OFFSET($EN$3,0,0,'Données projet'!$E$15+1,1))-AVERAGE(OFFSET($H$3,0,0,'Données projet'!$E$15+1,1))</f>
        <v>209.93608079129638</v>
      </c>
      <c r="EP160" s="59">
        <f t="shared" si="154"/>
        <v>240.15652428700969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0.56219035531307482</v>
      </c>
      <c r="EW160" s="21">
        <f>EXP(-LN(2)/25)*EW159+(1-EXP(-LN(2)/25))/(LN(2)/25)*Calculateur!ER160*Calculateur!ET160*VLOOKUP('Données projet'!$B$15,Paramètres!$A$1:$I$89,3,0)*0.475*44/12</f>
        <v>0.61457999237412753</v>
      </c>
      <c r="EX160" s="21">
        <f>EXP(-LN(2)/2)*EX159+(1-EXP(-LN(2)/2))/(LN(2)/2)*ER160*EU160*VLOOKUP('Données projet'!$B$15,Paramètres!$A$1:$I$89,3,0)*0.475*44/12</f>
        <v>1.5479222244657486E-18</v>
      </c>
      <c r="EY160" s="22">
        <f t="shared" si="181"/>
        <v>1.1767703476872025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5.6843418860808015E-14</v>
      </c>
      <c r="O161" s="13">
        <f>N161*VLOOKUP('Données projet'!$B$9,Paramètres!$A$1:$I$89,3,0)*VLOOKUP('Données projet'!$B$9,Paramètres!$A$1:$I$89,5,0)</f>
        <v>4.5224624045658861E-14</v>
      </c>
      <c r="P161" s="13">
        <f t="shared" si="141"/>
        <v>7.4514601661523691E-13</v>
      </c>
      <c r="Q161" s="20">
        <f t="shared" si="162"/>
        <v>1.3765621991510601E-12</v>
      </c>
      <c r="R161" s="59">
        <f t="shared" si="109"/>
        <v>293.33333333333468</v>
      </c>
      <c r="S161" s="59">
        <f ca="1">AVERAGE(OFFSET($R$3,0,0,'Données projet'!$E$9+1,1))-AVERAGE(OFFSET($H$3,0,0,'Données projet'!$E$9+1,1))</f>
        <v>199.58763537752952</v>
      </c>
      <c r="T161" s="59">
        <f t="shared" si="142"/>
        <v>242.62852778451929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</v>
      </c>
      <c r="AA161" s="21">
        <f>EXP(-LN(2)/25)*AA160+(1-EXP(-LN(2)/25))/(LN(2)/25)*Calculateur!V161*Calculateur!X161*VLOOKUP('Données projet'!$B$9,Paramètres!$A$1:$I$89,3,0)*0.475*44/12</f>
        <v>0.29569587371309186</v>
      </c>
      <c r="AB161" s="21">
        <f>EXP(-LN(2)/2)*AB160+(1-EXP(-LN(2)/2))/(LN(2)/2)*V161*Y161*VLOOKUP('Données projet'!$B$9,Paramètres!$A$1:$I$89,3,0)*0.475*44/12</f>
        <v>5.8338524946294884E-19</v>
      </c>
      <c r="AC161" s="22">
        <f t="shared" si="163"/>
        <v>0.29569587371309186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566</v>
      </c>
      <c r="AJ161" s="13">
        <f>AI161*VLOOKUP('Données projet'!$B$10,Paramètres!$A$1:$I$89,3,0)*VLOOKUP('Données projet'!$B$10,Paramètres!$A$1:$I$89,5,0)</f>
        <v>338.46800000000002</v>
      </c>
      <c r="AK161" s="13">
        <f t="shared" si="164"/>
        <v>79.183342377469998</v>
      </c>
      <c r="AL161" s="20">
        <f t="shared" si="165"/>
        <v>727.4094213074269</v>
      </c>
      <c r="AM161" s="59">
        <f t="shared" si="113"/>
        <v>1020.7427546407603</v>
      </c>
      <c r="AN161" s="59">
        <f ca="1">AVERAGE(OFFSET($AM$3,0,0,'Données projet'!$E$10+1,1))-AVERAGE(OFFSET($H$3,0,0,'Données projet'!$E$10+1,1))</f>
        <v>287.78657453117694</v>
      </c>
      <c r="AO161" s="59">
        <f t="shared" si="144"/>
        <v>153.31562485362252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0.23203110493876253</v>
      </c>
      <c r="AV161" s="21">
        <f>EXP(-LN(2)/25)*AV160+(1-EXP(-LN(2)/25))/(LN(2)/25)*Calculateur!AQ161*Calculateur!AS161*VLOOKUP('Données projet'!$B$10,Paramètres!$A$1:$I$89,3,0)*0.475*44/12</f>
        <v>0.1676868344513216</v>
      </c>
      <c r="AW161" s="21">
        <f>EXP(-LN(2)/2)*AW160+(1-EXP(-LN(2)/2))/(LN(2)/2)*AQ161*AT161*VLOOKUP('Données projet'!$B$10,Paramètres!$A$1:$I$89,3,0)*0.475*44/12</f>
        <v>6.0195059593889108E-19</v>
      </c>
      <c r="AX161" s="21">
        <f t="shared" si="166"/>
        <v>0.39971793939008415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-6.7984728957526396E-14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250.93905519128998</v>
      </c>
      <c r="BJ161" s="59">
        <f t="shared" si="146"/>
        <v>222.32879462265032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0.10154859752673821</v>
      </c>
      <c r="BQ161" s="21">
        <f>EXP(-LN(2)/25)*BQ160+(1-EXP(-LN(2)/25))/(LN(2)/25)*Calculateur!BL161*Calculateur!BN161*VLOOKUP('Données projet'!$B$11,Paramètres!$A$1:$I$89,3,0)*0.475*44/12</f>
        <v>0.33284044412173414</v>
      </c>
      <c r="BR161" s="21">
        <f>EXP(-LN(2)/2)*BR160+(1-EXP(-LN(2)/2))/(LN(2)/2)*BL161*BO161*VLOOKUP('Données projet'!$B$11,Paramètres!$A$1:$I$89,3,0)*0.475*44/12</f>
        <v>1.0231499625651443E-19</v>
      </c>
      <c r="BS161" s="22">
        <f t="shared" si="169"/>
        <v>0.43438904164847236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-2.8421709430404007E-13</v>
      </c>
      <c r="BZ161" s="13">
        <f>BY161*VLOOKUP('Données projet'!$B$12,Paramètres!$A$1:$I$89,3,0)*VLOOKUP('Données projet'!$B$12,Paramètres!$A$1:$I$89,5,0)</f>
        <v>-1.69961822393816E-13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179.32848817523677</v>
      </c>
      <c r="CE161" s="59">
        <f t="shared" si="148"/>
        <v>131.3292389103035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0.3790045455944725</v>
      </c>
      <c r="CM161" s="21">
        <f>EXP(-LN(2)/2)*CM160+(1-EXP(-LN(2)/2))/(LN(2)/2)*CG161*CJ161*VLOOKUP('Données projet'!$B$12,Paramètres!$A$1:$I$89,3,0)*0.475*44/12</f>
        <v>2.8530072061584702E-19</v>
      </c>
      <c r="CN161" s="22">
        <f t="shared" si="172"/>
        <v>0.3790045455944725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1.6025641025640975</v>
      </c>
      <c r="CT161" s="12">
        <f>IF('Données projet'!$A$140&gt;35,CT160+CS161-DB160,IF(A161&lt;'Données projet'!$A$140,$CQ$205^A161,IF(A161='Données projet'!$A$140,'Données projet'!$B$140,CT160+CS161-DB160)))</f>
        <v>133.94871794871722</v>
      </c>
      <c r="CU161" s="17">
        <f>CT161*VLOOKUP('Données projet'!$B$13,Paramètres!$A$1:$I$89,3,0)*VLOOKUP('Données projet'!$B$13,Paramètres!$A$1:$I$89,5,0)</f>
        <v>121.19679999999934</v>
      </c>
      <c r="CV161" s="13">
        <f t="shared" si="173"/>
        <v>31.953971815874091</v>
      </c>
      <c r="CW161" s="20">
        <f t="shared" si="174"/>
        <v>266.73759424597955</v>
      </c>
      <c r="CX161" s="59">
        <f t="shared" si="122"/>
        <v>560.07092757931287</v>
      </c>
      <c r="CY161" s="59">
        <f ca="1">AVERAGE(OFFSET($CX$3,0,0,'Données projet'!$E$13+1,1))-AVERAGE(OFFSET($H$3,0,0,'Données projet'!$E$13+1,1))</f>
        <v>309.07357540707869</v>
      </c>
      <c r="CZ161" s="59">
        <f t="shared" si="150"/>
        <v>155.9593924683299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227.99999999999986</v>
      </c>
      <c r="DP161" s="17">
        <f>DO161*VLOOKUP('Données projet'!$B$14,Paramètres!$A$1:$I$89,3,0)*VLOOKUP('Données projet'!$B$14,Paramètres!$A$1:$I$89,5,0)</f>
        <v>199.18079999999992</v>
      </c>
      <c r="DQ161" s="13">
        <f t="shared" si="176"/>
        <v>49.564089376413683</v>
      </c>
      <c r="DR161" s="20">
        <f t="shared" si="177"/>
        <v>433.23068233058694</v>
      </c>
      <c r="DS161" s="59">
        <f t="shared" si="125"/>
        <v>726.56401566392026</v>
      </c>
      <c r="DT161" s="59">
        <f ca="1">AVERAGE(OFFSET($DS$3,0,0,'Données projet'!$E$14+1,1))-AVERAGE(OFFSET($H$3,0,0,'Données projet'!$E$14+1,1))</f>
        <v>210.07838338464626</v>
      </c>
      <c r="DU161" s="59">
        <f t="shared" si="152"/>
        <v>241.76003724236273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0.42013031619367358</v>
      </c>
      <c r="EB161" s="21">
        <f>EXP(-LN(2)/25)*EB160+(1-EXP(-LN(2)/25))/(LN(2)/25)*Calculateur!DW161*Calculateur!DY161*VLOOKUP('Données projet'!$B$14,Paramètres!$A$1:$I$89,3,0)*0.475*44/12</f>
        <v>0.38992684060842825</v>
      </c>
      <c r="EC161" s="21">
        <f>EXP(-LN(2)/2)*EC160+(1-EXP(-LN(2)/2))/(LN(2)/2)*DW161*DZ161*VLOOKUP('Données projet'!$B$14,Paramètres!$A$1:$I$89,3,0)*0.475*44/12</f>
        <v>8.6581265544915324E-19</v>
      </c>
      <c r="ED161" s="22">
        <f t="shared" si="178"/>
        <v>0.81005715680210177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6.2527760746888816E-13</v>
      </c>
      <c r="EK161" s="17">
        <f>EJ161*VLOOKUP('Données projet'!$B$15,Paramètres!$A$1:$I$89,3,0)*VLOOKUP('Données projet'!$B$15,Paramètres!$A$1:$I$89,5,0)</f>
        <v>3.9017322706058616E-13</v>
      </c>
      <c r="EL161" s="13">
        <f t="shared" si="179"/>
        <v>5.0025007393608908E-12</v>
      </c>
      <c r="EM161" s="20">
        <f t="shared" si="180"/>
        <v>9.3922404915174053E-12</v>
      </c>
      <c r="EN161" s="59">
        <f t="shared" si="128"/>
        <v>293.33333333334269</v>
      </c>
      <c r="EO161" s="59">
        <f ca="1">AVERAGE(OFFSET($EN$3,0,0,'Données projet'!$E$15+1,1))-AVERAGE(OFFSET($H$3,0,0,'Données projet'!$E$15+1,1))</f>
        <v>209.93608079129638</v>
      </c>
      <c r="EP161" s="59">
        <f t="shared" si="154"/>
        <v>240.15652428700969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0.55116614534764341</v>
      </c>
      <c r="EW161" s="21">
        <f>EXP(-LN(2)/25)*EW160+(1-EXP(-LN(2)/25))/(LN(2)/25)*Calculateur!ER161*Calculateur!ET161*VLOOKUP('Données projet'!$B$15,Paramètres!$A$1:$I$89,3,0)*0.475*44/12</f>
        <v>0.59777427016329987</v>
      </c>
      <c r="EX161" s="21">
        <f>EXP(-LN(2)/2)*EX160+(1-EXP(-LN(2)/2))/(LN(2)/2)*ER161*EU161*VLOOKUP('Données projet'!$B$15,Paramètres!$A$1:$I$89,3,0)*0.475*44/12</f>
        <v>1.094546301669096E-18</v>
      </c>
      <c r="EY161" s="22">
        <f t="shared" si="181"/>
        <v>1.1489404155109433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5.6843418860808015E-14</v>
      </c>
      <c r="O162" s="13">
        <f>N162*VLOOKUP('Données projet'!$B$9,Paramètres!$A$1:$I$89,3,0)*VLOOKUP('Données projet'!$B$9,Paramètres!$A$1:$I$89,5,0)</f>
        <v>4.5224624045658861E-14</v>
      </c>
      <c r="P162" s="13">
        <f t="shared" si="141"/>
        <v>7.4514601661523691E-13</v>
      </c>
      <c r="Q162" s="20">
        <f t="shared" si="162"/>
        <v>1.3765621991510601E-12</v>
      </c>
      <c r="R162" s="59">
        <f t="shared" si="109"/>
        <v>293.33333333333468</v>
      </c>
      <c r="S162" s="59">
        <f ca="1">AVERAGE(OFFSET($R$3,0,0,'Données projet'!$E$9+1,1))-AVERAGE(OFFSET($H$3,0,0,'Données projet'!$E$9+1,1))</f>
        <v>199.58763537752952</v>
      </c>
      <c r="T162" s="59">
        <f t="shared" si="142"/>
        <v>242.62852778451929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</v>
      </c>
      <c r="AA162" s="21">
        <f>EXP(-LN(2)/25)*AA161+(1-EXP(-LN(2)/25))/(LN(2)/25)*Calculateur!V162*Calculateur!X162*VLOOKUP('Données projet'!$B$9,Paramètres!$A$1:$I$89,3,0)*0.475*44/12</f>
        <v>0.28761005449643717</v>
      </c>
      <c r="AB162" s="21">
        <f>EXP(-LN(2)/2)*AB161+(1-EXP(-LN(2)/2))/(LN(2)/2)*V162*Y162*VLOOKUP('Données projet'!$B$9,Paramètres!$A$1:$I$89,3,0)*0.475*44/12</f>
        <v>4.1251566593945681E-19</v>
      </c>
      <c r="AC162" s="22">
        <f t="shared" si="163"/>
        <v>0.28761005449643717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566</v>
      </c>
      <c r="AJ162" s="13">
        <f>AI162*VLOOKUP('Données projet'!$B$10,Paramètres!$A$1:$I$89,3,0)*VLOOKUP('Données projet'!$B$10,Paramètres!$A$1:$I$89,5,0)</f>
        <v>338.46800000000002</v>
      </c>
      <c r="AK162" s="13">
        <f t="shared" si="164"/>
        <v>79.183342377469998</v>
      </c>
      <c r="AL162" s="20">
        <f t="shared" si="165"/>
        <v>727.4094213074269</v>
      </c>
      <c r="AM162" s="59">
        <f t="shared" si="113"/>
        <v>1020.7427546407603</v>
      </c>
      <c r="AN162" s="59">
        <f ca="1">AVERAGE(OFFSET($AM$3,0,0,'Données projet'!$E$10+1,1))-AVERAGE(OFFSET($H$3,0,0,'Données projet'!$E$10+1,1))</f>
        <v>287.78657453117694</v>
      </c>
      <c r="AO162" s="59">
        <f t="shared" si="144"/>
        <v>153.31562485362252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0.22748111649591296</v>
      </c>
      <c r="AV162" s="21">
        <f>EXP(-LN(2)/25)*AV161+(1-EXP(-LN(2)/25))/(LN(2)/25)*Calculateur!AQ162*Calculateur!AS162*VLOOKUP('Données projet'!$B$10,Paramètres!$A$1:$I$89,3,0)*0.475*44/12</f>
        <v>0.16310142914498285</v>
      </c>
      <c r="AW162" s="21">
        <f>EXP(-LN(2)/2)*AW161+(1-EXP(-LN(2)/2))/(LN(2)/2)*AQ162*AT162*VLOOKUP('Données projet'!$B$10,Paramètres!$A$1:$I$89,3,0)*0.475*44/12</f>
        <v>4.2564334832767336E-19</v>
      </c>
      <c r="AX162" s="21">
        <f t="shared" si="166"/>
        <v>0.39058254564089578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-6.7984728957526396E-14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250.93905519128998</v>
      </c>
      <c r="BJ162" s="59">
        <f t="shared" si="146"/>
        <v>222.32879462265032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9.9557291467767442E-2</v>
      </c>
      <c r="BQ162" s="21">
        <f>EXP(-LN(2)/25)*BQ161+(1-EXP(-LN(2)/25))/(LN(2)/25)*Calculateur!BL162*Calculateur!BN162*VLOOKUP('Données projet'!$B$11,Paramètres!$A$1:$I$89,3,0)*0.475*44/12</f>
        <v>0.32373890467390709</v>
      </c>
      <c r="BR162" s="21">
        <f>EXP(-LN(2)/2)*BR161+(1-EXP(-LN(2)/2))/(LN(2)/2)*BL162*BO162*VLOOKUP('Données projet'!$B$11,Paramètres!$A$1:$I$89,3,0)*0.475*44/12</f>
        <v>7.2347627670057574E-20</v>
      </c>
      <c r="BS162" s="22">
        <f t="shared" si="169"/>
        <v>0.42329619614167452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-2.8421709430404007E-13</v>
      </c>
      <c r="BZ162" s="13">
        <f>BY162*VLOOKUP('Données projet'!$B$12,Paramètres!$A$1:$I$89,3,0)*VLOOKUP('Données projet'!$B$12,Paramètres!$A$1:$I$89,5,0)</f>
        <v>-1.69961822393816E-13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179.32848817523677</v>
      </c>
      <c r="CE162" s="59">
        <f t="shared" si="148"/>
        <v>131.3292389103035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0.36864064636420885</v>
      </c>
      <c r="CM162" s="21">
        <f>EXP(-LN(2)/2)*CM161+(1-EXP(-LN(2)/2))/(LN(2)/2)*CG162*CJ162*VLOOKUP('Données projet'!$B$12,Paramètres!$A$1:$I$89,3,0)*0.475*44/12</f>
        <v>2.0173807422487407E-19</v>
      </c>
      <c r="CN162" s="22">
        <f t="shared" si="172"/>
        <v>0.36864064636420885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>
        <f>VLOOKUP(A162,'Données projet'!$A$139:$I$159,2,0)</f>
        <v>135.55128205128204</v>
      </c>
      <c r="CR162" s="12">
        <f>VLOOKUP(A162,'Données projet'!$A$139:$I$159,9,0)</f>
        <v>1.6025641025640975</v>
      </c>
      <c r="CS162" s="12">
        <f t="array" ref="CS162">INDEX(CR:CR,MIN(IF(ISNUMBER(CR162:CR358),ROW(CR162:CR358),"")))</f>
        <v>1.6025641025640975</v>
      </c>
      <c r="CT162" s="12">
        <f>IF('Données projet'!$A$140&gt;35,CT161+CS162-DB161,IF(A162&lt;'Données projet'!$A$140,$CQ$205^A162,IF(A162='Données projet'!$A$140,'Données projet'!$B$140,CT161+CS162-DB161)))</f>
        <v>135.55128205128131</v>
      </c>
      <c r="CU162" s="17">
        <f>CT162*VLOOKUP('Données projet'!$B$13,Paramètres!$A$1:$I$89,3,0)*VLOOKUP('Données projet'!$B$13,Paramètres!$A$1:$I$89,5,0)</f>
        <v>122.64679999999932</v>
      </c>
      <c r="CV162" s="13">
        <f t="shared" si="173"/>
        <v>32.291535902514525</v>
      </c>
      <c r="CW162" s="20">
        <f t="shared" si="174"/>
        <v>269.85093503021159</v>
      </c>
      <c r="CX162" s="59">
        <f t="shared" si="122"/>
        <v>563.1842683635449</v>
      </c>
      <c r="CY162" s="59">
        <f ca="1">AVERAGE(OFFSET($CX$3,0,0,'Données projet'!$E$13+1,1))-AVERAGE(OFFSET($H$3,0,0,'Données projet'!$E$13+1,1))</f>
        <v>309.07357540707869</v>
      </c>
      <c r="CZ162" s="59">
        <f t="shared" si="150"/>
        <v>155.9593924683299</v>
      </c>
      <c r="DA162" s="15">
        <f>IF(ISNA(VLOOKUP(A162,'Données projet'!$A$139:$I$159,3,0)),0,VLOOKUP(A162,'Données projet'!$A$139:$I$159,3,0))</f>
        <v>17</v>
      </c>
      <c r="DB162" s="15">
        <f>IF(ISNA(VLOOKUP(A162,'Données projet'!$A$139:$I$159,4,0)),0,VLOOKUP(A162,'Données projet'!$A$139:$I$159,4,0))</f>
        <v>135.55128205128204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227.99999999999986</v>
      </c>
      <c r="DP162" s="17">
        <f>DO162*VLOOKUP('Données projet'!$B$14,Paramètres!$A$1:$I$89,3,0)*VLOOKUP('Données projet'!$B$14,Paramètres!$A$1:$I$89,5,0)</f>
        <v>199.18079999999992</v>
      </c>
      <c r="DQ162" s="13">
        <f t="shared" si="176"/>
        <v>49.564089376413683</v>
      </c>
      <c r="DR162" s="20">
        <f t="shared" si="177"/>
        <v>433.23068233058694</v>
      </c>
      <c r="DS162" s="59">
        <f t="shared" si="125"/>
        <v>726.56401566392026</v>
      </c>
      <c r="DT162" s="59">
        <f ca="1">AVERAGE(OFFSET($DS$3,0,0,'Données projet'!$E$14+1,1))-AVERAGE(OFFSET($H$3,0,0,'Données projet'!$E$14+1,1))</f>
        <v>210.07838338464626</v>
      </c>
      <c r="DU162" s="59">
        <f t="shared" si="152"/>
        <v>241.76003724236273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0.41189181694730553</v>
      </c>
      <c r="EB162" s="21">
        <f>EXP(-LN(2)/25)*EB161+(1-EXP(-LN(2)/25))/(LN(2)/25)*Calculateur!DW162*Calculateur!DY162*VLOOKUP('Données projet'!$B$14,Paramètres!$A$1:$I$89,3,0)*0.475*44/12</f>
        <v>0.37926427064662943</v>
      </c>
      <c r="EC162" s="21">
        <f>EXP(-LN(2)/2)*EC161+(1-EXP(-LN(2)/2))/(LN(2)/2)*DW162*DZ162*VLOOKUP('Données projet'!$B$14,Paramètres!$A$1:$I$89,3,0)*0.475*44/12</f>
        <v>6.1222199990522812E-19</v>
      </c>
      <c r="ED162" s="22">
        <f t="shared" si="178"/>
        <v>0.79115608759393496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6.2527760746888816E-13</v>
      </c>
      <c r="EK162" s="17">
        <f>EJ162*VLOOKUP('Données projet'!$B$15,Paramètres!$A$1:$I$89,3,0)*VLOOKUP('Données projet'!$B$15,Paramètres!$A$1:$I$89,5,0)</f>
        <v>3.9017322706058616E-13</v>
      </c>
      <c r="EL162" s="13">
        <f t="shared" si="179"/>
        <v>5.0025007393608908E-12</v>
      </c>
      <c r="EM162" s="20">
        <f t="shared" si="180"/>
        <v>9.3922404915174053E-12</v>
      </c>
      <c r="EN162" s="59">
        <f t="shared" si="128"/>
        <v>293.33333333334269</v>
      </c>
      <c r="EO162" s="59">
        <f ca="1">AVERAGE(OFFSET($EN$3,0,0,'Données projet'!$E$15+1,1))-AVERAGE(OFFSET($H$3,0,0,'Données projet'!$E$15+1,1))</f>
        <v>209.93608079129638</v>
      </c>
      <c r="EP162" s="59">
        <f t="shared" si="154"/>
        <v>240.15652428700969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0.54035811341552997</v>
      </c>
      <c r="EW162" s="21">
        <f>EXP(-LN(2)/25)*EW161+(1-EXP(-LN(2)/25))/(LN(2)/25)*Calculateur!ER162*Calculateur!ET162*VLOOKUP('Données projet'!$B$15,Paramètres!$A$1:$I$89,3,0)*0.475*44/12</f>
        <v>0.58142810131010181</v>
      </c>
      <c r="EX162" s="21">
        <f>EXP(-LN(2)/2)*EX161+(1-EXP(-LN(2)/2))/(LN(2)/2)*ER162*EU162*VLOOKUP('Données projet'!$B$15,Paramètres!$A$1:$I$89,3,0)*0.475*44/12</f>
        <v>7.7396111223287432E-19</v>
      </c>
      <c r="EY162" s="22">
        <f t="shared" si="181"/>
        <v>1.1217862147256317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5.6843418860808015E-14</v>
      </c>
      <c r="O163" s="13">
        <f>N163*VLOOKUP('Données projet'!$B$9,Paramètres!$A$1:$I$89,3,0)*VLOOKUP('Données projet'!$B$9,Paramètres!$A$1:$I$89,5,0)</f>
        <v>4.5224624045658861E-14</v>
      </c>
      <c r="P163" s="13">
        <f t="shared" si="141"/>
        <v>7.4514601661523691E-13</v>
      </c>
      <c r="Q163" s="20">
        <f t="shared" si="162"/>
        <v>1.3765621991510601E-12</v>
      </c>
      <c r="R163" s="59">
        <f t="shared" si="109"/>
        <v>293.33333333333468</v>
      </c>
      <c r="S163" s="59">
        <f ca="1">AVERAGE(OFFSET($R$3,0,0,'Données projet'!$E$9+1,1))-AVERAGE(OFFSET($H$3,0,0,'Données projet'!$E$9+1,1))</f>
        <v>199.58763537752952</v>
      </c>
      <c r="T163" s="59">
        <f t="shared" si="142"/>
        <v>242.62852778451929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</v>
      </c>
      <c r="AA163" s="21">
        <f>EXP(-LN(2)/25)*AA162+(1-EXP(-LN(2)/25))/(LN(2)/25)*Calculateur!V163*Calculateur!X163*VLOOKUP('Données projet'!$B$9,Paramètres!$A$1:$I$89,3,0)*0.475*44/12</f>
        <v>0.2797453424314767</v>
      </c>
      <c r="AB163" s="21">
        <f>EXP(-LN(2)/2)*AB162+(1-EXP(-LN(2)/2))/(LN(2)/2)*V163*Y163*VLOOKUP('Données projet'!$B$9,Paramètres!$A$1:$I$89,3,0)*0.475*44/12</f>
        <v>2.9169262473147442E-19</v>
      </c>
      <c r="AC163" s="22">
        <f t="shared" si="163"/>
        <v>0.2797453424314767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566</v>
      </c>
      <c r="AJ163" s="13">
        <f>AI163*VLOOKUP('Données projet'!$B$10,Paramètres!$A$1:$I$89,3,0)*VLOOKUP('Données projet'!$B$10,Paramètres!$A$1:$I$89,5,0)</f>
        <v>338.46800000000002</v>
      </c>
      <c r="AK163" s="13">
        <f t="shared" si="164"/>
        <v>79.183342377469998</v>
      </c>
      <c r="AL163" s="20">
        <f t="shared" si="165"/>
        <v>727.4094213074269</v>
      </c>
      <c r="AM163" s="59">
        <f t="shared" si="113"/>
        <v>1020.7427546407603</v>
      </c>
      <c r="AN163" s="59">
        <f ca="1">AVERAGE(OFFSET($AM$3,0,0,'Données projet'!$E$10+1,1))-AVERAGE(OFFSET($H$3,0,0,'Données projet'!$E$10+1,1))</f>
        <v>287.78657453117694</v>
      </c>
      <c r="AO163" s="59">
        <f t="shared" si="144"/>
        <v>153.31562485362252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0.22302035055120878</v>
      </c>
      <c r="AV163" s="21">
        <f>EXP(-LN(2)/25)*AV162+(1-EXP(-LN(2)/25))/(LN(2)/25)*Calculateur!AQ163*Calculateur!AS163*VLOOKUP('Données projet'!$B$10,Paramètres!$A$1:$I$89,3,0)*0.475*44/12</f>
        <v>0.1586414119878819</v>
      </c>
      <c r="AW163" s="21">
        <f>EXP(-LN(2)/2)*AW162+(1-EXP(-LN(2)/2))/(LN(2)/2)*AQ163*AT163*VLOOKUP('Données projet'!$B$10,Paramètres!$A$1:$I$89,3,0)*0.475*44/12</f>
        <v>3.0097529796944559E-19</v>
      </c>
      <c r="AX163" s="21">
        <f t="shared" si="166"/>
        <v>0.38166176253909068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-6.7984728957526396E-14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250.93905519128998</v>
      </c>
      <c r="BJ163" s="59">
        <f t="shared" si="146"/>
        <v>222.32879462265032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9.760503370603632E-2</v>
      </c>
      <c r="BQ163" s="21">
        <f>EXP(-LN(2)/25)*BQ162+(1-EXP(-LN(2)/25))/(LN(2)/25)*Calculateur!BL163*Calculateur!BN163*VLOOKUP('Données projet'!$B$11,Paramètres!$A$1:$I$89,3,0)*0.475*44/12</f>
        <v>0.31488624730091003</v>
      </c>
      <c r="BR163" s="21">
        <f>EXP(-LN(2)/2)*BR162+(1-EXP(-LN(2)/2))/(LN(2)/2)*BL163*BO163*VLOOKUP('Données projet'!$B$11,Paramètres!$A$1:$I$89,3,0)*0.475*44/12</f>
        <v>5.1157498128257213E-20</v>
      </c>
      <c r="BS163" s="22">
        <f t="shared" si="169"/>
        <v>0.41249128100694632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-2.8421709430404007E-13</v>
      </c>
      <c r="BZ163" s="13">
        <f>BY163*VLOOKUP('Données projet'!$B$12,Paramètres!$A$1:$I$89,3,0)*VLOOKUP('Données projet'!$B$12,Paramètres!$A$1:$I$89,5,0)</f>
        <v>-1.69961822393816E-13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179.32848817523677</v>
      </c>
      <c r="CE163" s="59">
        <f t="shared" si="148"/>
        <v>131.3292389103035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0.3585601485034105</v>
      </c>
      <c r="CM163" s="21">
        <f>EXP(-LN(2)/2)*CM162+(1-EXP(-LN(2)/2))/(LN(2)/2)*CG163*CJ163*VLOOKUP('Données projet'!$B$12,Paramètres!$A$1:$I$89,3,0)*0.475*44/12</f>
        <v>1.4265036030792351E-19</v>
      </c>
      <c r="CN163" s="22">
        <f t="shared" si="172"/>
        <v>0.3585601485034105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-7.3896444519050419E-13</v>
      </c>
      <c r="CU163" s="17">
        <f>CT163*VLOOKUP('Données projet'!$B$13,Paramètres!$A$1:$I$89,3,0)*VLOOKUP('Données projet'!$B$13,Paramètres!$A$1:$I$89,5,0)</f>
        <v>-6.6861503000836817E-13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309.07357540707869</v>
      </c>
      <c r="CZ163" s="59">
        <f t="shared" si="150"/>
        <v>155.9593924683299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227.99999999999986</v>
      </c>
      <c r="DP163" s="17">
        <f>DO163*VLOOKUP('Données projet'!$B$14,Paramètres!$A$1:$I$89,3,0)*VLOOKUP('Données projet'!$B$14,Paramètres!$A$1:$I$89,5,0)</f>
        <v>199.18079999999992</v>
      </c>
      <c r="DQ163" s="13">
        <f t="shared" si="176"/>
        <v>49.564089376413683</v>
      </c>
      <c r="DR163" s="20">
        <f t="shared" si="177"/>
        <v>433.23068233058694</v>
      </c>
      <c r="DS163" s="59">
        <f t="shared" si="125"/>
        <v>726.56401566392026</v>
      </c>
      <c r="DT163" s="59">
        <f ca="1">AVERAGE(OFFSET($DS$3,0,0,'Données projet'!$E$14+1,1))-AVERAGE(OFFSET($H$3,0,0,'Données projet'!$E$14+1,1))</f>
        <v>210.07838338464626</v>
      </c>
      <c r="DU163" s="59">
        <f t="shared" si="152"/>
        <v>241.76003724236273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0.40381486964617036</v>
      </c>
      <c r="EB163" s="21">
        <f>EXP(-LN(2)/25)*EB162+(1-EXP(-LN(2)/25))/(LN(2)/25)*Calculateur!DW163*Calculateur!DY163*VLOOKUP('Données projet'!$B$14,Paramètres!$A$1:$I$89,3,0)*0.475*44/12</f>
        <v>0.36889326922115617</v>
      </c>
      <c r="EC163" s="21">
        <f>EXP(-LN(2)/2)*EC162+(1-EXP(-LN(2)/2))/(LN(2)/2)*DW163*DZ163*VLOOKUP('Données projet'!$B$14,Paramètres!$A$1:$I$89,3,0)*0.475*44/12</f>
        <v>4.3290632772457667E-19</v>
      </c>
      <c r="ED163" s="22">
        <f t="shared" si="178"/>
        <v>0.77270813886732648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6.2527760746888816E-13</v>
      </c>
      <c r="EK163" s="17">
        <f>EJ163*VLOOKUP('Données projet'!$B$15,Paramètres!$A$1:$I$89,3,0)*VLOOKUP('Données projet'!$B$15,Paramètres!$A$1:$I$89,5,0)</f>
        <v>3.9017322706058616E-13</v>
      </c>
      <c r="EL163" s="13">
        <f t="shared" si="179"/>
        <v>5.0025007393608908E-12</v>
      </c>
      <c r="EM163" s="20">
        <f t="shared" si="180"/>
        <v>9.3922404915174053E-12</v>
      </c>
      <c r="EN163" s="59">
        <f t="shared" si="128"/>
        <v>293.33333333334269</v>
      </c>
      <c r="EO163" s="59">
        <f ca="1">AVERAGE(OFFSET($EN$3,0,0,'Données projet'!$E$15+1,1))-AVERAGE(OFFSET($H$3,0,0,'Données projet'!$E$15+1,1))</f>
        <v>209.93608079129638</v>
      </c>
      <c r="EP163" s="59">
        <f t="shared" si="154"/>
        <v>240.15652428700969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0.52976202039735676</v>
      </c>
      <c r="EW163" s="21">
        <f>EXP(-LN(2)/25)*EW162+(1-EXP(-LN(2)/25))/(LN(2)/25)*Calculateur!ER163*Calculateur!ET163*VLOOKUP('Données projet'!$B$15,Paramètres!$A$1:$I$89,3,0)*0.475*44/12</f>
        <v>0.56552891930380211</v>
      </c>
      <c r="EX163" s="21">
        <f>EXP(-LN(2)/2)*EX162+(1-EXP(-LN(2)/2))/(LN(2)/2)*ER163*EU163*VLOOKUP('Données projet'!$B$15,Paramètres!$A$1:$I$89,3,0)*0.475*44/12</f>
        <v>5.4727315083454801E-19</v>
      </c>
      <c r="EY163" s="22">
        <f t="shared" si="181"/>
        <v>1.095290939701159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5.6843418860808015E-14</v>
      </c>
      <c r="O164" s="13">
        <f>N164*VLOOKUP('Données projet'!$B$9,Paramètres!$A$1:$I$89,3,0)*VLOOKUP('Données projet'!$B$9,Paramètres!$A$1:$I$89,5,0)</f>
        <v>4.5224624045658861E-14</v>
      </c>
      <c r="P164" s="13">
        <f t="shared" si="141"/>
        <v>7.4514601661523691E-13</v>
      </c>
      <c r="Q164" s="20">
        <f t="shared" si="162"/>
        <v>1.3765621991510601E-12</v>
      </c>
      <c r="R164" s="59">
        <f t="shared" si="109"/>
        <v>293.33333333333468</v>
      </c>
      <c r="S164" s="59">
        <f ca="1">AVERAGE(OFFSET($R$3,0,0,'Données projet'!$E$9+1,1))-AVERAGE(OFFSET($H$3,0,0,'Données projet'!$E$9+1,1))</f>
        <v>199.58763537752952</v>
      </c>
      <c r="T164" s="59">
        <f t="shared" si="142"/>
        <v>242.62852778451929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</v>
      </c>
      <c r="AA164" s="21">
        <f>EXP(-LN(2)/25)*AA163+(1-EXP(-LN(2)/25))/(LN(2)/25)*Calculateur!V164*Calculateur!X164*VLOOKUP('Données projet'!$B$9,Paramètres!$A$1:$I$89,3,0)*0.475*44/12</f>
        <v>0.27209569133151978</v>
      </c>
      <c r="AB164" s="21">
        <f>EXP(-LN(2)/2)*AB163+(1-EXP(-LN(2)/2))/(LN(2)/2)*V164*Y164*VLOOKUP('Données projet'!$B$9,Paramètres!$A$1:$I$89,3,0)*0.475*44/12</f>
        <v>2.0625783296972841E-19</v>
      </c>
      <c r="AC164" s="22">
        <f t="shared" si="163"/>
        <v>0.27209569133151978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566</v>
      </c>
      <c r="AJ164" s="13">
        <f>AI164*VLOOKUP('Données projet'!$B$10,Paramètres!$A$1:$I$89,3,0)*VLOOKUP('Données projet'!$B$10,Paramètres!$A$1:$I$89,5,0)</f>
        <v>338.46800000000002</v>
      </c>
      <c r="AK164" s="13">
        <f t="shared" si="164"/>
        <v>79.183342377469998</v>
      </c>
      <c r="AL164" s="20">
        <f t="shared" si="165"/>
        <v>727.4094213074269</v>
      </c>
      <c r="AM164" s="59">
        <f t="shared" si="113"/>
        <v>1020.7427546407603</v>
      </c>
      <c r="AN164" s="59">
        <f ca="1">AVERAGE(OFFSET($AM$3,0,0,'Données projet'!$E$10+1,1))-AVERAGE(OFFSET($H$3,0,0,'Données projet'!$E$10+1,1))</f>
        <v>287.78657453117694</v>
      </c>
      <c r="AO164" s="59">
        <f t="shared" si="144"/>
        <v>153.31562485362252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0.21864705750588168</v>
      </c>
      <c r="AV164" s="21">
        <f>EXP(-LN(2)/25)*AV163+(1-EXP(-LN(2)/25))/(LN(2)/25)*Calculateur!AQ164*Calculateur!AS164*VLOOKUP('Données projet'!$B$10,Paramètres!$A$1:$I$89,3,0)*0.475*44/12</f>
        <v>0.15430335423448399</v>
      </c>
      <c r="AW164" s="21">
        <f>EXP(-LN(2)/2)*AW163+(1-EXP(-LN(2)/2))/(LN(2)/2)*AQ164*AT164*VLOOKUP('Données projet'!$B$10,Paramètres!$A$1:$I$89,3,0)*0.475*44/12</f>
        <v>2.1282167416383673E-19</v>
      </c>
      <c r="AX164" s="21">
        <f t="shared" si="166"/>
        <v>0.37295041174036569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-6.7984728957526396E-14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250.93905519128998</v>
      </c>
      <c r="BJ164" s="59">
        <f t="shared" si="146"/>
        <v>222.32879462265032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9.569105852825309E-2</v>
      </c>
      <c r="BQ164" s="21">
        <f>EXP(-LN(2)/25)*BQ163+(1-EXP(-LN(2)/25))/(LN(2)/25)*Calculateur!BL164*Calculateur!BN164*VLOOKUP('Données projet'!$B$11,Paramètres!$A$1:$I$89,3,0)*0.475*44/12</f>
        <v>0.30627566630931857</v>
      </c>
      <c r="BR164" s="21">
        <f>EXP(-LN(2)/2)*BR163+(1-EXP(-LN(2)/2))/(LN(2)/2)*BL164*BO164*VLOOKUP('Données projet'!$B$11,Paramètres!$A$1:$I$89,3,0)*0.475*44/12</f>
        <v>3.6173813835028787E-20</v>
      </c>
      <c r="BS164" s="22">
        <f t="shared" si="169"/>
        <v>0.40196672483757168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-2.8421709430404007E-13</v>
      </c>
      <c r="BZ164" s="13">
        <f>BY164*VLOOKUP('Données projet'!$B$12,Paramètres!$A$1:$I$89,3,0)*VLOOKUP('Données projet'!$B$12,Paramètres!$A$1:$I$89,5,0)</f>
        <v>-1.69961822393816E-13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179.32848817523677</v>
      </c>
      <c r="CE164" s="59">
        <f t="shared" si="148"/>
        <v>131.3292389103035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0.34875530238672603</v>
      </c>
      <c r="CM164" s="21">
        <f>EXP(-LN(2)/2)*CM163+(1-EXP(-LN(2)/2))/(LN(2)/2)*CG164*CJ164*VLOOKUP('Données projet'!$B$12,Paramètres!$A$1:$I$89,3,0)*0.475*44/12</f>
        <v>1.0086903711243703E-19</v>
      </c>
      <c r="CN164" s="22">
        <f t="shared" si="172"/>
        <v>0.34875530238672603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-7.3896444519050419E-13</v>
      </c>
      <c r="CU164" s="17">
        <f>CT164*VLOOKUP('Données projet'!$B$13,Paramètres!$A$1:$I$89,3,0)*VLOOKUP('Données projet'!$B$13,Paramètres!$A$1:$I$89,5,0)</f>
        <v>-6.6861503000836817E-13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309.07357540707869</v>
      </c>
      <c r="CZ164" s="59">
        <f t="shared" si="150"/>
        <v>155.9593924683299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227.99999999999986</v>
      </c>
      <c r="DP164" s="17">
        <f>DO164*VLOOKUP('Données projet'!$B$14,Paramètres!$A$1:$I$89,3,0)*VLOOKUP('Données projet'!$B$14,Paramètres!$A$1:$I$89,5,0)</f>
        <v>199.18079999999992</v>
      </c>
      <c r="DQ164" s="13">
        <f t="shared" si="176"/>
        <v>49.564089376413683</v>
      </c>
      <c r="DR164" s="20">
        <f t="shared" si="177"/>
        <v>433.23068233058694</v>
      </c>
      <c r="DS164" s="59">
        <f t="shared" si="125"/>
        <v>726.56401566392026</v>
      </c>
      <c r="DT164" s="59">
        <f ca="1">AVERAGE(OFFSET($DS$3,0,0,'Données projet'!$E$14+1,1))-AVERAGE(OFFSET($H$3,0,0,'Données projet'!$E$14+1,1))</f>
        <v>210.07838338464626</v>
      </c>
      <c r="DU164" s="59">
        <f t="shared" si="152"/>
        <v>241.76003724236273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0.39589630635515904</v>
      </c>
      <c r="EB164" s="21">
        <f>EXP(-LN(2)/25)*EB163+(1-EXP(-LN(2)/25))/(LN(2)/25)*Calculateur!DW164*Calculateur!DY164*VLOOKUP('Données projet'!$B$14,Paramètres!$A$1:$I$89,3,0)*0.475*44/12</f>
        <v>0.35880586337504977</v>
      </c>
      <c r="EC164" s="21">
        <f>EXP(-LN(2)/2)*EC163+(1-EXP(-LN(2)/2))/(LN(2)/2)*DW164*DZ164*VLOOKUP('Données projet'!$B$14,Paramètres!$A$1:$I$89,3,0)*0.475*44/12</f>
        <v>3.0611099995261411E-19</v>
      </c>
      <c r="ED164" s="22">
        <f t="shared" si="178"/>
        <v>0.75470216973020876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6.2527760746888816E-13</v>
      </c>
      <c r="EK164" s="17">
        <f>EJ164*VLOOKUP('Données projet'!$B$15,Paramètres!$A$1:$I$89,3,0)*VLOOKUP('Données projet'!$B$15,Paramètres!$A$1:$I$89,5,0)</f>
        <v>3.9017322706058616E-13</v>
      </c>
      <c r="EL164" s="13">
        <f t="shared" si="179"/>
        <v>5.0025007393608908E-12</v>
      </c>
      <c r="EM164" s="20">
        <f t="shared" si="180"/>
        <v>9.3922404915174053E-12</v>
      </c>
      <c r="EN164" s="59">
        <f t="shared" si="128"/>
        <v>293.33333333334269</v>
      </c>
      <c r="EO164" s="59">
        <f ca="1">AVERAGE(OFFSET($EN$3,0,0,'Données projet'!$E$15+1,1))-AVERAGE(OFFSET($H$3,0,0,'Données projet'!$E$15+1,1))</f>
        <v>209.93608079129638</v>
      </c>
      <c r="EP164" s="59">
        <f t="shared" si="154"/>
        <v>240.15652428700969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0.51937371030029134</v>
      </c>
      <c r="EW164" s="21">
        <f>EXP(-LN(2)/25)*EW163+(1-EXP(-LN(2)/25))/(LN(2)/25)*Calculateur!ER164*Calculateur!ET164*VLOOKUP('Données projet'!$B$15,Paramètres!$A$1:$I$89,3,0)*0.475*44/12</f>
        <v>0.55006450126556627</v>
      </c>
      <c r="EX164" s="21">
        <f>EXP(-LN(2)/2)*EX163+(1-EXP(-LN(2)/2))/(LN(2)/2)*ER164*EU164*VLOOKUP('Données projet'!$B$15,Paramètres!$A$1:$I$89,3,0)*0.475*44/12</f>
        <v>3.8698055611643716E-19</v>
      </c>
      <c r="EY164" s="22">
        <f t="shared" si="181"/>
        <v>1.0694382115658576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5.6843418860808015E-14</v>
      </c>
      <c r="O165" s="13">
        <f>N165*VLOOKUP('Données projet'!$B$9,Paramètres!$A$1:$I$89,3,0)*VLOOKUP('Données projet'!$B$9,Paramètres!$A$1:$I$89,5,0)</f>
        <v>4.5224624045658861E-14</v>
      </c>
      <c r="P165" s="13">
        <f t="shared" si="141"/>
        <v>7.4514601661523691E-13</v>
      </c>
      <c r="Q165" s="20">
        <f t="shared" si="162"/>
        <v>1.3765621991510601E-12</v>
      </c>
      <c r="R165" s="59">
        <f t="shared" si="109"/>
        <v>293.33333333333468</v>
      </c>
      <c r="S165" s="59">
        <f ca="1">AVERAGE(OFFSET($R$3,0,0,'Données projet'!$E$9+1,1))-AVERAGE(OFFSET($H$3,0,0,'Données projet'!$E$9+1,1))</f>
        <v>199.58763537752952</v>
      </c>
      <c r="T165" s="59">
        <f t="shared" si="142"/>
        <v>242.62852778451929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</v>
      </c>
      <c r="AA165" s="21">
        <f>EXP(-LN(2)/25)*AA164+(1-EXP(-LN(2)/25))/(LN(2)/25)*Calculateur!V165*Calculateur!X165*VLOOKUP('Données projet'!$B$9,Paramètres!$A$1:$I$89,3,0)*0.475*44/12</f>
        <v>0.26465522034316885</v>
      </c>
      <c r="AB165" s="21">
        <f>EXP(-LN(2)/2)*AB164+(1-EXP(-LN(2)/2))/(LN(2)/2)*V165*Y165*VLOOKUP('Données projet'!$B$9,Paramètres!$A$1:$I$89,3,0)*0.475*44/12</f>
        <v>1.4584631236573721E-19</v>
      </c>
      <c r="AC165" s="22">
        <f t="shared" si="163"/>
        <v>0.26465522034316885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566</v>
      </c>
      <c r="AJ165" s="13">
        <f>AI165*VLOOKUP('Données projet'!$B$10,Paramètres!$A$1:$I$89,3,0)*VLOOKUP('Données projet'!$B$10,Paramètres!$A$1:$I$89,5,0)</f>
        <v>338.46800000000002</v>
      </c>
      <c r="AK165" s="13">
        <f t="shared" si="164"/>
        <v>79.183342377469998</v>
      </c>
      <c r="AL165" s="20">
        <f t="shared" si="165"/>
        <v>727.4094213074269</v>
      </c>
      <c r="AM165" s="59">
        <f t="shared" si="113"/>
        <v>1020.7427546407603</v>
      </c>
      <c r="AN165" s="59">
        <f ca="1">AVERAGE(OFFSET($AM$3,0,0,'Données projet'!$E$10+1,1))-AVERAGE(OFFSET($H$3,0,0,'Données projet'!$E$10+1,1))</f>
        <v>287.78657453117694</v>
      </c>
      <c r="AO165" s="59">
        <f t="shared" si="144"/>
        <v>153.31562485362252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0.21435952206972805</v>
      </c>
      <c r="AV165" s="21">
        <f>EXP(-LN(2)/25)*AV164+(1-EXP(-LN(2)/25))/(LN(2)/25)*Calculateur!AQ165*Calculateur!AS165*VLOOKUP('Données projet'!$B$10,Paramètres!$A$1:$I$89,3,0)*0.475*44/12</f>
        <v>0.1500839208984813</v>
      </c>
      <c r="AW165" s="21">
        <f>EXP(-LN(2)/2)*AW164+(1-EXP(-LN(2)/2))/(LN(2)/2)*AQ165*AT165*VLOOKUP('Données projet'!$B$10,Paramètres!$A$1:$I$89,3,0)*0.475*44/12</f>
        <v>1.5048764898472282E-19</v>
      </c>
      <c r="AX165" s="21">
        <f t="shared" si="166"/>
        <v>0.36444344296820935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-6.7984728957526396E-14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250.93905519128998</v>
      </c>
      <c r="BJ165" s="59">
        <f t="shared" si="146"/>
        <v>222.32879462265032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9.3814615236296611E-2</v>
      </c>
      <c r="BQ165" s="21">
        <f>EXP(-LN(2)/25)*BQ164+(1-EXP(-LN(2)/25))/(LN(2)/25)*Calculateur!BL165*Calculateur!BN165*VLOOKUP('Données projet'!$B$11,Paramètres!$A$1:$I$89,3,0)*0.475*44/12</f>
        <v>0.29790054210775296</v>
      </c>
      <c r="BR165" s="21">
        <f>EXP(-LN(2)/2)*BR164+(1-EXP(-LN(2)/2))/(LN(2)/2)*BL165*BO165*VLOOKUP('Données projet'!$B$11,Paramètres!$A$1:$I$89,3,0)*0.475*44/12</f>
        <v>2.5578749064128606E-20</v>
      </c>
      <c r="BS165" s="22">
        <f t="shared" si="169"/>
        <v>0.3917151573440496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-2.8421709430404007E-13</v>
      </c>
      <c r="BZ165" s="13">
        <f>BY165*VLOOKUP('Données projet'!$B$12,Paramètres!$A$1:$I$89,3,0)*VLOOKUP('Données projet'!$B$12,Paramètres!$A$1:$I$89,5,0)</f>
        <v>-1.69961822393816E-13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179.32848817523677</v>
      </c>
      <c r="CE165" s="59">
        <f t="shared" si="148"/>
        <v>131.3292389103035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0.33921857030271674</v>
      </c>
      <c r="CM165" s="21">
        <f>EXP(-LN(2)/2)*CM164+(1-EXP(-LN(2)/2))/(LN(2)/2)*CG165*CJ165*VLOOKUP('Données projet'!$B$12,Paramètres!$A$1:$I$89,3,0)*0.475*44/12</f>
        <v>7.1325180153961754E-20</v>
      </c>
      <c r="CN165" s="22">
        <f t="shared" si="172"/>
        <v>0.33921857030271674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-7.3896444519050419E-13</v>
      </c>
      <c r="CU165" s="17">
        <f>CT165*VLOOKUP('Données projet'!$B$13,Paramètres!$A$1:$I$89,3,0)*VLOOKUP('Données projet'!$B$13,Paramètres!$A$1:$I$89,5,0)</f>
        <v>-6.6861503000836817E-13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309.07357540707869</v>
      </c>
      <c r="CZ165" s="59">
        <f t="shared" si="150"/>
        <v>155.9593924683299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227.99999999999986</v>
      </c>
      <c r="DP165" s="17">
        <f>DO165*VLOOKUP('Données projet'!$B$14,Paramètres!$A$1:$I$89,3,0)*VLOOKUP('Données projet'!$B$14,Paramètres!$A$1:$I$89,5,0)</f>
        <v>199.18079999999992</v>
      </c>
      <c r="DQ165" s="13">
        <f t="shared" si="176"/>
        <v>49.564089376413683</v>
      </c>
      <c r="DR165" s="20">
        <f t="shared" si="177"/>
        <v>433.23068233058694</v>
      </c>
      <c r="DS165" s="59">
        <f t="shared" si="125"/>
        <v>726.56401566392026</v>
      </c>
      <c r="DT165" s="59">
        <f ca="1">AVERAGE(OFFSET($DS$3,0,0,'Données projet'!$E$14+1,1))-AVERAGE(OFFSET($H$3,0,0,'Données projet'!$E$14+1,1))</f>
        <v>210.07838338464626</v>
      </c>
      <c r="DU165" s="59">
        <f t="shared" si="152"/>
        <v>241.76003724236273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0.3881330212604378</v>
      </c>
      <c r="EB165" s="21">
        <f>EXP(-LN(2)/25)*EB164+(1-EXP(-LN(2)/25))/(LN(2)/25)*Calculateur!DW165*Calculateur!DY165*VLOOKUP('Données projet'!$B$14,Paramètres!$A$1:$I$89,3,0)*0.475*44/12</f>
        <v>0.34899429817227873</v>
      </c>
      <c r="EC165" s="21">
        <f>EXP(-LN(2)/2)*EC164+(1-EXP(-LN(2)/2))/(LN(2)/2)*DW165*DZ165*VLOOKUP('Données projet'!$B$14,Paramètres!$A$1:$I$89,3,0)*0.475*44/12</f>
        <v>2.1645316386228838E-19</v>
      </c>
      <c r="ED165" s="22">
        <f t="shared" si="178"/>
        <v>0.73712731943271659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6.2527760746888816E-13</v>
      </c>
      <c r="EK165" s="17">
        <f>EJ165*VLOOKUP('Données projet'!$B$15,Paramètres!$A$1:$I$89,3,0)*VLOOKUP('Données projet'!$B$15,Paramètres!$A$1:$I$89,5,0)</f>
        <v>3.9017322706058616E-13</v>
      </c>
      <c r="EL165" s="13">
        <f t="shared" si="179"/>
        <v>5.0025007393608908E-12</v>
      </c>
      <c r="EM165" s="20">
        <f t="shared" si="180"/>
        <v>9.3922404915174053E-12</v>
      </c>
      <c r="EN165" s="59">
        <f t="shared" si="128"/>
        <v>293.33333333334269</v>
      </c>
      <c r="EO165" s="59">
        <f ca="1">AVERAGE(OFFSET($EN$3,0,0,'Données projet'!$E$15+1,1))-AVERAGE(OFFSET($H$3,0,0,'Données projet'!$E$15+1,1))</f>
        <v>209.93608079129638</v>
      </c>
      <c r="EP165" s="59">
        <f t="shared" si="154"/>
        <v>240.15652428700969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0.50918910862798583</v>
      </c>
      <c r="EW165" s="21">
        <f>EXP(-LN(2)/25)*EW164+(1-EXP(-LN(2)/25))/(LN(2)/25)*Calculateur!ER165*Calculateur!ET165*VLOOKUP('Données projet'!$B$15,Paramètres!$A$1:$I$89,3,0)*0.475*44/12</f>
        <v>0.53502295855182447</v>
      </c>
      <c r="EX165" s="21">
        <f>EXP(-LN(2)/2)*EX164+(1-EXP(-LN(2)/2))/(LN(2)/2)*ER165*EU165*VLOOKUP('Données projet'!$B$15,Paramètres!$A$1:$I$89,3,0)*0.475*44/12</f>
        <v>2.73636575417274E-19</v>
      </c>
      <c r="EY165" s="22">
        <f t="shared" si="181"/>
        <v>1.0442120671798103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5.6843418860808015E-14</v>
      </c>
      <c r="O166" s="13">
        <f>N166*VLOOKUP('Données projet'!$B$9,Paramètres!$A$1:$I$89,3,0)*VLOOKUP('Données projet'!$B$9,Paramètres!$A$1:$I$89,5,0)</f>
        <v>4.5224624045658861E-14</v>
      </c>
      <c r="P166" s="13">
        <f t="shared" si="141"/>
        <v>7.4514601661523691E-13</v>
      </c>
      <c r="Q166" s="20">
        <f t="shared" si="162"/>
        <v>1.3765621991510601E-12</v>
      </c>
      <c r="R166" s="59">
        <f t="shared" si="109"/>
        <v>293.33333333333468</v>
      </c>
      <c r="S166" s="59">
        <f ca="1">AVERAGE(OFFSET($R$3,0,0,'Données projet'!$E$9+1,1))-AVERAGE(OFFSET($H$3,0,0,'Données projet'!$E$9+1,1))</f>
        <v>199.58763537752952</v>
      </c>
      <c r="T166" s="59">
        <f t="shared" si="142"/>
        <v>242.62852778451929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</v>
      </c>
      <c r="AA166" s="21">
        <f>EXP(-LN(2)/25)*AA165+(1-EXP(-LN(2)/25))/(LN(2)/25)*Calculateur!V166*Calculateur!X166*VLOOKUP('Données projet'!$B$9,Paramètres!$A$1:$I$89,3,0)*0.475*44/12</f>
        <v>0.25741820942527172</v>
      </c>
      <c r="AB166" s="21">
        <f>EXP(-LN(2)/2)*AB165+(1-EXP(-LN(2)/2))/(LN(2)/2)*V166*Y166*VLOOKUP('Données projet'!$B$9,Paramètres!$A$1:$I$89,3,0)*0.475*44/12</f>
        <v>1.031289164848642E-19</v>
      </c>
      <c r="AC166" s="22">
        <f t="shared" si="163"/>
        <v>0.25741820942527172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566</v>
      </c>
      <c r="AJ166" s="13">
        <f>AI166*VLOOKUP('Données projet'!$B$10,Paramètres!$A$1:$I$89,3,0)*VLOOKUP('Données projet'!$B$10,Paramètres!$A$1:$I$89,5,0)</f>
        <v>338.46800000000002</v>
      </c>
      <c r="AK166" s="13">
        <f t="shared" si="164"/>
        <v>79.183342377469998</v>
      </c>
      <c r="AL166" s="20">
        <f t="shared" si="165"/>
        <v>727.4094213074269</v>
      </c>
      <c r="AM166" s="59">
        <f t="shared" si="113"/>
        <v>1020.7427546407603</v>
      </c>
      <c r="AN166" s="59">
        <f ca="1">AVERAGE(OFFSET($AM$3,0,0,'Données projet'!$E$10+1,1))-AVERAGE(OFFSET($H$3,0,0,'Données projet'!$E$10+1,1))</f>
        <v>287.78657453117694</v>
      </c>
      <c r="AO166" s="59">
        <f t="shared" si="144"/>
        <v>153.31562485362252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0.21015606258833902</v>
      </c>
      <c r="AV166" s="21">
        <f>EXP(-LN(2)/25)*AV165+(1-EXP(-LN(2)/25))/(LN(2)/25)*Calculateur!AQ166*Calculateur!AS166*VLOOKUP('Données projet'!$B$10,Paramètres!$A$1:$I$89,3,0)*0.475*44/12</f>
        <v>0.14597986818894196</v>
      </c>
      <c r="AW166" s="21">
        <f>EXP(-LN(2)/2)*AW165+(1-EXP(-LN(2)/2))/(LN(2)/2)*AQ166*AT166*VLOOKUP('Données projet'!$B$10,Paramètres!$A$1:$I$89,3,0)*0.475*44/12</f>
        <v>1.0641083708191838E-19</v>
      </c>
      <c r="AX166" s="21">
        <f t="shared" si="166"/>
        <v>0.35613593077728101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-6.7984728957526396E-14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250.93905519128998</v>
      </c>
      <c r="BJ166" s="59">
        <f t="shared" si="146"/>
        <v>222.32879462265032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9.1974967852777992E-2</v>
      </c>
      <c r="BQ166" s="21">
        <f>EXP(-LN(2)/25)*BQ165+(1-EXP(-LN(2)/25))/(LN(2)/25)*Calculateur!BL166*Calculateur!BN166*VLOOKUP('Données projet'!$B$11,Paramètres!$A$1:$I$89,3,0)*0.475*44/12</f>
        <v>0.2897544361179078</v>
      </c>
      <c r="BR166" s="21">
        <f>EXP(-LN(2)/2)*BR165+(1-EXP(-LN(2)/2))/(LN(2)/2)*BL166*BO166*VLOOKUP('Données projet'!$B$11,Paramètres!$A$1:$I$89,3,0)*0.475*44/12</f>
        <v>1.8086906917514394E-20</v>
      </c>
      <c r="BS166" s="22">
        <f t="shared" si="169"/>
        <v>0.38172940397068578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-2.8421709430404007E-13</v>
      </c>
      <c r="BZ166" s="13">
        <f>BY166*VLOOKUP('Données projet'!$B$12,Paramètres!$A$1:$I$89,3,0)*VLOOKUP('Données projet'!$B$12,Paramètres!$A$1:$I$89,5,0)</f>
        <v>-1.69961822393816E-13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179.32848817523677</v>
      </c>
      <c r="CE166" s="59">
        <f t="shared" si="148"/>
        <v>131.3292389103035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0.3299426206590596</v>
      </c>
      <c r="CM166" s="21">
        <f>EXP(-LN(2)/2)*CM165+(1-EXP(-LN(2)/2))/(LN(2)/2)*CG166*CJ166*VLOOKUP('Données projet'!$B$12,Paramètres!$A$1:$I$89,3,0)*0.475*44/12</f>
        <v>5.0434518556218517E-20</v>
      </c>
      <c r="CN166" s="22">
        <f t="shared" si="172"/>
        <v>0.3299426206590596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-7.3896444519050419E-13</v>
      </c>
      <c r="CU166" s="17">
        <f>CT166*VLOOKUP('Données projet'!$B$13,Paramètres!$A$1:$I$89,3,0)*VLOOKUP('Données projet'!$B$13,Paramètres!$A$1:$I$89,5,0)</f>
        <v>-6.6861503000836817E-13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309.07357540707869</v>
      </c>
      <c r="CZ166" s="59">
        <f t="shared" si="150"/>
        <v>155.9593924683299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227.99999999999986</v>
      </c>
      <c r="DP166" s="17">
        <f>DO166*VLOOKUP('Données projet'!$B$14,Paramètres!$A$1:$I$89,3,0)*VLOOKUP('Données projet'!$B$14,Paramètres!$A$1:$I$89,5,0)</f>
        <v>199.18079999999992</v>
      </c>
      <c r="DQ166" s="13">
        <f t="shared" si="176"/>
        <v>49.564089376413683</v>
      </c>
      <c r="DR166" s="20">
        <f t="shared" si="177"/>
        <v>433.23068233058694</v>
      </c>
      <c r="DS166" s="59">
        <f t="shared" si="125"/>
        <v>726.56401566392026</v>
      </c>
      <c r="DT166" s="59">
        <f ca="1">AVERAGE(OFFSET($DS$3,0,0,'Données projet'!$E$14+1,1))-AVERAGE(OFFSET($H$3,0,0,'Données projet'!$E$14+1,1))</f>
        <v>210.07838338464626</v>
      </c>
      <c r="DU166" s="59">
        <f t="shared" si="152"/>
        <v>241.76003724236273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0.38052196945128769</v>
      </c>
      <c r="EB166" s="21">
        <f>EXP(-LN(2)/25)*EB165+(1-EXP(-LN(2)/25))/(LN(2)/25)*Calculateur!DW166*Calculateur!DY166*VLOOKUP('Données projet'!$B$14,Paramètres!$A$1:$I$89,3,0)*0.475*44/12</f>
        <v>0.33945103073594524</v>
      </c>
      <c r="EC166" s="21">
        <f>EXP(-LN(2)/2)*EC165+(1-EXP(-LN(2)/2))/(LN(2)/2)*DW166*DZ166*VLOOKUP('Données projet'!$B$14,Paramètres!$A$1:$I$89,3,0)*0.475*44/12</f>
        <v>1.5305549997630708E-19</v>
      </c>
      <c r="ED166" s="22">
        <f t="shared" si="178"/>
        <v>0.71997300018723287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6.2527760746888816E-13</v>
      </c>
      <c r="EK166" s="17">
        <f>EJ166*VLOOKUP('Données projet'!$B$15,Paramètres!$A$1:$I$89,3,0)*VLOOKUP('Données projet'!$B$15,Paramètres!$A$1:$I$89,5,0)</f>
        <v>3.9017322706058616E-13</v>
      </c>
      <c r="EL166" s="13">
        <f t="shared" si="179"/>
        <v>5.0025007393608908E-12</v>
      </c>
      <c r="EM166" s="20">
        <f t="shared" si="180"/>
        <v>9.3922404915174053E-12</v>
      </c>
      <c r="EN166" s="59">
        <f t="shared" si="128"/>
        <v>293.33333333334269</v>
      </c>
      <c r="EO166" s="59">
        <f ca="1">AVERAGE(OFFSET($EN$3,0,0,'Données projet'!$E$15+1,1))-AVERAGE(OFFSET($H$3,0,0,'Données projet'!$E$15+1,1))</f>
        <v>209.93608079129638</v>
      </c>
      <c r="EP166" s="59">
        <f t="shared" si="154"/>
        <v>240.15652428700969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0.49920422078248061</v>
      </c>
      <c r="EW166" s="21">
        <f>EXP(-LN(2)/25)*EW165+(1-EXP(-LN(2)/25))/(LN(2)/25)*Calculateur!ER166*Calculateur!ET166*VLOOKUP('Données projet'!$B$15,Paramètres!$A$1:$I$89,3,0)*0.475*44/12</f>
        <v>0.52039272761459021</v>
      </c>
      <c r="EX166" s="21">
        <f>EXP(-LN(2)/2)*EX165+(1-EXP(-LN(2)/2))/(LN(2)/2)*ER166*EU166*VLOOKUP('Données projet'!$B$15,Paramètres!$A$1:$I$89,3,0)*0.475*44/12</f>
        <v>1.9349027805821858E-19</v>
      </c>
      <c r="EY166" s="22">
        <f t="shared" si="181"/>
        <v>1.0195969483970708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5.6843418860808015E-14</v>
      </c>
      <c r="O167" s="13">
        <f>N167*VLOOKUP('Données projet'!$B$9,Paramètres!$A$1:$I$89,3,0)*VLOOKUP('Données projet'!$B$9,Paramètres!$A$1:$I$89,5,0)</f>
        <v>4.5224624045658861E-14</v>
      </c>
      <c r="P167" s="13">
        <f t="shared" si="141"/>
        <v>7.4514601661523691E-13</v>
      </c>
      <c r="Q167" s="20">
        <f t="shared" si="162"/>
        <v>1.3765621991510601E-12</v>
      </c>
      <c r="R167" s="59">
        <f t="shared" si="109"/>
        <v>293.33333333333468</v>
      </c>
      <c r="S167" s="59">
        <f ca="1">AVERAGE(OFFSET($R$3,0,0,'Données projet'!$E$9+1,1))-AVERAGE(OFFSET($H$3,0,0,'Données projet'!$E$9+1,1))</f>
        <v>199.58763537752952</v>
      </c>
      <c r="T167" s="59">
        <f t="shared" si="142"/>
        <v>242.62852778451929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</v>
      </c>
      <c r="AA167" s="21">
        <f>EXP(-LN(2)/25)*AA166+(1-EXP(-LN(2)/25))/(LN(2)/25)*Calculateur!V167*Calculateur!X167*VLOOKUP('Données projet'!$B$9,Paramètres!$A$1:$I$89,3,0)*0.475*44/12</f>
        <v>0.25037909495150235</v>
      </c>
      <c r="AB167" s="21">
        <f>EXP(-LN(2)/2)*AB166+(1-EXP(-LN(2)/2))/(LN(2)/2)*V167*Y167*VLOOKUP('Données projet'!$B$9,Paramètres!$A$1:$I$89,3,0)*0.475*44/12</f>
        <v>7.2923156182868605E-20</v>
      </c>
      <c r="AC167" s="22">
        <f t="shared" si="163"/>
        <v>0.25037909495150235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566</v>
      </c>
      <c r="AJ167" s="13">
        <f>AI167*VLOOKUP('Données projet'!$B$10,Paramètres!$A$1:$I$89,3,0)*VLOOKUP('Données projet'!$B$10,Paramètres!$A$1:$I$89,5,0)</f>
        <v>338.46800000000002</v>
      </c>
      <c r="AK167" s="13">
        <f t="shared" si="164"/>
        <v>79.183342377469998</v>
      </c>
      <c r="AL167" s="20">
        <f t="shared" si="165"/>
        <v>727.4094213074269</v>
      </c>
      <c r="AM167" s="59">
        <f t="shared" si="113"/>
        <v>1020.7427546407603</v>
      </c>
      <c r="AN167" s="59">
        <f ca="1">AVERAGE(OFFSET($AM$3,0,0,'Données projet'!$E$10+1,1))-AVERAGE(OFFSET($H$3,0,0,'Données projet'!$E$10+1,1))</f>
        <v>287.78657453117694</v>
      </c>
      <c r="AO167" s="59">
        <f t="shared" si="144"/>
        <v>153.31562485362252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0.20603503038352289</v>
      </c>
      <c r="AV167" s="21">
        <f>EXP(-LN(2)/25)*AV166+(1-EXP(-LN(2)/25))/(LN(2)/25)*Calculateur!AQ167*Calculateur!AS167*VLOOKUP('Données projet'!$B$10,Paramètres!$A$1:$I$89,3,0)*0.475*44/12</f>
        <v>0.1419880410165677</v>
      </c>
      <c r="AW167" s="21">
        <f>EXP(-LN(2)/2)*AW166+(1-EXP(-LN(2)/2))/(LN(2)/2)*AQ167*AT167*VLOOKUP('Données projet'!$B$10,Paramètres!$A$1:$I$89,3,0)*0.475*44/12</f>
        <v>7.5243824492361421E-20</v>
      </c>
      <c r="AX167" s="21">
        <f t="shared" si="166"/>
        <v>0.34802307140009059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-6.7984728957526396E-14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250.93905519128998</v>
      </c>
      <c r="BJ167" s="59">
        <f t="shared" si="146"/>
        <v>222.32879462265032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9.0171394832376073E-2</v>
      </c>
      <c r="BQ167" s="21">
        <f>EXP(-LN(2)/25)*BQ166+(1-EXP(-LN(2)/25))/(LN(2)/25)*Calculateur!BL167*Calculateur!BN167*VLOOKUP('Données projet'!$B$11,Paramètres!$A$1:$I$89,3,0)*0.475*44/12</f>
        <v>0.28183108582474004</v>
      </c>
      <c r="BR167" s="21">
        <f>EXP(-LN(2)/2)*BR166+(1-EXP(-LN(2)/2))/(LN(2)/2)*BL167*BO167*VLOOKUP('Données projet'!$B$11,Paramètres!$A$1:$I$89,3,0)*0.475*44/12</f>
        <v>1.2789374532064303E-20</v>
      </c>
      <c r="BS167" s="22">
        <f t="shared" si="169"/>
        <v>0.37200248065711611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-2.8421709430404007E-13</v>
      </c>
      <c r="BZ167" s="13">
        <f>BY167*VLOOKUP('Données projet'!$B$12,Paramètres!$A$1:$I$89,3,0)*VLOOKUP('Données projet'!$B$12,Paramètres!$A$1:$I$89,5,0)</f>
        <v>-1.69961822393816E-13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179.32848817523677</v>
      </c>
      <c r="CE167" s="59">
        <f t="shared" si="148"/>
        <v>131.3292389103035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0.32092032234620932</v>
      </c>
      <c r="CM167" s="21">
        <f>EXP(-LN(2)/2)*CM166+(1-EXP(-LN(2)/2))/(LN(2)/2)*CG167*CJ167*VLOOKUP('Données projet'!$B$12,Paramètres!$A$1:$I$89,3,0)*0.475*44/12</f>
        <v>3.5662590076980877E-20</v>
      </c>
      <c r="CN167" s="22">
        <f t="shared" si="172"/>
        <v>0.32092032234620932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-7.3896444519050419E-13</v>
      </c>
      <c r="CU167" s="17">
        <f>CT167*VLOOKUP('Données projet'!$B$13,Paramètres!$A$1:$I$89,3,0)*VLOOKUP('Données projet'!$B$13,Paramètres!$A$1:$I$89,5,0)</f>
        <v>-6.6861503000836817E-13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309.07357540707869</v>
      </c>
      <c r="CZ167" s="59">
        <f t="shared" si="150"/>
        <v>155.9593924683299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227.99999999999986</v>
      </c>
      <c r="DP167" s="17">
        <f>DO167*VLOOKUP('Données projet'!$B$14,Paramètres!$A$1:$I$89,3,0)*VLOOKUP('Données projet'!$B$14,Paramètres!$A$1:$I$89,5,0)</f>
        <v>199.18079999999992</v>
      </c>
      <c r="DQ167" s="13">
        <f t="shared" si="176"/>
        <v>49.564089376413683</v>
      </c>
      <c r="DR167" s="20">
        <f t="shared" si="177"/>
        <v>433.23068233058694</v>
      </c>
      <c r="DS167" s="59">
        <f t="shared" si="125"/>
        <v>726.56401566392026</v>
      </c>
      <c r="DT167" s="59">
        <f ca="1">AVERAGE(OFFSET($DS$3,0,0,'Données projet'!$E$14+1,1))-AVERAGE(OFFSET($H$3,0,0,'Données projet'!$E$14+1,1))</f>
        <v>210.07838338464626</v>
      </c>
      <c r="DU167" s="59">
        <f t="shared" si="152"/>
        <v>241.76003724236273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0.37306016572583178</v>
      </c>
      <c r="EB167" s="21">
        <f>EXP(-LN(2)/25)*EB166+(1-EXP(-LN(2)/25))/(LN(2)/25)*Calculateur!DW167*Calculateur!DY167*VLOOKUP('Données projet'!$B$14,Paramètres!$A$1:$I$89,3,0)*0.475*44/12</f>
        <v>0.33016872444951695</v>
      </c>
      <c r="EC167" s="21">
        <f>EXP(-LN(2)/2)*EC166+(1-EXP(-LN(2)/2))/(LN(2)/2)*DW167*DZ167*VLOOKUP('Données projet'!$B$14,Paramètres!$A$1:$I$89,3,0)*0.475*44/12</f>
        <v>1.082265819311442E-19</v>
      </c>
      <c r="ED167" s="22">
        <f t="shared" si="178"/>
        <v>0.70322889017534873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6.2527760746888816E-13</v>
      </c>
      <c r="EK167" s="17">
        <f>EJ167*VLOOKUP('Données projet'!$B$15,Paramètres!$A$1:$I$89,3,0)*VLOOKUP('Données projet'!$B$15,Paramètres!$A$1:$I$89,5,0)</f>
        <v>3.9017322706058616E-13</v>
      </c>
      <c r="EL167" s="13">
        <f t="shared" si="179"/>
        <v>5.0025007393608908E-12</v>
      </c>
      <c r="EM167" s="20">
        <f t="shared" si="180"/>
        <v>9.3922404915174053E-12</v>
      </c>
      <c r="EN167" s="59">
        <f t="shared" si="128"/>
        <v>293.33333333334269</v>
      </c>
      <c r="EO167" s="59">
        <f ca="1">AVERAGE(OFFSET($EN$3,0,0,'Données projet'!$E$15+1,1))-AVERAGE(OFFSET($H$3,0,0,'Données projet'!$E$15+1,1))</f>
        <v>209.93608079129638</v>
      </c>
      <c r="EP167" s="59">
        <f t="shared" si="154"/>
        <v>240.15652428700969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0.48941513049744551</v>
      </c>
      <c r="EW167" s="21">
        <f>EXP(-LN(2)/25)*EW166+(1-EXP(-LN(2)/25))/(LN(2)/25)*Calculateur!ER167*Calculateur!ET167*VLOOKUP('Données projet'!$B$15,Paramètres!$A$1:$I$89,3,0)*0.475*44/12</f>
        <v>0.5061625611117051</v>
      </c>
      <c r="EX167" s="21">
        <f>EXP(-LN(2)/2)*EX166+(1-EXP(-LN(2)/2))/(LN(2)/2)*ER167*EU167*VLOOKUP('Données projet'!$B$15,Paramètres!$A$1:$I$89,3,0)*0.475*44/12</f>
        <v>1.36818287708637E-19</v>
      </c>
      <c r="EY167" s="22">
        <f t="shared" si="181"/>
        <v>0.99557769160915055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5.6843418860808015E-14</v>
      </c>
      <c r="O168" s="13">
        <f>N168*VLOOKUP('Données projet'!$B$9,Paramètres!$A$1:$I$89,3,0)*VLOOKUP('Données projet'!$B$9,Paramètres!$A$1:$I$89,5,0)</f>
        <v>4.5224624045658861E-14</v>
      </c>
      <c r="P168" s="13">
        <f t="shared" si="141"/>
        <v>7.4514601661523691E-13</v>
      </c>
      <c r="Q168" s="20">
        <f t="shared" si="162"/>
        <v>1.3765621991510601E-12</v>
      </c>
      <c r="R168" s="59">
        <f t="shared" si="109"/>
        <v>293.33333333333468</v>
      </c>
      <c r="S168" s="59">
        <f ca="1">AVERAGE(OFFSET($R$3,0,0,'Données projet'!$E$9+1,1))-AVERAGE(OFFSET($H$3,0,0,'Données projet'!$E$9+1,1))</f>
        <v>199.58763537752952</v>
      </c>
      <c r="T168" s="59">
        <f t="shared" si="142"/>
        <v>242.62852778451929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</v>
      </c>
      <c r="AA168" s="21">
        <f>EXP(-LN(2)/25)*AA167+(1-EXP(-LN(2)/25))/(LN(2)/25)*Calculateur!V168*Calculateur!X168*VLOOKUP('Données projet'!$B$9,Paramètres!$A$1:$I$89,3,0)*0.475*44/12</f>
        <v>0.24353246543318915</v>
      </c>
      <c r="AB168" s="21">
        <f>EXP(-LN(2)/2)*AB167+(1-EXP(-LN(2)/2))/(LN(2)/2)*V168*Y168*VLOOKUP('Données projet'!$B$9,Paramètres!$A$1:$I$89,3,0)*0.475*44/12</f>
        <v>5.1564458242432102E-20</v>
      </c>
      <c r="AC168" s="22">
        <f t="shared" si="163"/>
        <v>0.24353246543318915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566</v>
      </c>
      <c r="AJ168" s="13">
        <f>AI168*VLOOKUP('Données projet'!$B$10,Paramètres!$A$1:$I$89,3,0)*VLOOKUP('Données projet'!$B$10,Paramètres!$A$1:$I$89,5,0)</f>
        <v>338.46800000000002</v>
      </c>
      <c r="AK168" s="13">
        <f t="shared" si="164"/>
        <v>79.183342377469998</v>
      </c>
      <c r="AL168" s="20">
        <f t="shared" si="165"/>
        <v>727.4094213074269</v>
      </c>
      <c r="AM168" s="59">
        <f t="shared" si="113"/>
        <v>1020.7427546407603</v>
      </c>
      <c r="AN168" s="59">
        <f ca="1">AVERAGE(OFFSET($AM$3,0,0,'Données projet'!$E$10+1,1))-AVERAGE(OFFSET($H$3,0,0,'Données projet'!$E$10+1,1))</f>
        <v>287.78657453117694</v>
      </c>
      <c r="AO168" s="59">
        <f t="shared" si="144"/>
        <v>153.31562485362252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0.20199480910666176</v>
      </c>
      <c r="AV168" s="21">
        <f>EXP(-LN(2)/25)*AV167+(1-EXP(-LN(2)/25))/(LN(2)/25)*Calculateur!AQ168*Calculateur!AS168*VLOOKUP('Données projet'!$B$10,Paramètres!$A$1:$I$89,3,0)*0.475*44/12</f>
        <v>0.13810537056814309</v>
      </c>
      <c r="AW168" s="21">
        <f>EXP(-LN(2)/2)*AW167+(1-EXP(-LN(2)/2))/(LN(2)/2)*AQ168*AT168*VLOOKUP('Données projet'!$B$10,Paramètres!$A$1:$I$89,3,0)*0.475*44/12</f>
        <v>5.3205418540959194E-20</v>
      </c>
      <c r="AX168" s="21">
        <f t="shared" si="166"/>
        <v>0.34010017967480488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-6.7984728957526396E-14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250.93905519128998</v>
      </c>
      <c r="BJ168" s="59">
        <f t="shared" si="146"/>
        <v>222.32879462265032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8.8403188778833311E-2</v>
      </c>
      <c r="BQ168" s="21">
        <f>EXP(-LN(2)/25)*BQ167+(1-EXP(-LN(2)/25))/(LN(2)/25)*Calculateur!BL168*Calculateur!BN168*VLOOKUP('Données projet'!$B$11,Paramètres!$A$1:$I$89,3,0)*0.475*44/12</f>
        <v>0.27412439996200982</v>
      </c>
      <c r="BR168" s="21">
        <f>EXP(-LN(2)/2)*BR167+(1-EXP(-LN(2)/2))/(LN(2)/2)*BL168*BO168*VLOOKUP('Données projet'!$B$11,Paramètres!$A$1:$I$89,3,0)*0.475*44/12</f>
        <v>9.0434534587571968E-21</v>
      </c>
      <c r="BS168" s="22">
        <f t="shared" si="169"/>
        <v>0.36252758874084312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-2.8421709430404007E-13</v>
      </c>
      <c r="BZ168" s="13">
        <f>BY168*VLOOKUP('Données projet'!$B$12,Paramètres!$A$1:$I$89,3,0)*VLOOKUP('Données projet'!$B$12,Paramètres!$A$1:$I$89,5,0)</f>
        <v>-1.69961822393816E-13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179.32848817523677</v>
      </c>
      <c r="CE168" s="59">
        <f t="shared" si="148"/>
        <v>131.3292389103035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0.31214473925518593</v>
      </c>
      <c r="CM168" s="21">
        <f>EXP(-LN(2)/2)*CM167+(1-EXP(-LN(2)/2))/(LN(2)/2)*CG168*CJ168*VLOOKUP('Données projet'!$B$12,Paramètres!$A$1:$I$89,3,0)*0.475*44/12</f>
        <v>2.5217259278109258E-20</v>
      </c>
      <c r="CN168" s="22">
        <f t="shared" si="172"/>
        <v>0.31214473925518593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-7.3896444519050419E-13</v>
      </c>
      <c r="CU168" s="17">
        <f>CT168*VLOOKUP('Données projet'!$B$13,Paramètres!$A$1:$I$89,3,0)*VLOOKUP('Données projet'!$B$13,Paramètres!$A$1:$I$89,5,0)</f>
        <v>-6.6861503000836817E-13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309.07357540707869</v>
      </c>
      <c r="CZ168" s="59">
        <f t="shared" si="150"/>
        <v>155.9593924683299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227.99999999999986</v>
      </c>
      <c r="DP168" s="17">
        <f>DO168*VLOOKUP('Données projet'!$B$14,Paramètres!$A$1:$I$89,3,0)*VLOOKUP('Données projet'!$B$14,Paramètres!$A$1:$I$89,5,0)</f>
        <v>199.18079999999992</v>
      </c>
      <c r="DQ168" s="13">
        <f t="shared" si="176"/>
        <v>49.564089376413683</v>
      </c>
      <c r="DR168" s="20">
        <f t="shared" si="177"/>
        <v>433.23068233058694</v>
      </c>
      <c r="DS168" s="59">
        <f t="shared" si="125"/>
        <v>726.56401566392026</v>
      </c>
      <c r="DT168" s="59">
        <f ca="1">AVERAGE(OFFSET($DS$3,0,0,'Données projet'!$E$14+1,1))-AVERAGE(OFFSET($H$3,0,0,'Données projet'!$E$14+1,1))</f>
        <v>210.07838338464626</v>
      </c>
      <c r="DU168" s="59">
        <f t="shared" si="152"/>
        <v>241.76003724236273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0.36574468342018118</v>
      </c>
      <c r="EB168" s="21">
        <f>EXP(-LN(2)/25)*EB167+(1-EXP(-LN(2)/25))/(LN(2)/25)*Calculateur!DW168*Calculateur!DY168*VLOOKUP('Données projet'!$B$14,Paramètres!$A$1:$I$89,3,0)*0.475*44/12</f>
        <v>0.32114024331662627</v>
      </c>
      <c r="EC168" s="21">
        <f>EXP(-LN(2)/2)*EC167+(1-EXP(-LN(2)/2))/(LN(2)/2)*DW168*DZ168*VLOOKUP('Données projet'!$B$14,Paramètres!$A$1:$I$89,3,0)*0.475*44/12</f>
        <v>7.6527749988153551E-20</v>
      </c>
      <c r="ED168" s="22">
        <f t="shared" si="178"/>
        <v>0.68688492673680746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6.2527760746888816E-13</v>
      </c>
      <c r="EK168" s="17">
        <f>EJ168*VLOOKUP('Données projet'!$B$15,Paramètres!$A$1:$I$89,3,0)*VLOOKUP('Données projet'!$B$15,Paramètres!$A$1:$I$89,5,0)</f>
        <v>3.9017322706058616E-13</v>
      </c>
      <c r="EL168" s="13">
        <f t="shared" si="179"/>
        <v>5.0025007393608908E-12</v>
      </c>
      <c r="EM168" s="20">
        <f t="shared" si="180"/>
        <v>9.3922404915174053E-12</v>
      </c>
      <c r="EN168" s="59">
        <f t="shared" si="128"/>
        <v>293.33333333334269</v>
      </c>
      <c r="EO168" s="59">
        <f ca="1">AVERAGE(OFFSET($EN$3,0,0,'Données projet'!$E$15+1,1))-AVERAGE(OFFSET($H$3,0,0,'Données projet'!$E$15+1,1))</f>
        <v>209.93608079129638</v>
      </c>
      <c r="EP168" s="59">
        <f t="shared" si="154"/>
        <v>240.15652428700969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0.47981799830214444</v>
      </c>
      <c r="EW168" s="21">
        <f>EXP(-LN(2)/25)*EW167+(1-EXP(-LN(2)/25))/(LN(2)/25)*Calculateur!ER168*Calculateur!ET168*VLOOKUP('Données projet'!$B$15,Paramètres!$A$1:$I$89,3,0)*0.475*44/12</f>
        <v>0.49232151926017331</v>
      </c>
      <c r="EX168" s="21">
        <f>EXP(-LN(2)/2)*EX167+(1-EXP(-LN(2)/2))/(LN(2)/2)*ER168*EU168*VLOOKUP('Données projet'!$B$15,Paramètres!$A$1:$I$89,3,0)*0.475*44/12</f>
        <v>9.674513902910929E-20</v>
      </c>
      <c r="EY168" s="22">
        <f t="shared" si="181"/>
        <v>0.97213951756231776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5.6843418860808015E-14</v>
      </c>
      <c r="O169" s="13">
        <f>N169*VLOOKUP('Données projet'!$B$9,Paramètres!$A$1:$I$89,3,0)*VLOOKUP('Données projet'!$B$9,Paramètres!$A$1:$I$89,5,0)</f>
        <v>4.5224624045658861E-14</v>
      </c>
      <c r="P169" s="13">
        <f t="shared" si="141"/>
        <v>7.4514601661523691E-13</v>
      </c>
      <c r="Q169" s="20">
        <f t="shared" si="162"/>
        <v>1.3765621991510601E-12</v>
      </c>
      <c r="R169" s="59">
        <f t="shared" si="109"/>
        <v>293.33333333333468</v>
      </c>
      <c r="S169" s="59">
        <f ca="1">AVERAGE(OFFSET($R$3,0,0,'Données projet'!$E$9+1,1))-AVERAGE(OFFSET($H$3,0,0,'Données projet'!$E$9+1,1))</f>
        <v>199.58763537752952</v>
      </c>
      <c r="T169" s="59">
        <f t="shared" si="142"/>
        <v>242.62852778451929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</v>
      </c>
      <c r="AA169" s="21">
        <f>EXP(-LN(2)/25)*AA168+(1-EXP(-LN(2)/25))/(LN(2)/25)*Calculateur!V169*Calculateur!X169*VLOOKUP('Données projet'!$B$9,Paramètres!$A$1:$I$89,3,0)*0.475*44/12</f>
        <v>0.23687305735910283</v>
      </c>
      <c r="AB169" s="21">
        <f>EXP(-LN(2)/2)*AB168+(1-EXP(-LN(2)/2))/(LN(2)/2)*V169*Y169*VLOOKUP('Données projet'!$B$9,Paramètres!$A$1:$I$89,3,0)*0.475*44/12</f>
        <v>3.6461578091434303E-20</v>
      </c>
      <c r="AC169" s="22">
        <f t="shared" si="163"/>
        <v>0.23687305735910283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566</v>
      </c>
      <c r="AJ169" s="13">
        <f>AI169*VLOOKUP('Données projet'!$B$10,Paramètres!$A$1:$I$89,3,0)*VLOOKUP('Données projet'!$B$10,Paramètres!$A$1:$I$89,5,0)</f>
        <v>338.46800000000002</v>
      </c>
      <c r="AK169" s="13">
        <f t="shared" si="164"/>
        <v>79.183342377469998</v>
      </c>
      <c r="AL169" s="20">
        <f t="shared" si="165"/>
        <v>727.4094213074269</v>
      </c>
      <c r="AM169" s="59">
        <f t="shared" si="113"/>
        <v>1020.7427546407603</v>
      </c>
      <c r="AN169" s="59">
        <f ca="1">AVERAGE(OFFSET($AM$3,0,0,'Données projet'!$E$10+1,1))-AVERAGE(OFFSET($H$3,0,0,'Données projet'!$E$10+1,1))</f>
        <v>287.78657453117694</v>
      </c>
      <c r="AO169" s="59">
        <f t="shared" si="144"/>
        <v>153.31562485362252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0.19803381410474824</v>
      </c>
      <c r="AV169" s="21">
        <f>EXP(-LN(2)/25)*AV168+(1-EXP(-LN(2)/25))/(LN(2)/25)*Calculateur!AQ169*Calculateur!AS169*VLOOKUP('Données projet'!$B$10,Paramètres!$A$1:$I$89,3,0)*0.475*44/12</f>
        <v>0.13432887194731144</v>
      </c>
      <c r="AW169" s="21">
        <f>EXP(-LN(2)/2)*AW168+(1-EXP(-LN(2)/2))/(LN(2)/2)*AQ169*AT169*VLOOKUP('Données projet'!$B$10,Paramètres!$A$1:$I$89,3,0)*0.475*44/12</f>
        <v>3.7621912246180716E-20</v>
      </c>
      <c r="AX169" s="21">
        <f t="shared" si="166"/>
        <v>0.33236268605205965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-6.7984728957526396E-14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250.93905519128998</v>
      </c>
      <c r="BJ169" s="59">
        <f t="shared" si="146"/>
        <v>222.32879462265032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8.666965616750133E-2</v>
      </c>
      <c r="BQ169" s="21">
        <f>EXP(-LN(2)/25)*BQ168+(1-EXP(-LN(2)/25))/(LN(2)/25)*Calculateur!BL169*Calculateur!BN169*VLOOKUP('Données projet'!$B$11,Paramètres!$A$1:$I$89,3,0)*0.475*44/12</f>
        <v>0.26662845382947298</v>
      </c>
      <c r="BR169" s="21">
        <f>EXP(-LN(2)/2)*BR168+(1-EXP(-LN(2)/2))/(LN(2)/2)*BL169*BO169*VLOOKUP('Données projet'!$B$11,Paramètres!$A$1:$I$89,3,0)*0.475*44/12</f>
        <v>6.3946872660321516E-21</v>
      </c>
      <c r="BS169" s="22">
        <f t="shared" si="169"/>
        <v>0.35329810999697431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-2.8421709430404007E-13</v>
      </c>
      <c r="BZ169" s="13">
        <f>BY169*VLOOKUP('Données projet'!$B$12,Paramètres!$A$1:$I$89,3,0)*VLOOKUP('Données projet'!$B$12,Paramètres!$A$1:$I$89,5,0)</f>
        <v>-1.69961822393816E-13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179.32848817523677</v>
      </c>
      <c r="CE169" s="59">
        <f t="shared" si="148"/>
        <v>131.3292389103035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0.30360912494527448</v>
      </c>
      <c r="CM169" s="21">
        <f>EXP(-LN(2)/2)*CM168+(1-EXP(-LN(2)/2))/(LN(2)/2)*CG169*CJ169*VLOOKUP('Données projet'!$B$12,Paramètres!$A$1:$I$89,3,0)*0.475*44/12</f>
        <v>1.7831295038490439E-20</v>
      </c>
      <c r="CN169" s="22">
        <f t="shared" si="172"/>
        <v>0.30360912494527448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-7.3896444519050419E-13</v>
      </c>
      <c r="CU169" s="17">
        <f>CT169*VLOOKUP('Données projet'!$B$13,Paramètres!$A$1:$I$89,3,0)*VLOOKUP('Données projet'!$B$13,Paramètres!$A$1:$I$89,5,0)</f>
        <v>-6.6861503000836817E-13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309.07357540707869</v>
      </c>
      <c r="CZ169" s="59">
        <f t="shared" si="150"/>
        <v>155.9593924683299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227.99999999999986</v>
      </c>
      <c r="DP169" s="17">
        <f>DO169*VLOOKUP('Données projet'!$B$14,Paramètres!$A$1:$I$89,3,0)*VLOOKUP('Données projet'!$B$14,Paramètres!$A$1:$I$89,5,0)</f>
        <v>199.18079999999992</v>
      </c>
      <c r="DQ169" s="13">
        <f t="shared" si="176"/>
        <v>49.564089376413683</v>
      </c>
      <c r="DR169" s="20">
        <f t="shared" si="177"/>
        <v>433.23068233058694</v>
      </c>
      <c r="DS169" s="59">
        <f t="shared" si="125"/>
        <v>726.56401566392026</v>
      </c>
      <c r="DT169" s="59">
        <f ca="1">AVERAGE(OFFSET($DS$3,0,0,'Données projet'!$E$14+1,1))-AVERAGE(OFFSET($H$3,0,0,'Données projet'!$E$14+1,1))</f>
        <v>210.07838338464626</v>
      </c>
      <c r="DU169" s="59">
        <f t="shared" si="152"/>
        <v>241.76003724236273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0.35857265326054077</v>
      </c>
      <c r="EB169" s="21">
        <f>EXP(-LN(2)/25)*EB168+(1-EXP(-LN(2)/25))/(LN(2)/25)*Calculateur!DW169*Calculateur!DY169*VLOOKUP('Données projet'!$B$14,Paramètres!$A$1:$I$89,3,0)*0.475*44/12</f>
        <v>0.3123586464751017</v>
      </c>
      <c r="EC169" s="21">
        <f>EXP(-LN(2)/2)*EC168+(1-EXP(-LN(2)/2))/(LN(2)/2)*DW169*DZ169*VLOOKUP('Données projet'!$B$14,Paramètres!$A$1:$I$89,3,0)*0.475*44/12</f>
        <v>5.4113290965572114E-20</v>
      </c>
      <c r="ED169" s="22">
        <f t="shared" si="178"/>
        <v>0.67093129973564247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6.2527760746888816E-13</v>
      </c>
      <c r="EK169" s="17">
        <f>EJ169*VLOOKUP('Données projet'!$B$15,Paramètres!$A$1:$I$89,3,0)*VLOOKUP('Données projet'!$B$15,Paramètres!$A$1:$I$89,5,0)</f>
        <v>3.9017322706058616E-13</v>
      </c>
      <c r="EL169" s="13">
        <f t="shared" si="179"/>
        <v>5.0025007393608908E-12</v>
      </c>
      <c r="EM169" s="20">
        <f t="shared" si="180"/>
        <v>9.3922404915174053E-12</v>
      </c>
      <c r="EN169" s="59">
        <f t="shared" si="128"/>
        <v>293.33333333334269</v>
      </c>
      <c r="EO169" s="59">
        <f ca="1">AVERAGE(OFFSET($EN$3,0,0,'Données projet'!$E$15+1,1))-AVERAGE(OFFSET($H$3,0,0,'Données projet'!$E$15+1,1))</f>
        <v>209.93608079129638</v>
      </c>
      <c r="EP169" s="59">
        <f t="shared" si="154"/>
        <v>240.15652428700969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0.47040906001552057</v>
      </c>
      <c r="EW169" s="21">
        <f>EXP(-LN(2)/25)*EW168+(1-EXP(-LN(2)/25))/(LN(2)/25)*Calculateur!ER169*Calculateur!ET169*VLOOKUP('Données projet'!$B$15,Paramètres!$A$1:$I$89,3,0)*0.475*44/12</f>
        <v>0.47885896142594037</v>
      </c>
      <c r="EX169" s="21">
        <f>EXP(-LN(2)/2)*EX168+(1-EXP(-LN(2)/2))/(LN(2)/2)*ER169*EU169*VLOOKUP('Données projet'!$B$15,Paramètres!$A$1:$I$89,3,0)*0.475*44/12</f>
        <v>6.8409143854318501E-20</v>
      </c>
      <c r="EY169" s="22">
        <f t="shared" si="181"/>
        <v>0.94926802144146094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5.6843418860808015E-14</v>
      </c>
      <c r="O170" s="13">
        <f>N170*VLOOKUP('Données projet'!$B$9,Paramètres!$A$1:$I$89,3,0)*VLOOKUP('Données projet'!$B$9,Paramètres!$A$1:$I$89,5,0)</f>
        <v>4.5224624045658861E-14</v>
      </c>
      <c r="P170" s="13">
        <f t="shared" si="141"/>
        <v>7.4514601661523691E-13</v>
      </c>
      <c r="Q170" s="20">
        <f t="shared" si="162"/>
        <v>1.3765621991510601E-12</v>
      </c>
      <c r="R170" s="59">
        <f t="shared" si="109"/>
        <v>293.33333333333468</v>
      </c>
      <c r="S170" s="59">
        <f ca="1">AVERAGE(OFFSET($R$3,0,0,'Données projet'!$E$9+1,1))-AVERAGE(OFFSET($H$3,0,0,'Données projet'!$E$9+1,1))</f>
        <v>199.58763537752952</v>
      </c>
      <c r="T170" s="59">
        <f t="shared" si="142"/>
        <v>242.62852778451929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</v>
      </c>
      <c r="AA170" s="21">
        <f>EXP(-LN(2)/25)*AA169+(1-EXP(-LN(2)/25))/(LN(2)/25)*Calculateur!V170*Calculateur!X170*VLOOKUP('Données projet'!$B$9,Paramètres!$A$1:$I$89,3,0)*0.475*44/12</f>
        <v>0.23039575114900546</v>
      </c>
      <c r="AB170" s="21">
        <f>EXP(-LN(2)/2)*AB169+(1-EXP(-LN(2)/2))/(LN(2)/2)*V170*Y170*VLOOKUP('Données projet'!$B$9,Paramètres!$A$1:$I$89,3,0)*0.475*44/12</f>
        <v>2.5782229121216051E-20</v>
      </c>
      <c r="AC170" s="22">
        <f t="shared" si="163"/>
        <v>0.23039575114900546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566</v>
      </c>
      <c r="AJ170" s="13">
        <f>AI170*VLOOKUP('Données projet'!$B$10,Paramètres!$A$1:$I$89,3,0)*VLOOKUP('Données projet'!$B$10,Paramètres!$A$1:$I$89,5,0)</f>
        <v>338.46800000000002</v>
      </c>
      <c r="AK170" s="13">
        <f t="shared" si="164"/>
        <v>79.183342377469998</v>
      </c>
      <c r="AL170" s="20">
        <f t="shared" si="165"/>
        <v>727.4094213074269</v>
      </c>
      <c r="AM170" s="59">
        <f t="shared" si="113"/>
        <v>1020.7427546407603</v>
      </c>
      <c r="AN170" s="59">
        <f ca="1">AVERAGE(OFFSET($AM$3,0,0,'Données projet'!$E$10+1,1))-AVERAGE(OFFSET($H$3,0,0,'Données projet'!$E$10+1,1))</f>
        <v>287.78657453117694</v>
      </c>
      <c r="AO170" s="59">
        <f t="shared" si="144"/>
        <v>153.31562485362252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0.19415049179885382</v>
      </c>
      <c r="AV170" s="21">
        <f>EXP(-LN(2)/25)*AV169+(1-EXP(-LN(2)/25))/(LN(2)/25)*Calculateur!AQ170*Calculateur!AS170*VLOOKUP('Données projet'!$B$10,Paramètres!$A$1:$I$89,3,0)*0.475*44/12</f>
        <v>0.13065564187986384</v>
      </c>
      <c r="AW170" s="21">
        <f>EXP(-LN(2)/2)*AW169+(1-EXP(-LN(2)/2))/(LN(2)/2)*AQ170*AT170*VLOOKUP('Données projet'!$B$10,Paramètres!$A$1:$I$89,3,0)*0.475*44/12</f>
        <v>2.6602709270479603E-20</v>
      </c>
      <c r="AX170" s="21">
        <f t="shared" si="166"/>
        <v>0.32480613367871769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-6.7984728957526396E-14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250.93905519128998</v>
      </c>
      <c r="BJ170" s="59">
        <f t="shared" si="146"/>
        <v>222.32879462265032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8.4970117073327078E-2</v>
      </c>
      <c r="BQ170" s="21">
        <f>EXP(-LN(2)/25)*BQ169+(1-EXP(-LN(2)/25))/(LN(2)/25)*Calculateur!BL170*Calculateur!BN170*VLOOKUP('Données projet'!$B$11,Paramètres!$A$1:$I$89,3,0)*0.475*44/12</f>
        <v>0.25933748473812501</v>
      </c>
      <c r="BR170" s="21">
        <f>EXP(-LN(2)/2)*BR169+(1-EXP(-LN(2)/2))/(LN(2)/2)*BL170*BO170*VLOOKUP('Données projet'!$B$11,Paramètres!$A$1:$I$89,3,0)*0.475*44/12</f>
        <v>4.5217267293785984E-21</v>
      </c>
      <c r="BS170" s="22">
        <f t="shared" si="169"/>
        <v>0.34430760181145209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-2.8421709430404007E-13</v>
      </c>
      <c r="BZ170" s="13">
        <f>BY170*VLOOKUP('Données projet'!$B$12,Paramètres!$A$1:$I$89,3,0)*VLOOKUP('Données projet'!$B$12,Paramètres!$A$1:$I$89,5,0)</f>
        <v>-1.69961822393816E-13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179.32848817523677</v>
      </c>
      <c r="CE170" s="59">
        <f t="shared" si="148"/>
        <v>131.3292389103035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0.29530691745753596</v>
      </c>
      <c r="CM170" s="21">
        <f>EXP(-LN(2)/2)*CM169+(1-EXP(-LN(2)/2))/(LN(2)/2)*CG170*CJ170*VLOOKUP('Données projet'!$B$12,Paramètres!$A$1:$I$89,3,0)*0.475*44/12</f>
        <v>1.2608629639054629E-20</v>
      </c>
      <c r="CN170" s="22">
        <f t="shared" si="172"/>
        <v>0.29530691745753596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-7.3896444519050419E-13</v>
      </c>
      <c r="CU170" s="17">
        <f>CT170*VLOOKUP('Données projet'!$B$13,Paramètres!$A$1:$I$89,3,0)*VLOOKUP('Données projet'!$B$13,Paramètres!$A$1:$I$89,5,0)</f>
        <v>-6.6861503000836817E-13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309.07357540707869</v>
      </c>
      <c r="CZ170" s="59">
        <f t="shared" si="150"/>
        <v>155.9593924683299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227.99999999999986</v>
      </c>
      <c r="DP170" s="17">
        <f>DO170*VLOOKUP('Données projet'!$B$14,Paramètres!$A$1:$I$89,3,0)*VLOOKUP('Données projet'!$B$14,Paramètres!$A$1:$I$89,5,0)</f>
        <v>199.18079999999992</v>
      </c>
      <c r="DQ170" s="13">
        <f t="shared" si="176"/>
        <v>49.564089376413683</v>
      </c>
      <c r="DR170" s="20">
        <f t="shared" si="177"/>
        <v>433.23068233058694</v>
      </c>
      <c r="DS170" s="59">
        <f t="shared" si="125"/>
        <v>726.56401566392026</v>
      </c>
      <c r="DT170" s="59">
        <f ca="1">AVERAGE(OFFSET($DS$3,0,0,'Données projet'!$E$14+1,1))-AVERAGE(OFFSET($H$3,0,0,'Données projet'!$E$14+1,1))</f>
        <v>210.07838338464626</v>
      </c>
      <c r="DU170" s="59">
        <f t="shared" si="152"/>
        <v>241.76003724236273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0.35154126223782445</v>
      </c>
      <c r="EB170" s="21">
        <f>EXP(-LN(2)/25)*EB169+(1-EXP(-LN(2)/25))/(LN(2)/25)*Calculateur!DW170*Calculateur!DY170*VLOOKUP('Données projet'!$B$14,Paramètres!$A$1:$I$89,3,0)*0.475*44/12</f>
        <v>0.30381718286101272</v>
      </c>
      <c r="EC170" s="21">
        <f>EXP(-LN(2)/2)*EC169+(1-EXP(-LN(2)/2))/(LN(2)/2)*DW170*DZ170*VLOOKUP('Données projet'!$B$14,Paramètres!$A$1:$I$89,3,0)*0.475*44/12</f>
        <v>3.8263874994076782E-20</v>
      </c>
      <c r="ED170" s="22">
        <f t="shared" si="178"/>
        <v>0.65535844509883723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6.2527760746888816E-13</v>
      </c>
      <c r="EK170" s="17">
        <f>EJ170*VLOOKUP('Données projet'!$B$15,Paramètres!$A$1:$I$89,3,0)*VLOOKUP('Données projet'!$B$15,Paramètres!$A$1:$I$89,5,0)</f>
        <v>3.9017322706058616E-13</v>
      </c>
      <c r="EL170" s="13">
        <f t="shared" si="179"/>
        <v>5.0025007393608908E-12</v>
      </c>
      <c r="EM170" s="20">
        <f t="shared" si="180"/>
        <v>9.3922404915174053E-12</v>
      </c>
      <c r="EN170" s="59">
        <f t="shared" si="128"/>
        <v>293.33333333334269</v>
      </c>
      <c r="EO170" s="59">
        <f ca="1">AVERAGE(OFFSET($EN$3,0,0,'Données projet'!$E$15+1,1))-AVERAGE(OFFSET($H$3,0,0,'Données projet'!$E$15+1,1))</f>
        <v>209.93608079129638</v>
      </c>
      <c r="EP170" s="59">
        <f t="shared" si="154"/>
        <v>240.15652428700969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0.46118462526981169</v>
      </c>
      <c r="EW170" s="21">
        <f>EXP(-LN(2)/25)*EW169+(1-EXP(-LN(2)/25))/(LN(2)/25)*Calculateur!ER170*Calculateur!ET170*VLOOKUP('Données projet'!$B$15,Paramètres!$A$1:$I$89,3,0)*0.475*44/12</f>
        <v>0.46576453794364969</v>
      </c>
      <c r="EX170" s="21">
        <f>EXP(-LN(2)/2)*EX169+(1-EXP(-LN(2)/2))/(LN(2)/2)*ER170*EU170*VLOOKUP('Données projet'!$B$15,Paramètres!$A$1:$I$89,3,0)*0.475*44/12</f>
        <v>4.8372569514554645E-20</v>
      </c>
      <c r="EY170" s="22">
        <f t="shared" si="181"/>
        <v>0.92694916321346144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5.6843418860808015E-14</v>
      </c>
      <c r="O171" s="13">
        <f>N171*VLOOKUP('Données projet'!$B$9,Paramètres!$A$1:$I$89,3,0)*VLOOKUP('Données projet'!$B$9,Paramètres!$A$1:$I$89,5,0)</f>
        <v>4.5224624045658861E-14</v>
      </c>
      <c r="P171" s="13">
        <f t="shared" si="141"/>
        <v>7.4514601661523691E-13</v>
      </c>
      <c r="Q171" s="20">
        <f t="shared" si="162"/>
        <v>1.3765621991510601E-12</v>
      </c>
      <c r="R171" s="59">
        <f t="shared" si="109"/>
        <v>293.33333333333468</v>
      </c>
      <c r="S171" s="59">
        <f ca="1">AVERAGE(OFFSET($R$3,0,0,'Données projet'!$E$9+1,1))-AVERAGE(OFFSET($H$3,0,0,'Données projet'!$E$9+1,1))</f>
        <v>199.58763537752952</v>
      </c>
      <c r="T171" s="59">
        <f t="shared" si="142"/>
        <v>242.62852778451929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</v>
      </c>
      <c r="AA171" s="21">
        <f>EXP(-LN(2)/25)*AA170+(1-EXP(-LN(2)/25))/(LN(2)/25)*Calculateur!V171*Calculateur!X171*VLOOKUP('Données projet'!$B$9,Paramètres!$A$1:$I$89,3,0)*0.475*44/12</f>
        <v>0.22409556721784993</v>
      </c>
      <c r="AB171" s="21">
        <f>EXP(-LN(2)/2)*AB170+(1-EXP(-LN(2)/2))/(LN(2)/2)*V171*Y171*VLOOKUP('Données projet'!$B$9,Paramètres!$A$1:$I$89,3,0)*0.475*44/12</f>
        <v>1.8230789045717151E-20</v>
      </c>
      <c r="AC171" s="22">
        <f t="shared" si="163"/>
        <v>0.22409556721784993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566</v>
      </c>
      <c r="AJ171" s="13">
        <f>AI171*VLOOKUP('Données projet'!$B$10,Paramètres!$A$1:$I$89,3,0)*VLOOKUP('Données projet'!$B$10,Paramètres!$A$1:$I$89,5,0)</f>
        <v>338.46800000000002</v>
      </c>
      <c r="AK171" s="13">
        <f t="shared" si="164"/>
        <v>79.183342377469998</v>
      </c>
      <c r="AL171" s="20">
        <f t="shared" si="165"/>
        <v>727.4094213074269</v>
      </c>
      <c r="AM171" s="59">
        <f t="shared" si="113"/>
        <v>1020.7427546407603</v>
      </c>
      <c r="AN171" s="59">
        <f ca="1">AVERAGE(OFFSET($AM$3,0,0,'Données projet'!$E$10+1,1))-AVERAGE(OFFSET($H$3,0,0,'Données projet'!$E$10+1,1))</f>
        <v>287.78657453117694</v>
      </c>
      <c r="AO171" s="59">
        <f t="shared" si="144"/>
        <v>153.31562485362252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0.19034331907478527</v>
      </c>
      <c r="AV171" s="21">
        <f>EXP(-LN(2)/25)*AV170+(1-EXP(-LN(2)/25))/(LN(2)/25)*Calculateur!AQ171*Calculateur!AS171*VLOOKUP('Données projet'!$B$10,Paramètres!$A$1:$I$89,3,0)*0.475*44/12</f>
        <v>0.12708285648177736</v>
      </c>
      <c r="AW171" s="21">
        <f>EXP(-LN(2)/2)*AW170+(1-EXP(-LN(2)/2))/(LN(2)/2)*AQ171*AT171*VLOOKUP('Données projet'!$B$10,Paramètres!$A$1:$I$89,3,0)*0.475*44/12</f>
        <v>1.8810956123090361E-20</v>
      </c>
      <c r="AX171" s="21">
        <f t="shared" si="166"/>
        <v>0.31742617555656261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-6.7984728957526396E-14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250.93905519128998</v>
      </c>
      <c r="BJ171" s="59">
        <f t="shared" si="146"/>
        <v>222.32879462265032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8.3303904904173096E-2</v>
      </c>
      <c r="BQ171" s="21">
        <f>EXP(-LN(2)/25)*BQ170+(1-EXP(-LN(2)/25))/(LN(2)/25)*Calculateur!BL171*Calculateur!BN171*VLOOKUP('Données projet'!$B$11,Paramètres!$A$1:$I$89,3,0)*0.475*44/12</f>
        <v>0.25224588757999539</v>
      </c>
      <c r="BR171" s="21">
        <f>EXP(-LN(2)/2)*BR170+(1-EXP(-LN(2)/2))/(LN(2)/2)*BL171*BO171*VLOOKUP('Données projet'!$B$11,Paramètres!$A$1:$I$89,3,0)*0.475*44/12</f>
        <v>3.1973436330160758E-21</v>
      </c>
      <c r="BS171" s="22">
        <f t="shared" si="169"/>
        <v>0.3355497924841685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-2.8421709430404007E-13</v>
      </c>
      <c r="BZ171" s="13">
        <f>BY171*VLOOKUP('Données projet'!$B$12,Paramètres!$A$1:$I$89,3,0)*VLOOKUP('Données projet'!$B$12,Paramètres!$A$1:$I$89,5,0)</f>
        <v>-1.69961822393816E-13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179.32848817523677</v>
      </c>
      <c r="CE171" s="59">
        <f t="shared" si="148"/>
        <v>131.3292389103035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0.28723173427014376</v>
      </c>
      <c r="CM171" s="21">
        <f>EXP(-LN(2)/2)*CM170+(1-EXP(-LN(2)/2))/(LN(2)/2)*CG171*CJ171*VLOOKUP('Données projet'!$B$12,Paramètres!$A$1:$I$89,3,0)*0.475*44/12</f>
        <v>8.9156475192452193E-21</v>
      </c>
      <c r="CN171" s="22">
        <f t="shared" si="172"/>
        <v>0.28723173427014376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-7.3896444519050419E-13</v>
      </c>
      <c r="CU171" s="17">
        <f>CT171*VLOOKUP('Données projet'!$B$13,Paramètres!$A$1:$I$89,3,0)*VLOOKUP('Données projet'!$B$13,Paramètres!$A$1:$I$89,5,0)</f>
        <v>-6.6861503000836817E-13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309.07357540707869</v>
      </c>
      <c r="CZ171" s="59">
        <f t="shared" si="150"/>
        <v>155.9593924683299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227.99999999999986</v>
      </c>
      <c r="DP171" s="17">
        <f>DO171*VLOOKUP('Données projet'!$B$14,Paramètres!$A$1:$I$89,3,0)*VLOOKUP('Données projet'!$B$14,Paramètres!$A$1:$I$89,5,0)</f>
        <v>199.18079999999992</v>
      </c>
      <c r="DQ171" s="13">
        <f t="shared" si="176"/>
        <v>49.564089376413683</v>
      </c>
      <c r="DR171" s="20">
        <f t="shared" si="177"/>
        <v>433.23068233058694</v>
      </c>
      <c r="DS171" s="59">
        <f t="shared" si="125"/>
        <v>726.56401566392026</v>
      </c>
      <c r="DT171" s="59">
        <f ca="1">AVERAGE(OFFSET($DS$3,0,0,'Données projet'!$E$14+1,1))-AVERAGE(OFFSET($H$3,0,0,'Données projet'!$E$14+1,1))</f>
        <v>210.07838338464626</v>
      </c>
      <c r="DU171" s="59">
        <f t="shared" si="152"/>
        <v>241.76003724236273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0.34464775250433854</v>
      </c>
      <c r="EB171" s="21">
        <f>EXP(-LN(2)/25)*EB170+(1-EXP(-LN(2)/25))/(LN(2)/25)*Calculateur!DW171*Calculateur!DY171*VLOOKUP('Données projet'!$B$14,Paramètres!$A$1:$I$89,3,0)*0.475*44/12</f>
        <v>0.29550928601862708</v>
      </c>
      <c r="EC171" s="21">
        <f>EXP(-LN(2)/2)*EC170+(1-EXP(-LN(2)/2))/(LN(2)/2)*DW171*DZ171*VLOOKUP('Données projet'!$B$14,Paramètres!$A$1:$I$89,3,0)*0.475*44/12</f>
        <v>2.705664548278606E-20</v>
      </c>
      <c r="ED171" s="22">
        <f t="shared" si="178"/>
        <v>0.64015703852296557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6.2527760746888816E-13</v>
      </c>
      <c r="EK171" s="17">
        <f>EJ171*VLOOKUP('Données projet'!$B$15,Paramètres!$A$1:$I$89,3,0)*VLOOKUP('Données projet'!$B$15,Paramètres!$A$1:$I$89,5,0)</f>
        <v>3.9017322706058616E-13</v>
      </c>
      <c r="EL171" s="13">
        <f t="shared" si="179"/>
        <v>5.0025007393608908E-12</v>
      </c>
      <c r="EM171" s="20">
        <f t="shared" si="180"/>
        <v>9.3922404915174053E-12</v>
      </c>
      <c r="EN171" s="59">
        <f t="shared" si="128"/>
        <v>293.33333333334269</v>
      </c>
      <c r="EO171" s="59">
        <f ca="1">AVERAGE(OFFSET($EN$3,0,0,'Données projet'!$E$15+1,1))-AVERAGE(OFFSET($H$3,0,0,'Données projet'!$E$15+1,1))</f>
        <v>209.93608079129638</v>
      </c>
      <c r="EP171" s="59">
        <f t="shared" si="154"/>
        <v>240.15652428700969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0.45214107606311654</v>
      </c>
      <c r="EW171" s="21">
        <f>EXP(-LN(2)/25)*EW170+(1-EXP(-LN(2)/25))/(LN(2)/25)*Calculateur!ER171*Calculateur!ET171*VLOOKUP('Données projet'!$B$15,Paramètres!$A$1:$I$89,3,0)*0.475*44/12</f>
        <v>0.45302818216008806</v>
      </c>
      <c r="EX171" s="21">
        <f>EXP(-LN(2)/2)*EX170+(1-EXP(-LN(2)/2))/(LN(2)/2)*ER171*EU171*VLOOKUP('Données projet'!$B$15,Paramètres!$A$1:$I$89,3,0)*0.475*44/12</f>
        <v>3.420457192715925E-20</v>
      </c>
      <c r="EY171" s="22">
        <f t="shared" si="181"/>
        <v>0.9051692582232046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5.6843418860808015E-14</v>
      </c>
      <c r="O172" s="13">
        <f>N172*VLOOKUP('Données projet'!$B$9,Paramètres!$A$1:$I$89,3,0)*VLOOKUP('Données projet'!$B$9,Paramètres!$A$1:$I$89,5,0)</f>
        <v>4.5224624045658861E-14</v>
      </c>
      <c r="P172" s="13">
        <f t="shared" si="141"/>
        <v>7.4514601661523691E-13</v>
      </c>
      <c r="Q172" s="20">
        <f t="shared" si="162"/>
        <v>1.3765621991510601E-12</v>
      </c>
      <c r="R172" s="59">
        <f t="shared" si="109"/>
        <v>293.33333333333468</v>
      </c>
      <c r="S172" s="59">
        <f ca="1">AVERAGE(OFFSET($R$3,0,0,'Données projet'!$E$9+1,1))-AVERAGE(OFFSET($H$3,0,0,'Données projet'!$E$9+1,1))</f>
        <v>199.58763537752952</v>
      </c>
      <c r="T172" s="59">
        <f t="shared" si="142"/>
        <v>242.62852778451929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</v>
      </c>
      <c r="AA172" s="21">
        <f>EXP(-LN(2)/25)*AA171+(1-EXP(-LN(2)/25))/(LN(2)/25)*Calculateur!V172*Calculateur!X172*VLOOKUP('Données projet'!$B$9,Paramètres!$A$1:$I$89,3,0)*0.475*44/12</f>
        <v>0.21796766214760413</v>
      </c>
      <c r="AB172" s="21">
        <f>EXP(-LN(2)/2)*AB171+(1-EXP(-LN(2)/2))/(LN(2)/2)*V172*Y172*VLOOKUP('Données projet'!$B$9,Paramètres!$A$1:$I$89,3,0)*0.475*44/12</f>
        <v>1.2891114560608025E-20</v>
      </c>
      <c r="AC172" s="22">
        <f t="shared" si="163"/>
        <v>0.21796766214760413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566</v>
      </c>
      <c r="AJ172" s="13">
        <f>AI172*VLOOKUP('Données projet'!$B$10,Paramètres!$A$1:$I$89,3,0)*VLOOKUP('Données projet'!$B$10,Paramètres!$A$1:$I$89,5,0)</f>
        <v>338.46800000000002</v>
      </c>
      <c r="AK172" s="13">
        <f t="shared" si="164"/>
        <v>79.183342377469998</v>
      </c>
      <c r="AL172" s="20">
        <f t="shared" si="165"/>
        <v>727.4094213074269</v>
      </c>
      <c r="AM172" s="59">
        <f t="shared" si="113"/>
        <v>1020.7427546407603</v>
      </c>
      <c r="AN172" s="59">
        <f ca="1">AVERAGE(OFFSET($AM$3,0,0,'Données projet'!$E$10+1,1))-AVERAGE(OFFSET($H$3,0,0,'Données projet'!$E$10+1,1))</f>
        <v>287.78657453117694</v>
      </c>
      <c r="AO172" s="59">
        <f t="shared" si="144"/>
        <v>153.31562485362252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0.18661080268568964</v>
      </c>
      <c r="AV172" s="21">
        <f>EXP(-LN(2)/25)*AV171+(1-EXP(-LN(2)/25))/(LN(2)/25)*Calculateur!AQ172*Calculateur!AS172*VLOOKUP('Données projet'!$B$10,Paramètres!$A$1:$I$89,3,0)*0.475*44/12</f>
        <v>0.12360776908828619</v>
      </c>
      <c r="AW172" s="21">
        <f>EXP(-LN(2)/2)*AW171+(1-EXP(-LN(2)/2))/(LN(2)/2)*AQ172*AT172*VLOOKUP('Données projet'!$B$10,Paramètres!$A$1:$I$89,3,0)*0.475*44/12</f>
        <v>1.3301354635239803E-20</v>
      </c>
      <c r="AX172" s="21">
        <f t="shared" si="166"/>
        <v>0.31021857177397583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-6.7984728957526396E-14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250.93905519128998</v>
      </c>
      <c r="BJ172" s="59">
        <f t="shared" si="146"/>
        <v>222.32879462265032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8.1670366139367151E-2</v>
      </c>
      <c r="BQ172" s="21">
        <f>EXP(-LN(2)/25)*BQ171+(1-EXP(-LN(2)/25))/(LN(2)/25)*Calculateur!BL172*Calculateur!BN172*VLOOKUP('Données projet'!$B$11,Paramètres!$A$1:$I$89,3,0)*0.475*44/12</f>
        <v>0.2453482105190857</v>
      </c>
      <c r="BR172" s="21">
        <f>EXP(-LN(2)/2)*BR171+(1-EXP(-LN(2)/2))/(LN(2)/2)*BL172*BO172*VLOOKUP('Données projet'!$B$11,Paramètres!$A$1:$I$89,3,0)*0.475*44/12</f>
        <v>2.2608633646892992E-21</v>
      </c>
      <c r="BS172" s="22">
        <f t="shared" si="169"/>
        <v>0.32701857665845285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-2.8421709430404007E-13</v>
      </c>
      <c r="BZ172" s="13">
        <f>BY172*VLOOKUP('Données projet'!$B$12,Paramètres!$A$1:$I$89,3,0)*VLOOKUP('Données projet'!$B$12,Paramètres!$A$1:$I$89,5,0)</f>
        <v>-1.69961822393816E-13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179.32848817523677</v>
      </c>
      <c r="CE172" s="59">
        <f t="shared" si="148"/>
        <v>131.3292389103035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0.27937736739166624</v>
      </c>
      <c r="CM172" s="21">
        <f>EXP(-LN(2)/2)*CM171+(1-EXP(-LN(2)/2))/(LN(2)/2)*CG172*CJ172*VLOOKUP('Données projet'!$B$12,Paramètres!$A$1:$I$89,3,0)*0.475*44/12</f>
        <v>6.3043148195273146E-21</v>
      </c>
      <c r="CN172" s="22">
        <f t="shared" si="172"/>
        <v>0.27937736739166624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-7.3896444519050419E-13</v>
      </c>
      <c r="CU172" s="17">
        <f>CT172*VLOOKUP('Données projet'!$B$13,Paramètres!$A$1:$I$89,3,0)*VLOOKUP('Données projet'!$B$13,Paramètres!$A$1:$I$89,5,0)</f>
        <v>-6.6861503000836817E-13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309.07357540707869</v>
      </c>
      <c r="CZ172" s="59">
        <f t="shared" si="150"/>
        <v>155.9593924683299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227.99999999999986</v>
      </c>
      <c r="DP172" s="17">
        <f>DO172*VLOOKUP('Données projet'!$B$14,Paramètres!$A$1:$I$89,3,0)*VLOOKUP('Données projet'!$B$14,Paramètres!$A$1:$I$89,5,0)</f>
        <v>199.18079999999992</v>
      </c>
      <c r="DQ172" s="13">
        <f t="shared" si="176"/>
        <v>49.564089376413683</v>
      </c>
      <c r="DR172" s="20">
        <f t="shared" si="177"/>
        <v>433.23068233058694</v>
      </c>
      <c r="DS172" s="59">
        <f t="shared" si="125"/>
        <v>726.56401566392026</v>
      </c>
      <c r="DT172" s="59">
        <f ca="1">AVERAGE(OFFSET($DS$3,0,0,'Données projet'!$E$14+1,1))-AVERAGE(OFFSET($H$3,0,0,'Données projet'!$E$14+1,1))</f>
        <v>210.07838338464626</v>
      </c>
      <c r="DU172" s="59">
        <f t="shared" si="152"/>
        <v>241.76003724236273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0.33788942029210056</v>
      </c>
      <c r="EB172" s="21">
        <f>EXP(-LN(2)/25)*EB171+(1-EXP(-LN(2)/25))/(LN(2)/25)*Calculateur!DW172*Calculateur!DY172*VLOOKUP('Données projet'!$B$14,Paramètres!$A$1:$I$89,3,0)*0.475*44/12</f>
        <v>0.28742856905228975</v>
      </c>
      <c r="EC172" s="21">
        <f>EXP(-LN(2)/2)*EC171+(1-EXP(-LN(2)/2))/(LN(2)/2)*DW172*DZ172*VLOOKUP('Données projet'!$B$14,Paramètres!$A$1:$I$89,3,0)*0.475*44/12</f>
        <v>1.9131937497038394E-20</v>
      </c>
      <c r="ED172" s="22">
        <f t="shared" si="178"/>
        <v>0.62531798934439031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6.2527760746888816E-13</v>
      </c>
      <c r="EK172" s="17">
        <f>EJ172*VLOOKUP('Données projet'!$B$15,Paramètres!$A$1:$I$89,3,0)*VLOOKUP('Données projet'!$B$15,Paramètres!$A$1:$I$89,5,0)</f>
        <v>3.9017322706058616E-13</v>
      </c>
      <c r="EL172" s="13">
        <f t="shared" si="179"/>
        <v>5.0025007393608908E-12</v>
      </c>
      <c r="EM172" s="20">
        <f t="shared" si="180"/>
        <v>9.3922404915174053E-12</v>
      </c>
      <c r="EN172" s="59">
        <f t="shared" si="128"/>
        <v>293.33333333334269</v>
      </c>
      <c r="EO172" s="59">
        <f ca="1">AVERAGE(OFFSET($EN$3,0,0,'Données projet'!$E$15+1,1))-AVERAGE(OFFSET($H$3,0,0,'Données projet'!$E$15+1,1))</f>
        <v>209.93608079129638</v>
      </c>
      <c r="EP172" s="59">
        <f t="shared" si="154"/>
        <v>240.15652428700969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0.44327486534034433</v>
      </c>
      <c r="EW172" s="21">
        <f>EXP(-LN(2)/25)*EW171+(1-EXP(-LN(2)/25))/(LN(2)/25)*Calculateur!ER172*Calculateur!ET172*VLOOKUP('Données projet'!$B$15,Paramètres!$A$1:$I$89,3,0)*0.475*44/12</f>
        <v>0.44064010269520376</v>
      </c>
      <c r="EX172" s="21">
        <f>EXP(-LN(2)/2)*EX171+(1-EXP(-LN(2)/2))/(LN(2)/2)*ER172*EU172*VLOOKUP('Données projet'!$B$15,Paramètres!$A$1:$I$89,3,0)*0.475*44/12</f>
        <v>2.4186284757277323E-20</v>
      </c>
      <c r="EY172" s="22">
        <f t="shared" si="181"/>
        <v>0.88391496803554803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5.6843418860808015E-14</v>
      </c>
      <c r="O173" s="13">
        <f>N173*VLOOKUP('Données projet'!$B$9,Paramètres!$A$1:$I$89,3,0)*VLOOKUP('Données projet'!$B$9,Paramètres!$A$1:$I$89,5,0)</f>
        <v>4.5224624045658861E-14</v>
      </c>
      <c r="P173" s="13">
        <f t="shared" si="141"/>
        <v>7.4514601661523691E-13</v>
      </c>
      <c r="Q173" s="20">
        <f t="shared" si="162"/>
        <v>1.3765621991510601E-12</v>
      </c>
      <c r="R173" s="59">
        <f t="shared" si="109"/>
        <v>293.33333333333468</v>
      </c>
      <c r="S173" s="59">
        <f ca="1">AVERAGE(OFFSET($R$3,0,0,'Données projet'!$E$9+1,1))-AVERAGE(OFFSET($H$3,0,0,'Données projet'!$E$9+1,1))</f>
        <v>199.58763537752952</v>
      </c>
      <c r="T173" s="59">
        <f t="shared" si="142"/>
        <v>242.62852778451929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</v>
      </c>
      <c r="AA173" s="21">
        <f>EXP(-LN(2)/25)*AA172+(1-EXP(-LN(2)/25))/(LN(2)/25)*Calculateur!V173*Calculateur!X173*VLOOKUP('Données projet'!$B$9,Paramètres!$A$1:$I$89,3,0)*0.475*44/12</f>
        <v>0.21200732496375671</v>
      </c>
      <c r="AB173" s="21">
        <f>EXP(-LN(2)/2)*AB172+(1-EXP(-LN(2)/2))/(LN(2)/2)*V173*Y173*VLOOKUP('Données projet'!$B$9,Paramètres!$A$1:$I$89,3,0)*0.475*44/12</f>
        <v>9.1153945228585756E-21</v>
      </c>
      <c r="AC173" s="22">
        <f t="shared" si="163"/>
        <v>0.21200732496375671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566</v>
      </c>
      <c r="AJ173" s="13">
        <f>AI173*VLOOKUP('Données projet'!$B$10,Paramètres!$A$1:$I$89,3,0)*VLOOKUP('Données projet'!$B$10,Paramètres!$A$1:$I$89,5,0)</f>
        <v>338.46800000000002</v>
      </c>
      <c r="AK173" s="13">
        <f t="shared" si="164"/>
        <v>79.183342377469998</v>
      </c>
      <c r="AL173" s="20">
        <f t="shared" si="165"/>
        <v>727.4094213074269</v>
      </c>
      <c r="AM173" s="59">
        <f t="shared" si="113"/>
        <v>1020.7427546407603</v>
      </c>
      <c r="AN173" s="59">
        <f ca="1">AVERAGE(OFFSET($AM$3,0,0,'Données projet'!$E$10+1,1))-AVERAGE(OFFSET($H$3,0,0,'Données projet'!$E$10+1,1))</f>
        <v>287.78657453117694</v>
      </c>
      <c r="AO173" s="59">
        <f t="shared" si="144"/>
        <v>153.31562485362252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0.18295147866637398</v>
      </c>
      <c r="AV173" s="21">
        <f>EXP(-LN(2)/25)*AV172+(1-EXP(-LN(2)/25))/(LN(2)/25)*Calculateur!AQ173*Calculateur!AS173*VLOOKUP('Données projet'!$B$10,Paramètres!$A$1:$I$89,3,0)*0.475*44/12</f>
        <v>0.12022770814231694</v>
      </c>
      <c r="AW173" s="21">
        <f>EXP(-LN(2)/2)*AW172+(1-EXP(-LN(2)/2))/(LN(2)/2)*AQ173*AT173*VLOOKUP('Données projet'!$B$10,Paramètres!$A$1:$I$89,3,0)*0.475*44/12</f>
        <v>9.4054780615451821E-21</v>
      </c>
      <c r="AX173" s="21">
        <f t="shared" si="166"/>
        <v>0.30317918680869094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-6.7984728957526396E-14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250.93905519128998</v>
      </c>
      <c r="BJ173" s="59">
        <f t="shared" si="146"/>
        <v>222.32879462265032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8.0068860073378781E-2</v>
      </c>
      <c r="BQ173" s="21">
        <f>EXP(-LN(2)/25)*BQ172+(1-EXP(-LN(2)/25))/(LN(2)/25)*Calculateur!BL173*Calculateur!BN173*VLOOKUP('Données projet'!$B$11,Paramètres!$A$1:$I$89,3,0)*0.475*44/12</f>
        <v>0.23863915080013967</v>
      </c>
      <c r="BR173" s="21">
        <f>EXP(-LN(2)/2)*BR172+(1-EXP(-LN(2)/2))/(LN(2)/2)*BL173*BO173*VLOOKUP('Données projet'!$B$11,Paramètres!$A$1:$I$89,3,0)*0.475*44/12</f>
        <v>1.5986718165080379E-21</v>
      </c>
      <c r="BS173" s="22">
        <f t="shared" si="169"/>
        <v>0.31870801087351847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-2.8421709430404007E-13</v>
      </c>
      <c r="BZ173" s="13">
        <f>BY173*VLOOKUP('Données projet'!$B$12,Paramètres!$A$1:$I$89,3,0)*VLOOKUP('Données projet'!$B$12,Paramètres!$A$1:$I$89,5,0)</f>
        <v>-1.69961822393816E-13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179.32848817523677</v>
      </c>
      <c r="CE173" s="59">
        <f t="shared" si="148"/>
        <v>131.3292389103035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0.27173777858852388</v>
      </c>
      <c r="CM173" s="21">
        <f>EXP(-LN(2)/2)*CM172+(1-EXP(-LN(2)/2))/(LN(2)/2)*CG173*CJ173*VLOOKUP('Données projet'!$B$12,Paramètres!$A$1:$I$89,3,0)*0.475*44/12</f>
        <v>4.4578237596226096E-21</v>
      </c>
      <c r="CN173" s="22">
        <f t="shared" si="172"/>
        <v>0.27173777858852388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-7.3896444519050419E-13</v>
      </c>
      <c r="CU173" s="17">
        <f>CT173*VLOOKUP('Données projet'!$B$13,Paramètres!$A$1:$I$89,3,0)*VLOOKUP('Données projet'!$B$13,Paramètres!$A$1:$I$89,5,0)</f>
        <v>-6.6861503000836817E-13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309.07357540707869</v>
      </c>
      <c r="CZ173" s="59">
        <f t="shared" si="150"/>
        <v>155.9593924683299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227.99999999999986</v>
      </c>
      <c r="DP173" s="17">
        <f>DO173*VLOOKUP('Données projet'!$B$14,Paramètres!$A$1:$I$89,3,0)*VLOOKUP('Données projet'!$B$14,Paramètres!$A$1:$I$89,5,0)</f>
        <v>199.18079999999992</v>
      </c>
      <c r="DQ173" s="13">
        <f t="shared" si="176"/>
        <v>49.564089376413683</v>
      </c>
      <c r="DR173" s="20">
        <f t="shared" si="177"/>
        <v>433.23068233058694</v>
      </c>
      <c r="DS173" s="59">
        <f t="shared" si="125"/>
        <v>726.56401566392026</v>
      </c>
      <c r="DT173" s="59">
        <f ca="1">AVERAGE(OFFSET($DS$3,0,0,'Données projet'!$E$14+1,1))-AVERAGE(OFFSET($H$3,0,0,'Données projet'!$E$14+1,1))</f>
        <v>210.07838338464626</v>
      </c>
      <c r="DU173" s="59">
        <f t="shared" si="152"/>
        <v>241.76003724236273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0.33126361485236894</v>
      </c>
      <c r="EB173" s="21">
        <f>EXP(-LN(2)/25)*EB172+(1-EXP(-LN(2)/25))/(LN(2)/25)*Calculateur!DW173*Calculateur!DY173*VLOOKUP('Données projet'!$B$14,Paramètres!$A$1:$I$89,3,0)*0.475*44/12</f>
        <v>0.27956881971634334</v>
      </c>
      <c r="EC173" s="21">
        <f>EXP(-LN(2)/2)*EC172+(1-EXP(-LN(2)/2))/(LN(2)/2)*DW173*DZ173*VLOOKUP('Données projet'!$B$14,Paramètres!$A$1:$I$89,3,0)*0.475*44/12</f>
        <v>1.3528322741393031E-20</v>
      </c>
      <c r="ED173" s="22">
        <f t="shared" si="178"/>
        <v>0.61083243456871228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6.2527760746888816E-13</v>
      </c>
      <c r="EK173" s="17">
        <f>EJ173*VLOOKUP('Données projet'!$B$15,Paramètres!$A$1:$I$89,3,0)*VLOOKUP('Données projet'!$B$15,Paramètres!$A$1:$I$89,5,0)</f>
        <v>3.9017322706058616E-13</v>
      </c>
      <c r="EL173" s="13">
        <f t="shared" si="179"/>
        <v>5.0025007393608908E-12</v>
      </c>
      <c r="EM173" s="20">
        <f t="shared" si="180"/>
        <v>9.3922404915174053E-12</v>
      </c>
      <c r="EN173" s="59">
        <f t="shared" si="128"/>
        <v>293.33333333334269</v>
      </c>
      <c r="EO173" s="59">
        <f ca="1">AVERAGE(OFFSET($EN$3,0,0,'Données projet'!$E$15+1,1))-AVERAGE(OFFSET($H$3,0,0,'Données projet'!$E$15+1,1))</f>
        <v>209.93608079129638</v>
      </c>
      <c r="EP173" s="59">
        <f t="shared" si="154"/>
        <v>240.15652428700969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0.43458251560199113</v>
      </c>
      <c r="EW173" s="21">
        <f>EXP(-LN(2)/25)*EW172+(1-EXP(-LN(2)/25))/(LN(2)/25)*Calculateur!ER173*Calculateur!ET173*VLOOKUP('Données projet'!$B$15,Paramètres!$A$1:$I$89,3,0)*0.475*44/12</f>
        <v>0.42859077591474753</v>
      </c>
      <c r="EX173" s="21">
        <f>EXP(-LN(2)/2)*EX172+(1-EXP(-LN(2)/2))/(LN(2)/2)*ER173*EU173*VLOOKUP('Données projet'!$B$15,Paramètres!$A$1:$I$89,3,0)*0.475*44/12</f>
        <v>1.7102285963579625E-20</v>
      </c>
      <c r="EY173" s="22">
        <f t="shared" si="181"/>
        <v>0.86317329151673872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5.6843418860808015E-14</v>
      </c>
      <c r="O174" s="13">
        <f>N174*VLOOKUP('Données projet'!$B$9,Paramètres!$A$1:$I$89,3,0)*VLOOKUP('Données projet'!$B$9,Paramètres!$A$1:$I$89,5,0)</f>
        <v>4.5224624045658861E-14</v>
      </c>
      <c r="P174" s="13">
        <f t="shared" si="141"/>
        <v>7.4514601661523691E-13</v>
      </c>
      <c r="Q174" s="20">
        <f t="shared" si="162"/>
        <v>1.3765621991510601E-12</v>
      </c>
      <c r="R174" s="59">
        <f t="shared" si="109"/>
        <v>293.33333333333468</v>
      </c>
      <c r="S174" s="59">
        <f ca="1">AVERAGE(OFFSET($R$3,0,0,'Données projet'!$E$9+1,1))-AVERAGE(OFFSET($H$3,0,0,'Données projet'!$E$9+1,1))</f>
        <v>199.58763537752952</v>
      </c>
      <c r="T174" s="59">
        <f t="shared" si="142"/>
        <v>242.62852778451929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</v>
      </c>
      <c r="AA174" s="21">
        <f>EXP(-LN(2)/25)*AA173+(1-EXP(-LN(2)/25))/(LN(2)/25)*Calculateur!V174*Calculateur!X174*VLOOKUP('Données projet'!$B$9,Paramètres!$A$1:$I$89,3,0)*0.475*44/12</f>
        <v>0.20620997351364212</v>
      </c>
      <c r="AB174" s="21">
        <f>EXP(-LN(2)/2)*AB173+(1-EXP(-LN(2)/2))/(LN(2)/2)*V174*Y174*VLOOKUP('Données projet'!$B$9,Paramètres!$A$1:$I$89,3,0)*0.475*44/12</f>
        <v>6.4455572803040127E-21</v>
      </c>
      <c r="AC174" s="22">
        <f t="shared" si="163"/>
        <v>0.20620997351364212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566</v>
      </c>
      <c r="AJ174" s="13">
        <f>AI174*VLOOKUP('Données projet'!$B$10,Paramètres!$A$1:$I$89,3,0)*VLOOKUP('Données projet'!$B$10,Paramètres!$A$1:$I$89,5,0)</f>
        <v>338.46800000000002</v>
      </c>
      <c r="AK174" s="13">
        <f t="shared" si="164"/>
        <v>79.183342377469998</v>
      </c>
      <c r="AL174" s="20">
        <f t="shared" si="165"/>
        <v>727.4094213074269</v>
      </c>
      <c r="AM174" s="59">
        <f t="shared" si="113"/>
        <v>1020.7427546407603</v>
      </c>
      <c r="AN174" s="59">
        <f ca="1">AVERAGE(OFFSET($AM$3,0,0,'Données projet'!$E$10+1,1))-AVERAGE(OFFSET($H$3,0,0,'Données projet'!$E$10+1,1))</f>
        <v>287.78657453117694</v>
      </c>
      <c r="AO174" s="59">
        <f t="shared" si="144"/>
        <v>153.31562485362252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0.17936391175910985</v>
      </c>
      <c r="AV174" s="21">
        <f>EXP(-LN(2)/25)*AV173+(1-EXP(-LN(2)/25))/(LN(2)/25)*Calculateur!AQ174*Calculateur!AS174*VLOOKUP('Données projet'!$B$10,Paramètres!$A$1:$I$89,3,0)*0.475*44/12</f>
        <v>0.1169400751406649</v>
      </c>
      <c r="AW174" s="21">
        <f>EXP(-LN(2)/2)*AW173+(1-EXP(-LN(2)/2))/(LN(2)/2)*AQ174*AT174*VLOOKUP('Données projet'!$B$10,Paramètres!$A$1:$I$89,3,0)*0.475*44/12</f>
        <v>6.650677317619903E-21</v>
      </c>
      <c r="AX174" s="21">
        <f t="shared" si="166"/>
        <v>0.29630398689977477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-6.7984728957526396E-14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250.93905519128998</v>
      </c>
      <c r="BJ174" s="59">
        <f t="shared" si="146"/>
        <v>222.32879462265032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7.8498758564522195E-2</v>
      </c>
      <c r="BQ174" s="21">
        <f>EXP(-LN(2)/25)*BQ173+(1-EXP(-LN(2)/25))/(LN(2)/25)*Calculateur!BL174*Calculateur!BN174*VLOOKUP('Données projet'!$B$11,Paramètres!$A$1:$I$89,3,0)*0.475*44/12</f>
        <v>0.23211355067202233</v>
      </c>
      <c r="BR174" s="21">
        <f>EXP(-LN(2)/2)*BR173+(1-EXP(-LN(2)/2))/(LN(2)/2)*BL174*BO174*VLOOKUP('Données projet'!$B$11,Paramètres!$A$1:$I$89,3,0)*0.475*44/12</f>
        <v>1.1304316823446496E-21</v>
      </c>
      <c r="BS174" s="22">
        <f t="shared" si="169"/>
        <v>0.31061230923654454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-2.8421709430404007E-13</v>
      </c>
      <c r="BZ174" s="13">
        <f>BY174*VLOOKUP('Données projet'!$B$12,Paramètres!$A$1:$I$89,3,0)*VLOOKUP('Données projet'!$B$12,Paramètres!$A$1:$I$89,5,0)</f>
        <v>-1.69961822393816E-13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179.32848817523677</v>
      </c>
      <c r="CE174" s="59">
        <f t="shared" si="148"/>
        <v>131.3292389103035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0.264307094742952</v>
      </c>
      <c r="CM174" s="21">
        <f>EXP(-LN(2)/2)*CM173+(1-EXP(-LN(2)/2))/(LN(2)/2)*CG174*CJ174*VLOOKUP('Données projet'!$B$12,Paramètres!$A$1:$I$89,3,0)*0.475*44/12</f>
        <v>3.1521574097636573E-21</v>
      </c>
      <c r="CN174" s="22">
        <f t="shared" si="172"/>
        <v>0.264307094742952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-7.3896444519050419E-13</v>
      </c>
      <c r="CU174" s="17">
        <f>CT174*VLOOKUP('Données projet'!$B$13,Paramètres!$A$1:$I$89,3,0)*VLOOKUP('Données projet'!$B$13,Paramètres!$A$1:$I$89,5,0)</f>
        <v>-6.6861503000836817E-13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309.07357540707869</v>
      </c>
      <c r="CZ174" s="59">
        <f t="shared" si="150"/>
        <v>155.9593924683299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227.99999999999986</v>
      </c>
      <c r="DP174" s="17">
        <f>DO174*VLOOKUP('Données projet'!$B$14,Paramètres!$A$1:$I$89,3,0)*VLOOKUP('Données projet'!$B$14,Paramètres!$A$1:$I$89,5,0)</f>
        <v>199.18079999999992</v>
      </c>
      <c r="DQ174" s="13">
        <f t="shared" si="176"/>
        <v>49.564089376413683</v>
      </c>
      <c r="DR174" s="20">
        <f t="shared" si="177"/>
        <v>433.23068233058694</v>
      </c>
      <c r="DS174" s="59">
        <f t="shared" si="125"/>
        <v>726.56401566392026</v>
      </c>
      <c r="DT174" s="59">
        <f ca="1">AVERAGE(OFFSET($DS$3,0,0,'Données projet'!$E$14+1,1))-AVERAGE(OFFSET($H$3,0,0,'Données projet'!$E$14+1,1))</f>
        <v>210.07838338464626</v>
      </c>
      <c r="DU174" s="59">
        <f t="shared" si="152"/>
        <v>241.76003724236273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0.32476773741596821</v>
      </c>
      <c r="EB174" s="21">
        <f>EXP(-LN(2)/25)*EB173+(1-EXP(-LN(2)/25))/(LN(2)/25)*Calculateur!DW174*Calculateur!DY174*VLOOKUP('Données projet'!$B$14,Paramètres!$A$1:$I$89,3,0)*0.475*44/12</f>
        <v>0.27192399563931469</v>
      </c>
      <c r="EC174" s="21">
        <f>EXP(-LN(2)/2)*EC173+(1-EXP(-LN(2)/2))/(LN(2)/2)*DW174*DZ174*VLOOKUP('Données projet'!$B$14,Paramètres!$A$1:$I$89,3,0)*0.475*44/12</f>
        <v>9.5659687485191984E-21</v>
      </c>
      <c r="ED174" s="22">
        <f t="shared" si="178"/>
        <v>0.59669173305528289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6.2527760746888816E-13</v>
      </c>
      <c r="EK174" s="17">
        <f>EJ174*VLOOKUP('Données projet'!$B$15,Paramètres!$A$1:$I$89,3,0)*VLOOKUP('Données projet'!$B$15,Paramètres!$A$1:$I$89,5,0)</f>
        <v>3.9017322706058616E-13</v>
      </c>
      <c r="EL174" s="13">
        <f t="shared" si="179"/>
        <v>5.0025007393608908E-12</v>
      </c>
      <c r="EM174" s="20">
        <f t="shared" si="180"/>
        <v>9.3922404915174053E-12</v>
      </c>
      <c r="EN174" s="59">
        <f t="shared" si="128"/>
        <v>293.33333333334269</v>
      </c>
      <c r="EO174" s="59">
        <f ca="1">AVERAGE(OFFSET($EN$3,0,0,'Données projet'!$E$15+1,1))-AVERAGE(OFFSET($H$3,0,0,'Données projet'!$E$15+1,1))</f>
        <v>209.93608079129638</v>
      </c>
      <c r="EP174" s="59">
        <f t="shared" si="154"/>
        <v>240.15652428700969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0.4260606175401972</v>
      </c>
      <c r="EW174" s="21">
        <f>EXP(-LN(2)/25)*EW173+(1-EXP(-LN(2)/25))/(LN(2)/25)*Calculateur!ER174*Calculateur!ET174*VLOOKUP('Données projet'!$B$15,Paramètres!$A$1:$I$89,3,0)*0.475*44/12</f>
        <v>0.41687093860874941</v>
      </c>
      <c r="EX174" s="21">
        <f>EXP(-LN(2)/2)*EX173+(1-EXP(-LN(2)/2))/(LN(2)/2)*ER174*EU174*VLOOKUP('Données projet'!$B$15,Paramètres!$A$1:$I$89,3,0)*0.475*44/12</f>
        <v>1.2093142378638661E-20</v>
      </c>
      <c r="EY174" s="22">
        <f t="shared" si="181"/>
        <v>0.84293155614894655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5.6843418860808015E-14</v>
      </c>
      <c r="O175" s="13">
        <f>N175*VLOOKUP('Données projet'!$B$9,Paramètres!$A$1:$I$89,3,0)*VLOOKUP('Données projet'!$B$9,Paramètres!$A$1:$I$89,5,0)</f>
        <v>4.5224624045658861E-14</v>
      </c>
      <c r="P175" s="13">
        <f t="shared" si="141"/>
        <v>7.4514601661523691E-13</v>
      </c>
      <c r="Q175" s="20">
        <f t="shared" si="162"/>
        <v>1.3765621991510601E-12</v>
      </c>
      <c r="R175" s="59">
        <f t="shared" si="109"/>
        <v>293.33333333333468</v>
      </c>
      <c r="S175" s="59">
        <f ca="1">AVERAGE(OFFSET($R$3,0,0,'Données projet'!$E$9+1,1))-AVERAGE(OFFSET($H$3,0,0,'Données projet'!$E$9+1,1))</f>
        <v>199.58763537752952</v>
      </c>
      <c r="T175" s="59">
        <f t="shared" si="142"/>
        <v>242.62852778451929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</v>
      </c>
      <c r="AA175" s="21">
        <f>EXP(-LN(2)/25)*AA174+(1-EXP(-LN(2)/25))/(LN(2)/25)*Calculateur!V175*Calculateur!X175*VLOOKUP('Données projet'!$B$9,Paramètres!$A$1:$I$89,3,0)*0.475*44/12</f>
        <v>0.20057115094380037</v>
      </c>
      <c r="AB175" s="21">
        <f>EXP(-LN(2)/2)*AB174+(1-EXP(-LN(2)/2))/(LN(2)/2)*V175*Y175*VLOOKUP('Données projet'!$B$9,Paramètres!$A$1:$I$89,3,0)*0.475*44/12</f>
        <v>4.5576972614292878E-21</v>
      </c>
      <c r="AC175" s="22">
        <f t="shared" si="163"/>
        <v>0.20057115094380037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566</v>
      </c>
      <c r="AJ175" s="13">
        <f>AI175*VLOOKUP('Données projet'!$B$10,Paramètres!$A$1:$I$89,3,0)*VLOOKUP('Données projet'!$B$10,Paramètres!$A$1:$I$89,5,0)</f>
        <v>338.46800000000002</v>
      </c>
      <c r="AK175" s="13">
        <f t="shared" si="164"/>
        <v>79.183342377469998</v>
      </c>
      <c r="AL175" s="20">
        <f t="shared" si="165"/>
        <v>727.4094213074269</v>
      </c>
      <c r="AM175" s="59">
        <f t="shared" si="113"/>
        <v>1020.7427546407603</v>
      </c>
      <c r="AN175" s="59">
        <f ca="1">AVERAGE(OFFSET($AM$3,0,0,'Données projet'!$E$10+1,1))-AVERAGE(OFFSET($H$3,0,0,'Données projet'!$E$10+1,1))</f>
        <v>287.78657453117694</v>
      </c>
      <c r="AO175" s="59">
        <f t="shared" si="144"/>
        <v>153.31562485362252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0.1758466948506974</v>
      </c>
      <c r="AV175" s="21">
        <f>EXP(-LN(2)/25)*AV174+(1-EXP(-LN(2)/25))/(LN(2)/25)*Calculateur!AQ175*Calculateur!AS175*VLOOKUP('Données projet'!$B$10,Paramètres!$A$1:$I$89,3,0)*0.475*44/12</f>
        <v>0.11374234263633214</v>
      </c>
      <c r="AW175" s="21">
        <f>EXP(-LN(2)/2)*AW174+(1-EXP(-LN(2)/2))/(LN(2)/2)*AQ175*AT175*VLOOKUP('Données projet'!$B$10,Paramètres!$A$1:$I$89,3,0)*0.475*44/12</f>
        <v>4.7027390307725918E-21</v>
      </c>
      <c r="AX175" s="21">
        <f t="shared" si="166"/>
        <v>0.28958903748702952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-6.7984728957526396E-14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250.93905519128998</v>
      </c>
      <c r="BJ175" s="59">
        <f t="shared" si="146"/>
        <v>222.32879462265032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7.6959445788586933E-2</v>
      </c>
      <c r="BQ175" s="21">
        <f>EXP(-LN(2)/25)*BQ174+(1-EXP(-LN(2)/25))/(LN(2)/25)*Calculateur!BL175*Calculateur!BN175*VLOOKUP('Données projet'!$B$11,Paramètres!$A$1:$I$89,3,0)*0.475*44/12</f>
        <v>0.22576639342257476</v>
      </c>
      <c r="BR175" s="21">
        <f>EXP(-LN(2)/2)*BR174+(1-EXP(-LN(2)/2))/(LN(2)/2)*BL175*BO175*VLOOKUP('Données projet'!$B$11,Paramètres!$A$1:$I$89,3,0)*0.475*44/12</f>
        <v>7.9933590825401895E-22</v>
      </c>
      <c r="BS175" s="22">
        <f t="shared" si="169"/>
        <v>0.3027258392111617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-2.8421709430404007E-13</v>
      </c>
      <c r="BZ175" s="13">
        <f>BY175*VLOOKUP('Données projet'!$B$12,Paramètres!$A$1:$I$89,3,0)*VLOOKUP('Données projet'!$B$12,Paramètres!$A$1:$I$89,5,0)</f>
        <v>-1.69961822393816E-13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179.32848817523677</v>
      </c>
      <c r="CE175" s="59">
        <f t="shared" si="148"/>
        <v>131.3292389103035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0.25707960333789992</v>
      </c>
      <c r="CM175" s="21">
        <f>EXP(-LN(2)/2)*CM174+(1-EXP(-LN(2)/2))/(LN(2)/2)*CG175*CJ175*VLOOKUP('Données projet'!$B$12,Paramètres!$A$1:$I$89,3,0)*0.475*44/12</f>
        <v>2.2289118798113048E-21</v>
      </c>
      <c r="CN175" s="22">
        <f t="shared" si="172"/>
        <v>0.25707960333789992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-7.3896444519050419E-13</v>
      </c>
      <c r="CU175" s="17">
        <f>CT175*VLOOKUP('Données projet'!$B$13,Paramètres!$A$1:$I$89,3,0)*VLOOKUP('Données projet'!$B$13,Paramètres!$A$1:$I$89,5,0)</f>
        <v>-6.6861503000836817E-13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309.07357540707869</v>
      </c>
      <c r="CZ175" s="59">
        <f t="shared" si="150"/>
        <v>155.9593924683299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227.99999999999986</v>
      </c>
      <c r="DP175" s="17">
        <f>DO175*VLOOKUP('Données projet'!$B$14,Paramètres!$A$1:$I$89,3,0)*VLOOKUP('Données projet'!$B$14,Paramètres!$A$1:$I$89,5,0)</f>
        <v>199.18079999999992</v>
      </c>
      <c r="DQ175" s="13">
        <f t="shared" si="176"/>
        <v>49.564089376413683</v>
      </c>
      <c r="DR175" s="20">
        <f t="shared" si="177"/>
        <v>433.23068233058694</v>
      </c>
      <c r="DS175" s="59">
        <f t="shared" si="125"/>
        <v>726.56401566392026</v>
      </c>
      <c r="DT175" s="59">
        <f ca="1">AVERAGE(OFFSET($DS$3,0,0,'Données projet'!$E$14+1,1))-AVERAGE(OFFSET($H$3,0,0,'Données projet'!$E$14+1,1))</f>
        <v>210.07838338464626</v>
      </c>
      <c r="DU175" s="59">
        <f t="shared" si="152"/>
        <v>241.76003724236273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0.31839924017400123</v>
      </c>
      <c r="EB175" s="21">
        <f>EXP(-LN(2)/25)*EB174+(1-EXP(-LN(2)/25))/(LN(2)/25)*Calculateur!DW175*Calculateur!DY175*VLOOKUP('Données projet'!$B$14,Paramètres!$A$1:$I$89,3,0)*0.475*44/12</f>
        <v>0.26448821967869618</v>
      </c>
      <c r="EC175" s="21">
        <f>EXP(-LN(2)/2)*EC174+(1-EXP(-LN(2)/2))/(LN(2)/2)*DW175*DZ175*VLOOKUP('Données projet'!$B$14,Paramètres!$A$1:$I$89,3,0)*0.475*44/12</f>
        <v>6.7641613706965172E-21</v>
      </c>
      <c r="ED175" s="22">
        <f t="shared" si="178"/>
        <v>0.58288745985269741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6.2527760746888816E-13</v>
      </c>
      <c r="EK175" s="17">
        <f>EJ175*VLOOKUP('Données projet'!$B$15,Paramètres!$A$1:$I$89,3,0)*VLOOKUP('Données projet'!$B$15,Paramètres!$A$1:$I$89,5,0)</f>
        <v>3.9017322706058616E-13</v>
      </c>
      <c r="EL175" s="13">
        <f t="shared" si="179"/>
        <v>5.0025007393608908E-12</v>
      </c>
      <c r="EM175" s="20">
        <f t="shared" si="180"/>
        <v>9.3922404915174053E-12</v>
      </c>
      <c r="EN175" s="59">
        <f t="shared" si="128"/>
        <v>293.33333333334269</v>
      </c>
      <c r="EO175" s="59">
        <f ca="1">AVERAGE(OFFSET($EN$3,0,0,'Données projet'!$E$15+1,1))-AVERAGE(OFFSET($H$3,0,0,'Données projet'!$E$15+1,1))</f>
        <v>209.93608079129638</v>
      </c>
      <c r="EP175" s="59">
        <f t="shared" si="154"/>
        <v>240.15652428700969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0.41770582870155049</v>
      </c>
      <c r="EW175" s="21">
        <f>EXP(-LN(2)/25)*EW174+(1-EXP(-LN(2)/25))/(LN(2)/25)*Calculateur!ER175*Calculateur!ET175*VLOOKUP('Données projet'!$B$15,Paramètres!$A$1:$I$89,3,0)*0.475*44/12</f>
        <v>0.40547158087020324</v>
      </c>
      <c r="EX175" s="21">
        <f>EXP(-LN(2)/2)*EX174+(1-EXP(-LN(2)/2))/(LN(2)/2)*ER175*EU175*VLOOKUP('Données projet'!$B$15,Paramètres!$A$1:$I$89,3,0)*0.475*44/12</f>
        <v>8.5511429817898126E-21</v>
      </c>
      <c r="EY175" s="22">
        <f t="shared" si="181"/>
        <v>0.82317740957175367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5.6843418860808015E-14</v>
      </c>
      <c r="O176" s="13">
        <f>N176*VLOOKUP('Données projet'!$B$9,Paramètres!$A$1:$I$89,3,0)*VLOOKUP('Données projet'!$B$9,Paramètres!$A$1:$I$89,5,0)</f>
        <v>4.5224624045658861E-14</v>
      </c>
      <c r="P176" s="13">
        <f t="shared" si="141"/>
        <v>7.4514601661523691E-13</v>
      </c>
      <c r="Q176" s="20">
        <f t="shared" si="162"/>
        <v>1.3765621991510601E-12</v>
      </c>
      <c r="R176" s="59">
        <f t="shared" si="109"/>
        <v>293.33333333333468</v>
      </c>
      <c r="S176" s="59">
        <f ca="1">AVERAGE(OFFSET($R$3,0,0,'Données projet'!$E$9+1,1))-AVERAGE(OFFSET($H$3,0,0,'Données projet'!$E$9+1,1))</f>
        <v>199.58763537752952</v>
      </c>
      <c r="T176" s="59">
        <f t="shared" si="142"/>
        <v>242.62852778451929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</v>
      </c>
      <c r="AA176" s="21">
        <f>EXP(-LN(2)/25)*AA175+(1-EXP(-LN(2)/25))/(LN(2)/25)*Calculateur!V176*Calculateur!X176*VLOOKUP('Données projet'!$B$9,Paramètres!$A$1:$I$89,3,0)*0.475*44/12</f>
        <v>0.19508652227366374</v>
      </c>
      <c r="AB176" s="21">
        <f>EXP(-LN(2)/2)*AB175+(1-EXP(-LN(2)/2))/(LN(2)/2)*V176*Y176*VLOOKUP('Données projet'!$B$9,Paramètres!$A$1:$I$89,3,0)*0.475*44/12</f>
        <v>3.2227786401520063E-21</v>
      </c>
      <c r="AC176" s="22">
        <f t="shared" si="163"/>
        <v>0.19508652227366374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566</v>
      </c>
      <c r="AJ176" s="13">
        <f>AI176*VLOOKUP('Données projet'!$B$10,Paramètres!$A$1:$I$89,3,0)*VLOOKUP('Données projet'!$B$10,Paramètres!$A$1:$I$89,5,0)</f>
        <v>338.46800000000002</v>
      </c>
      <c r="AK176" s="13">
        <f t="shared" si="164"/>
        <v>79.183342377469998</v>
      </c>
      <c r="AL176" s="20">
        <f t="shared" si="165"/>
        <v>727.4094213074269</v>
      </c>
      <c r="AM176" s="59">
        <f t="shared" si="113"/>
        <v>1020.7427546407603</v>
      </c>
      <c r="AN176" s="59">
        <f ca="1">AVERAGE(OFFSET($AM$3,0,0,'Données projet'!$E$10+1,1))-AVERAGE(OFFSET($H$3,0,0,'Données projet'!$E$10+1,1))</f>
        <v>287.78657453117694</v>
      </c>
      <c r="AO176" s="59">
        <f t="shared" si="144"/>
        <v>153.31562485362252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0.17239844842056845</v>
      </c>
      <c r="AV176" s="21">
        <f>EXP(-LN(2)/25)*AV175+(1-EXP(-LN(2)/25))/(LN(2)/25)*Calculateur!AQ176*Calculateur!AS176*VLOOKUP('Données projet'!$B$10,Paramètres!$A$1:$I$89,3,0)*0.475*44/12</f>
        <v>0.11063205229549179</v>
      </c>
      <c r="AW176" s="21">
        <f>EXP(-LN(2)/2)*AW175+(1-EXP(-LN(2)/2))/(LN(2)/2)*AQ176*AT176*VLOOKUP('Données projet'!$B$10,Paramètres!$A$1:$I$89,3,0)*0.475*44/12</f>
        <v>3.3253386588099519E-21</v>
      </c>
      <c r="AX176" s="21">
        <f t="shared" si="166"/>
        <v>0.28303050071606023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-6.7984728957526396E-14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250.93905519128998</v>
      </c>
      <c r="BJ176" s="59">
        <f t="shared" si="146"/>
        <v>222.32879462265032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7.5450317997299676E-2</v>
      </c>
      <c r="BQ176" s="21">
        <f>EXP(-LN(2)/25)*BQ175+(1-EXP(-LN(2)/25))/(LN(2)/25)*Calculateur!BL176*Calculateur!BN176*VLOOKUP('Données projet'!$B$11,Paramètres!$A$1:$I$89,3,0)*0.475*44/12</f>
        <v>0.21959279952189581</v>
      </c>
      <c r="BR176" s="21">
        <f>EXP(-LN(2)/2)*BR175+(1-EXP(-LN(2)/2))/(LN(2)/2)*BL176*BO176*VLOOKUP('Données projet'!$B$11,Paramètres!$A$1:$I$89,3,0)*0.475*44/12</f>
        <v>5.652158411723248E-22</v>
      </c>
      <c r="BS176" s="22">
        <f t="shared" si="169"/>
        <v>0.29504311751919549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-2.8421709430404007E-13</v>
      </c>
      <c r="BZ176" s="13">
        <f>BY176*VLOOKUP('Données projet'!$B$12,Paramètres!$A$1:$I$89,3,0)*VLOOKUP('Données projet'!$B$12,Paramètres!$A$1:$I$89,5,0)</f>
        <v>-1.69961822393816E-13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179.32848817523677</v>
      </c>
      <c r="CE176" s="59">
        <f t="shared" si="148"/>
        <v>131.3292389103035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0.25004974806539626</v>
      </c>
      <c r="CM176" s="21">
        <f>EXP(-LN(2)/2)*CM175+(1-EXP(-LN(2)/2))/(LN(2)/2)*CG176*CJ176*VLOOKUP('Données projet'!$B$12,Paramètres!$A$1:$I$89,3,0)*0.475*44/12</f>
        <v>1.5760787048818286E-21</v>
      </c>
      <c r="CN176" s="22">
        <f t="shared" si="172"/>
        <v>0.25004974806539626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-7.3896444519050419E-13</v>
      </c>
      <c r="CU176" s="17">
        <f>CT176*VLOOKUP('Données projet'!$B$13,Paramètres!$A$1:$I$89,3,0)*VLOOKUP('Données projet'!$B$13,Paramètres!$A$1:$I$89,5,0)</f>
        <v>-6.6861503000836817E-13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309.07357540707869</v>
      </c>
      <c r="CZ176" s="59">
        <f t="shared" si="150"/>
        <v>155.9593924683299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227.99999999999986</v>
      </c>
      <c r="DP176" s="17">
        <f>DO176*VLOOKUP('Données projet'!$B$14,Paramètres!$A$1:$I$89,3,0)*VLOOKUP('Données projet'!$B$14,Paramètres!$A$1:$I$89,5,0)</f>
        <v>199.18079999999992</v>
      </c>
      <c r="DQ176" s="13">
        <f t="shared" si="176"/>
        <v>49.564089376413683</v>
      </c>
      <c r="DR176" s="20">
        <f t="shared" si="177"/>
        <v>433.23068233058694</v>
      </c>
      <c r="DS176" s="59">
        <f t="shared" si="125"/>
        <v>726.56401566392026</v>
      </c>
      <c r="DT176" s="59">
        <f ca="1">AVERAGE(OFFSET($DS$3,0,0,'Données projet'!$E$14+1,1))-AVERAGE(OFFSET($H$3,0,0,'Données projet'!$E$14+1,1))</f>
        <v>210.07838338464626</v>
      </c>
      <c r="DU176" s="59">
        <f t="shared" si="152"/>
        <v>241.76003724236273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0.31215562527854951</v>
      </c>
      <c r="EB176" s="21">
        <f>EXP(-LN(2)/25)*EB175+(1-EXP(-LN(2)/25))/(LN(2)/25)*Calculateur!DW176*Calculateur!DY176*VLOOKUP('Données projet'!$B$14,Paramètres!$A$1:$I$89,3,0)*0.475*44/12</f>
        <v>0.25725577540275124</v>
      </c>
      <c r="EC176" s="21">
        <f>EXP(-LN(2)/2)*EC175+(1-EXP(-LN(2)/2))/(LN(2)/2)*DW176*DZ176*VLOOKUP('Données projet'!$B$14,Paramètres!$A$1:$I$89,3,0)*0.475*44/12</f>
        <v>4.7829843742595999E-21</v>
      </c>
      <c r="ED176" s="22">
        <f t="shared" si="178"/>
        <v>0.56941140068130069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6.2527760746888816E-13</v>
      </c>
      <c r="EK176" s="17">
        <f>EJ176*VLOOKUP('Données projet'!$B$15,Paramètres!$A$1:$I$89,3,0)*VLOOKUP('Données projet'!$B$15,Paramètres!$A$1:$I$89,5,0)</f>
        <v>3.9017322706058616E-13</v>
      </c>
      <c r="EL176" s="13">
        <f t="shared" si="179"/>
        <v>5.0025007393608908E-12</v>
      </c>
      <c r="EM176" s="20">
        <f t="shared" si="180"/>
        <v>9.3922404915174053E-12</v>
      </c>
      <c r="EN176" s="59">
        <f t="shared" si="128"/>
        <v>293.33333333334269</v>
      </c>
      <c r="EO176" s="59">
        <f ca="1">AVERAGE(OFFSET($EN$3,0,0,'Données projet'!$E$15+1,1))-AVERAGE(OFFSET($H$3,0,0,'Données projet'!$E$15+1,1))</f>
        <v>209.93608079129638</v>
      </c>
      <c r="EP176" s="59">
        <f t="shared" si="154"/>
        <v>240.15652428700969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0.4095148721761116</v>
      </c>
      <c r="EW176" s="21">
        <f>EXP(-LN(2)/25)*EW175+(1-EXP(-LN(2)/25))/(LN(2)/25)*Calculateur!ER176*Calculateur!ET176*VLOOKUP('Données projet'!$B$15,Paramètres!$A$1:$I$89,3,0)*0.475*44/12</f>
        <v>0.3943839391684838</v>
      </c>
      <c r="EX176" s="21">
        <f>EXP(-LN(2)/2)*EX175+(1-EXP(-LN(2)/2))/(LN(2)/2)*ER176*EU176*VLOOKUP('Données projet'!$B$15,Paramètres!$A$1:$I$89,3,0)*0.475*44/12</f>
        <v>6.0465711893193307E-21</v>
      </c>
      <c r="EY176" s="22">
        <f t="shared" si="181"/>
        <v>0.8038988113445954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5.6843418860808015E-14</v>
      </c>
      <c r="O177" s="13">
        <f>N177*VLOOKUP('Données projet'!$B$9,Paramètres!$A$1:$I$89,3,0)*VLOOKUP('Données projet'!$B$9,Paramètres!$A$1:$I$89,5,0)</f>
        <v>4.5224624045658861E-14</v>
      </c>
      <c r="P177" s="13">
        <f t="shared" si="141"/>
        <v>7.4514601661523691E-13</v>
      </c>
      <c r="Q177" s="20">
        <f t="shared" si="162"/>
        <v>1.3765621991510601E-12</v>
      </c>
      <c r="R177" s="59">
        <f t="shared" si="109"/>
        <v>293.33333333333468</v>
      </c>
      <c r="S177" s="59">
        <f ca="1">AVERAGE(OFFSET($R$3,0,0,'Données projet'!$E$9+1,1))-AVERAGE(OFFSET($H$3,0,0,'Données projet'!$E$9+1,1))</f>
        <v>199.58763537752952</v>
      </c>
      <c r="T177" s="59">
        <f t="shared" si="142"/>
        <v>242.62852778451929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</v>
      </c>
      <c r="AA177" s="21">
        <f>EXP(-LN(2)/25)*AA176+(1-EXP(-LN(2)/25))/(LN(2)/25)*Calculateur!V177*Calculateur!X177*VLOOKUP('Données projet'!$B$9,Paramètres!$A$1:$I$89,3,0)*0.475*44/12</f>
        <v>0.18975187106293609</v>
      </c>
      <c r="AB177" s="21">
        <f>EXP(-LN(2)/2)*AB176+(1-EXP(-LN(2)/2))/(LN(2)/2)*V177*Y177*VLOOKUP('Données projet'!$B$9,Paramètres!$A$1:$I$89,3,0)*0.475*44/12</f>
        <v>2.2788486307146439E-21</v>
      </c>
      <c r="AC177" s="22">
        <f t="shared" si="163"/>
        <v>0.18975187106293609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566</v>
      </c>
      <c r="AJ177" s="13">
        <f>AI177*VLOOKUP('Données projet'!$B$10,Paramètres!$A$1:$I$89,3,0)*VLOOKUP('Données projet'!$B$10,Paramètres!$A$1:$I$89,5,0)</f>
        <v>338.46800000000002</v>
      </c>
      <c r="AK177" s="13">
        <f t="shared" si="164"/>
        <v>79.183342377469998</v>
      </c>
      <c r="AL177" s="20">
        <f t="shared" si="165"/>
        <v>727.4094213074269</v>
      </c>
      <c r="AM177" s="59">
        <f t="shared" si="113"/>
        <v>1020.7427546407603</v>
      </c>
      <c r="AN177" s="59">
        <f ca="1">AVERAGE(OFFSET($AM$3,0,0,'Données projet'!$E$10+1,1))-AVERAGE(OFFSET($H$3,0,0,'Données projet'!$E$10+1,1))</f>
        <v>287.78657453117694</v>
      </c>
      <c r="AO177" s="59">
        <f t="shared" si="144"/>
        <v>153.31562485362252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0.16901781999971169</v>
      </c>
      <c r="AV177" s="21">
        <f>EXP(-LN(2)/25)*AV176+(1-EXP(-LN(2)/25))/(LN(2)/25)*Calculateur!AQ177*Calculateur!AS177*VLOOKUP('Données projet'!$B$10,Paramètres!$A$1:$I$89,3,0)*0.475*44/12</f>
        <v>0.10760681300758479</v>
      </c>
      <c r="AW177" s="21">
        <f>EXP(-LN(2)/2)*AW176+(1-EXP(-LN(2)/2))/(LN(2)/2)*AQ177*AT177*VLOOKUP('Données projet'!$B$10,Paramètres!$A$1:$I$89,3,0)*0.475*44/12</f>
        <v>2.3513695153862963E-21</v>
      </c>
      <c r="AX177" s="21">
        <f t="shared" si="166"/>
        <v>0.27662463300729645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-6.7984728957526396E-14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250.93905519128998</v>
      </c>
      <c r="BJ177" s="59">
        <f t="shared" si="146"/>
        <v>222.32879462265032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7.3970783281522498E-2</v>
      </c>
      <c r="BQ177" s="21">
        <f>EXP(-LN(2)/25)*BQ176+(1-EXP(-LN(2)/25))/(LN(2)/25)*Calculateur!BL177*Calculateur!BN177*VLOOKUP('Données projet'!$B$11,Paramètres!$A$1:$I$89,3,0)*0.475*44/12</f>
        <v>0.21358802287108614</v>
      </c>
      <c r="BR177" s="21">
        <f>EXP(-LN(2)/2)*BR176+(1-EXP(-LN(2)/2))/(LN(2)/2)*BL177*BO177*VLOOKUP('Données projet'!$B$11,Paramètres!$A$1:$I$89,3,0)*0.475*44/12</f>
        <v>3.9966795412700947E-22</v>
      </c>
      <c r="BS177" s="22">
        <f t="shared" si="169"/>
        <v>0.28755880615260865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-2.8421709430404007E-13</v>
      </c>
      <c r="BZ177" s="13">
        <f>BY177*VLOOKUP('Données projet'!$B$12,Paramètres!$A$1:$I$89,3,0)*VLOOKUP('Données projet'!$B$12,Paramètres!$A$1:$I$89,5,0)</f>
        <v>-1.69961822393816E-13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179.32848817523677</v>
      </c>
      <c r="CE177" s="59">
        <f t="shared" si="148"/>
        <v>131.3292389103035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0.24321212455500324</v>
      </c>
      <c r="CM177" s="21">
        <f>EXP(-LN(2)/2)*CM176+(1-EXP(-LN(2)/2))/(LN(2)/2)*CG177*CJ177*VLOOKUP('Données projet'!$B$12,Paramètres!$A$1:$I$89,3,0)*0.475*44/12</f>
        <v>1.1144559399056524E-21</v>
      </c>
      <c r="CN177" s="22">
        <f t="shared" si="172"/>
        <v>0.24321212455500324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-7.3896444519050419E-13</v>
      </c>
      <c r="CU177" s="17">
        <f>CT177*VLOOKUP('Données projet'!$B$13,Paramètres!$A$1:$I$89,3,0)*VLOOKUP('Données projet'!$B$13,Paramètres!$A$1:$I$89,5,0)</f>
        <v>-6.6861503000836817E-13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309.07357540707869</v>
      </c>
      <c r="CZ177" s="59">
        <f t="shared" si="150"/>
        <v>155.9593924683299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227.99999999999986</v>
      </c>
      <c r="DP177" s="17">
        <f>DO177*VLOOKUP('Données projet'!$B$14,Paramètres!$A$1:$I$89,3,0)*VLOOKUP('Données projet'!$B$14,Paramètres!$A$1:$I$89,5,0)</f>
        <v>199.18079999999992</v>
      </c>
      <c r="DQ177" s="13">
        <f t="shared" si="176"/>
        <v>49.564089376413683</v>
      </c>
      <c r="DR177" s="20">
        <f t="shared" si="177"/>
        <v>433.23068233058694</v>
      </c>
      <c r="DS177" s="59">
        <f t="shared" si="125"/>
        <v>726.56401566392026</v>
      </c>
      <c r="DT177" s="59">
        <f ca="1">AVERAGE(OFFSET($DS$3,0,0,'Données projet'!$E$14+1,1))-AVERAGE(OFFSET($H$3,0,0,'Données projet'!$E$14+1,1))</f>
        <v>210.07838338464626</v>
      </c>
      <c r="DU177" s="59">
        <f t="shared" si="152"/>
        <v>241.76003724236273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0.30603444386296852</v>
      </c>
      <c r="EB177" s="21">
        <f>EXP(-LN(2)/25)*EB176+(1-EXP(-LN(2)/25))/(LN(2)/25)*Calculateur!DW177*Calculateur!DY177*VLOOKUP('Données projet'!$B$14,Paramètres!$A$1:$I$89,3,0)*0.475*44/12</f>
        <v>0.25022110269586972</v>
      </c>
      <c r="EC177" s="21">
        <f>EXP(-LN(2)/2)*EC176+(1-EXP(-LN(2)/2))/(LN(2)/2)*DW177*DZ177*VLOOKUP('Données projet'!$B$14,Paramètres!$A$1:$I$89,3,0)*0.475*44/12</f>
        <v>3.382080685348259E-21</v>
      </c>
      <c r="ED177" s="22">
        <f t="shared" si="178"/>
        <v>0.55625554655883824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6.2527760746888816E-13</v>
      </c>
      <c r="EK177" s="17">
        <f>EJ177*VLOOKUP('Données projet'!$B$15,Paramètres!$A$1:$I$89,3,0)*VLOOKUP('Données projet'!$B$15,Paramètres!$A$1:$I$89,5,0)</f>
        <v>3.9017322706058616E-13</v>
      </c>
      <c r="EL177" s="13">
        <f t="shared" si="179"/>
        <v>5.0025007393608908E-12</v>
      </c>
      <c r="EM177" s="20">
        <f t="shared" si="180"/>
        <v>9.3922404915174053E-12</v>
      </c>
      <c r="EN177" s="59">
        <f t="shared" si="128"/>
        <v>293.33333333334269</v>
      </c>
      <c r="EO177" s="59">
        <f ca="1">AVERAGE(OFFSET($EN$3,0,0,'Données projet'!$E$15+1,1))-AVERAGE(OFFSET($H$3,0,0,'Données projet'!$E$15+1,1))</f>
        <v>209.93608079129638</v>
      </c>
      <c r="EP177" s="59">
        <f t="shared" si="154"/>
        <v>240.15652428700969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0.4014845353121464</v>
      </c>
      <c r="EW177" s="21">
        <f>EXP(-LN(2)/25)*EW176+(1-EXP(-LN(2)/25))/(LN(2)/25)*Calculateur!ER177*Calculateur!ET177*VLOOKUP('Données projet'!$B$15,Paramètres!$A$1:$I$89,3,0)*0.475*44/12</f>
        <v>0.38359948961217161</v>
      </c>
      <c r="EX177" s="21">
        <f>EXP(-LN(2)/2)*EX176+(1-EXP(-LN(2)/2))/(LN(2)/2)*ER177*EU177*VLOOKUP('Données projet'!$B$15,Paramètres!$A$1:$I$89,3,0)*0.475*44/12</f>
        <v>4.2755714908949063E-21</v>
      </c>
      <c r="EY177" s="22">
        <f t="shared" si="181"/>
        <v>0.78508402492431806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5.6843418860808015E-14</v>
      </c>
      <c r="O178" s="13">
        <f>N178*VLOOKUP('Données projet'!$B$9,Paramètres!$A$1:$I$89,3,0)*VLOOKUP('Données projet'!$B$9,Paramètres!$A$1:$I$89,5,0)</f>
        <v>4.5224624045658861E-14</v>
      </c>
      <c r="P178" s="13">
        <f t="shared" si="141"/>
        <v>7.4514601661523691E-13</v>
      </c>
      <c r="Q178" s="20">
        <f t="shared" si="162"/>
        <v>1.3765621991510601E-12</v>
      </c>
      <c r="R178" s="59">
        <f t="shared" si="109"/>
        <v>293.33333333333468</v>
      </c>
      <c r="S178" s="59">
        <f ca="1">AVERAGE(OFFSET($R$3,0,0,'Données projet'!$E$9+1,1))-AVERAGE(OFFSET($H$3,0,0,'Données projet'!$E$9+1,1))</f>
        <v>199.58763537752952</v>
      </c>
      <c r="T178" s="59">
        <f t="shared" si="142"/>
        <v>242.62852778451929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</v>
      </c>
      <c r="AA178" s="21">
        <f>EXP(-LN(2)/25)*AA177+(1-EXP(-LN(2)/25))/(LN(2)/25)*Calculateur!V178*Calculateur!X178*VLOOKUP('Données projet'!$B$9,Paramètres!$A$1:$I$89,3,0)*0.475*44/12</f>
        <v>0.18456309617010289</v>
      </c>
      <c r="AB178" s="21">
        <f>EXP(-LN(2)/2)*AB177+(1-EXP(-LN(2)/2))/(LN(2)/2)*V178*Y178*VLOOKUP('Données projet'!$B$9,Paramètres!$A$1:$I$89,3,0)*0.475*44/12</f>
        <v>1.6113893200760032E-21</v>
      </c>
      <c r="AC178" s="22">
        <f t="shared" si="163"/>
        <v>0.18456309617010289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566</v>
      </c>
      <c r="AJ178" s="13">
        <f>AI178*VLOOKUP('Données projet'!$B$10,Paramètres!$A$1:$I$89,3,0)*VLOOKUP('Données projet'!$B$10,Paramètres!$A$1:$I$89,5,0)</f>
        <v>338.46800000000002</v>
      </c>
      <c r="AK178" s="13">
        <f t="shared" si="164"/>
        <v>79.183342377469998</v>
      </c>
      <c r="AL178" s="20">
        <f t="shared" si="165"/>
        <v>727.4094213074269</v>
      </c>
      <c r="AM178" s="59">
        <f t="shared" si="113"/>
        <v>1020.7427546407603</v>
      </c>
      <c r="AN178" s="59">
        <f ca="1">AVERAGE(OFFSET($AM$3,0,0,'Données projet'!$E$10+1,1))-AVERAGE(OFFSET($H$3,0,0,'Données projet'!$E$10+1,1))</f>
        <v>287.78657453117694</v>
      </c>
      <c r="AO178" s="59">
        <f t="shared" si="144"/>
        <v>153.31562485362252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0.16570348364020818</v>
      </c>
      <c r="AV178" s="21">
        <f>EXP(-LN(2)/25)*AV177+(1-EXP(-LN(2)/25))/(LN(2)/25)*Calculateur!AQ178*Calculateur!AS178*VLOOKUP('Données projet'!$B$10,Paramètres!$A$1:$I$89,3,0)*0.475*44/12</f>
        <v>0.10466429904709602</v>
      </c>
      <c r="AW178" s="21">
        <f>EXP(-LN(2)/2)*AW177+(1-EXP(-LN(2)/2))/(LN(2)/2)*AQ178*AT178*VLOOKUP('Données projet'!$B$10,Paramètres!$A$1:$I$89,3,0)*0.475*44/12</f>
        <v>1.6626693294049761E-21</v>
      </c>
      <c r="AX178" s="21">
        <f t="shared" si="166"/>
        <v>0.27036778268730421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-6.7984728957526396E-14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250.93905519128998</v>
      </c>
      <c r="BJ178" s="59">
        <f t="shared" si="146"/>
        <v>222.32879462265032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7.2520261339094644E-2</v>
      </c>
      <c r="BQ178" s="21">
        <f>EXP(-LN(2)/25)*BQ177+(1-EXP(-LN(2)/25))/(LN(2)/25)*Calculateur!BL178*Calculateur!BN178*VLOOKUP('Données projet'!$B$11,Paramètres!$A$1:$I$89,3,0)*0.475*44/12</f>
        <v>0.20774744715357032</v>
      </c>
      <c r="BR178" s="21">
        <f>EXP(-LN(2)/2)*BR177+(1-EXP(-LN(2)/2))/(LN(2)/2)*BL178*BO178*VLOOKUP('Données projet'!$B$11,Paramètres!$A$1:$I$89,3,0)*0.475*44/12</f>
        <v>2.826079205861624E-22</v>
      </c>
      <c r="BS178" s="22">
        <f t="shared" si="169"/>
        <v>0.28026770849266497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-2.8421709430404007E-13</v>
      </c>
      <c r="BZ178" s="13">
        <f>BY178*VLOOKUP('Données projet'!$B$12,Paramètres!$A$1:$I$89,3,0)*VLOOKUP('Données projet'!$B$12,Paramètres!$A$1:$I$89,5,0)</f>
        <v>-1.69961822393816E-13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179.32848817523677</v>
      </c>
      <c r="CE178" s="59">
        <f t="shared" si="148"/>
        <v>131.3292389103035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0.23656147621907692</v>
      </c>
      <c r="CM178" s="21">
        <f>EXP(-LN(2)/2)*CM177+(1-EXP(-LN(2)/2))/(LN(2)/2)*CG178*CJ178*VLOOKUP('Données projet'!$B$12,Paramètres!$A$1:$I$89,3,0)*0.475*44/12</f>
        <v>7.8803935244091432E-22</v>
      </c>
      <c r="CN178" s="22">
        <f t="shared" si="172"/>
        <v>0.23656147621907692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-7.3896444519050419E-13</v>
      </c>
      <c r="CU178" s="17">
        <f>CT178*VLOOKUP('Données projet'!$B$13,Paramètres!$A$1:$I$89,3,0)*VLOOKUP('Données projet'!$B$13,Paramètres!$A$1:$I$89,5,0)</f>
        <v>-6.6861503000836817E-13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309.07357540707869</v>
      </c>
      <c r="CZ178" s="59">
        <f t="shared" si="150"/>
        <v>155.9593924683299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227.99999999999986</v>
      </c>
      <c r="DP178" s="17">
        <f>DO178*VLOOKUP('Données projet'!$B$14,Paramètres!$A$1:$I$89,3,0)*VLOOKUP('Données projet'!$B$14,Paramètres!$A$1:$I$89,5,0)</f>
        <v>199.18079999999992</v>
      </c>
      <c r="DQ178" s="13">
        <f t="shared" si="176"/>
        <v>49.564089376413683</v>
      </c>
      <c r="DR178" s="20">
        <f t="shared" si="177"/>
        <v>433.23068233058694</v>
      </c>
      <c r="DS178" s="59">
        <f t="shared" si="125"/>
        <v>726.56401566392026</v>
      </c>
      <c r="DT178" s="59">
        <f ca="1">AVERAGE(OFFSET($DS$3,0,0,'Données projet'!$E$14+1,1))-AVERAGE(OFFSET($H$3,0,0,'Données projet'!$E$14+1,1))</f>
        <v>210.07838338464626</v>
      </c>
      <c r="DU178" s="59">
        <f t="shared" si="152"/>
        <v>241.76003724236273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0.30003329508139509</v>
      </c>
      <c r="EB178" s="21">
        <f>EXP(-LN(2)/25)*EB177+(1-EXP(-LN(2)/25))/(LN(2)/25)*Calculateur!DW178*Calculateur!DY178*VLOOKUP('Données projet'!$B$14,Paramètres!$A$1:$I$89,3,0)*0.475*44/12</f>
        <v>0.24337879348409527</v>
      </c>
      <c r="EC178" s="21">
        <f>EXP(-LN(2)/2)*EC177+(1-EXP(-LN(2)/2))/(LN(2)/2)*DW178*DZ178*VLOOKUP('Données projet'!$B$14,Paramètres!$A$1:$I$89,3,0)*0.475*44/12</f>
        <v>2.3914921871298003E-21</v>
      </c>
      <c r="ED178" s="22">
        <f t="shared" si="178"/>
        <v>0.54341208856549039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6.2527760746888816E-13</v>
      </c>
      <c r="EK178" s="17">
        <f>EJ178*VLOOKUP('Données projet'!$B$15,Paramètres!$A$1:$I$89,3,0)*VLOOKUP('Données projet'!$B$15,Paramètres!$A$1:$I$89,5,0)</f>
        <v>3.9017322706058616E-13</v>
      </c>
      <c r="EL178" s="13">
        <f t="shared" si="179"/>
        <v>5.0025007393608908E-12</v>
      </c>
      <c r="EM178" s="20">
        <f t="shared" si="180"/>
        <v>9.3922404915174053E-12</v>
      </c>
      <c r="EN178" s="59">
        <f t="shared" si="128"/>
        <v>293.33333333334269</v>
      </c>
      <c r="EO178" s="59">
        <f ca="1">AVERAGE(OFFSET($EN$3,0,0,'Données projet'!$E$15+1,1))-AVERAGE(OFFSET($H$3,0,0,'Données projet'!$E$15+1,1))</f>
        <v>209.93608079129638</v>
      </c>
      <c r="EP178" s="59">
        <f t="shared" si="154"/>
        <v>240.15652428700969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0.39361166845606171</v>
      </c>
      <c r="EW178" s="21">
        <f>EXP(-LN(2)/25)*EW177+(1-EXP(-LN(2)/25))/(LN(2)/25)*Calculateur!ER178*Calculateur!ET178*VLOOKUP('Données projet'!$B$15,Paramètres!$A$1:$I$89,3,0)*0.475*44/12</f>
        <v>0.37310994139610637</v>
      </c>
      <c r="EX178" s="21">
        <f>EXP(-LN(2)/2)*EX177+(1-EXP(-LN(2)/2))/(LN(2)/2)*ER178*EU178*VLOOKUP('Données projet'!$B$15,Paramètres!$A$1:$I$89,3,0)*0.475*44/12</f>
        <v>3.0232855946596653E-21</v>
      </c>
      <c r="EY178" s="22">
        <f t="shared" si="181"/>
        <v>0.76672160985216808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5.6843418860808015E-14</v>
      </c>
      <c r="O179" s="13">
        <f>N179*VLOOKUP('Données projet'!$B$9,Paramètres!$A$1:$I$89,3,0)*VLOOKUP('Données projet'!$B$9,Paramètres!$A$1:$I$89,5,0)</f>
        <v>4.5224624045658861E-14</v>
      </c>
      <c r="P179" s="13">
        <f t="shared" si="141"/>
        <v>7.4514601661523691E-13</v>
      </c>
      <c r="Q179" s="20">
        <f t="shared" si="162"/>
        <v>1.3765621991510601E-12</v>
      </c>
      <c r="R179" s="59">
        <f t="shared" si="109"/>
        <v>293.33333333333468</v>
      </c>
      <c r="S179" s="59">
        <f ca="1">AVERAGE(OFFSET($R$3,0,0,'Données projet'!$E$9+1,1))-AVERAGE(OFFSET($H$3,0,0,'Données projet'!$E$9+1,1))</f>
        <v>199.58763537752952</v>
      </c>
      <c r="T179" s="59">
        <f t="shared" si="142"/>
        <v>242.62852778451929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</v>
      </c>
      <c r="AA179" s="21">
        <f>EXP(-LN(2)/25)*AA178+(1-EXP(-LN(2)/25))/(LN(2)/25)*Calculateur!V179*Calculateur!X179*VLOOKUP('Données projet'!$B$9,Paramètres!$A$1:$I$89,3,0)*0.475*44/12</f>
        <v>0.17951620859958001</v>
      </c>
      <c r="AB179" s="21">
        <f>EXP(-LN(2)/2)*AB178+(1-EXP(-LN(2)/2))/(LN(2)/2)*V179*Y179*VLOOKUP('Données projet'!$B$9,Paramètres!$A$1:$I$89,3,0)*0.475*44/12</f>
        <v>1.139424315357322E-21</v>
      </c>
      <c r="AC179" s="22">
        <f t="shared" si="163"/>
        <v>0.17951620859958001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566</v>
      </c>
      <c r="AJ179" s="13">
        <f>AI179*VLOOKUP('Données projet'!$B$10,Paramètres!$A$1:$I$89,3,0)*VLOOKUP('Données projet'!$B$10,Paramètres!$A$1:$I$89,5,0)</f>
        <v>338.46800000000002</v>
      </c>
      <c r="AK179" s="13">
        <f t="shared" si="164"/>
        <v>79.183342377469998</v>
      </c>
      <c r="AL179" s="20">
        <f t="shared" si="165"/>
        <v>727.4094213074269</v>
      </c>
      <c r="AM179" s="59">
        <f t="shared" si="113"/>
        <v>1020.7427546407603</v>
      </c>
      <c r="AN179" s="59">
        <f ca="1">AVERAGE(OFFSET($AM$3,0,0,'Données projet'!$E$10+1,1))-AVERAGE(OFFSET($H$3,0,0,'Données projet'!$E$10+1,1))</f>
        <v>287.78657453117694</v>
      </c>
      <c r="AO179" s="59">
        <f t="shared" si="144"/>
        <v>153.31562485362252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0.16245413939516898</v>
      </c>
      <c r="AV179" s="21">
        <f>EXP(-LN(2)/25)*AV178+(1-EXP(-LN(2)/25))/(LN(2)/25)*Calculateur!AQ179*Calculateur!AS179*VLOOKUP('Données projet'!$B$10,Paramètres!$A$1:$I$89,3,0)*0.475*44/12</f>
        <v>0.10180224828559691</v>
      </c>
      <c r="AW179" s="21">
        <f>EXP(-LN(2)/2)*AW178+(1-EXP(-LN(2)/2))/(LN(2)/2)*AQ179*AT179*VLOOKUP('Données projet'!$B$10,Paramètres!$A$1:$I$89,3,0)*0.475*44/12</f>
        <v>1.1756847576931483E-21</v>
      </c>
      <c r="AX179" s="21">
        <f t="shared" si="166"/>
        <v>0.26425638768076587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-6.7984728957526396E-14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250.93905519128998</v>
      </c>
      <c r="BJ179" s="59">
        <f t="shared" si="146"/>
        <v>222.32879462265032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7.1098183247226776E-2</v>
      </c>
      <c r="BQ179" s="21">
        <f>EXP(-LN(2)/25)*BQ178+(1-EXP(-LN(2)/25))/(LN(2)/25)*Calculateur!BL179*Calculateur!BN179*VLOOKUP('Données projet'!$B$11,Paramètres!$A$1:$I$89,3,0)*0.475*44/12</f>
        <v>0.20206658228619251</v>
      </c>
      <c r="BR179" s="21">
        <f>EXP(-LN(2)/2)*BR178+(1-EXP(-LN(2)/2))/(LN(2)/2)*BL179*BO179*VLOOKUP('Données projet'!$B$11,Paramètres!$A$1:$I$89,3,0)*0.475*44/12</f>
        <v>1.9983397706350474E-22</v>
      </c>
      <c r="BS179" s="22">
        <f t="shared" si="169"/>
        <v>0.27316476553341928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-2.8421709430404007E-13</v>
      </c>
      <c r="BZ179" s="13">
        <f>BY179*VLOOKUP('Données projet'!$B$12,Paramètres!$A$1:$I$89,3,0)*VLOOKUP('Données projet'!$B$12,Paramètres!$A$1:$I$89,5,0)</f>
        <v>-1.69961822393816E-13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179.32848817523677</v>
      </c>
      <c r="CE179" s="59">
        <f t="shared" si="148"/>
        <v>131.3292389103035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0.23009269021163889</v>
      </c>
      <c r="CM179" s="21">
        <f>EXP(-LN(2)/2)*CM178+(1-EXP(-LN(2)/2))/(LN(2)/2)*CG179*CJ179*VLOOKUP('Données projet'!$B$12,Paramètres!$A$1:$I$89,3,0)*0.475*44/12</f>
        <v>5.5722796995282621E-22</v>
      </c>
      <c r="CN179" s="22">
        <f t="shared" si="172"/>
        <v>0.23009269021163889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-7.3896444519050419E-13</v>
      </c>
      <c r="CU179" s="17">
        <f>CT179*VLOOKUP('Données projet'!$B$13,Paramètres!$A$1:$I$89,3,0)*VLOOKUP('Données projet'!$B$13,Paramètres!$A$1:$I$89,5,0)</f>
        <v>-6.6861503000836817E-13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309.07357540707869</v>
      </c>
      <c r="CZ179" s="59">
        <f t="shared" si="150"/>
        <v>155.9593924683299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227.99999999999986</v>
      </c>
      <c r="DP179" s="17">
        <f>DO179*VLOOKUP('Données projet'!$B$14,Paramètres!$A$1:$I$89,3,0)*VLOOKUP('Données projet'!$B$14,Paramètres!$A$1:$I$89,5,0)</f>
        <v>199.18079999999992</v>
      </c>
      <c r="DQ179" s="13">
        <f t="shared" si="176"/>
        <v>49.564089376413683</v>
      </c>
      <c r="DR179" s="20">
        <f t="shared" si="177"/>
        <v>433.23068233058694</v>
      </c>
      <c r="DS179" s="59">
        <f t="shared" si="125"/>
        <v>726.56401566392026</v>
      </c>
      <c r="DT179" s="59">
        <f ca="1">AVERAGE(OFFSET($DS$3,0,0,'Données projet'!$E$14+1,1))-AVERAGE(OFFSET($H$3,0,0,'Données projet'!$E$14+1,1))</f>
        <v>210.07838338464626</v>
      </c>
      <c r="DU179" s="59">
        <f t="shared" si="152"/>
        <v>241.76003724236273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0.29414982516708899</v>
      </c>
      <c r="EB179" s="21">
        <f>EXP(-LN(2)/25)*EB178+(1-EXP(-LN(2)/25))/(LN(2)/25)*Calculateur!DW179*Calculateur!DY179*VLOOKUP('Données projet'!$B$14,Paramètres!$A$1:$I$89,3,0)*0.475*44/12</f>
        <v>0.2367235875775382</v>
      </c>
      <c r="EC179" s="21">
        <f>EXP(-LN(2)/2)*EC178+(1-EXP(-LN(2)/2))/(LN(2)/2)*DW179*DZ179*VLOOKUP('Données projet'!$B$14,Paramètres!$A$1:$I$89,3,0)*0.475*44/12</f>
        <v>1.6910403426741299E-21</v>
      </c>
      <c r="ED179" s="22">
        <f t="shared" si="178"/>
        <v>0.53087341274462718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6.2527760746888816E-13</v>
      </c>
      <c r="EK179" s="17">
        <f>EJ179*VLOOKUP('Données projet'!$B$15,Paramètres!$A$1:$I$89,3,0)*VLOOKUP('Données projet'!$B$15,Paramètres!$A$1:$I$89,5,0)</f>
        <v>3.9017322706058616E-13</v>
      </c>
      <c r="EL179" s="13">
        <f t="shared" si="179"/>
        <v>5.0025007393608908E-12</v>
      </c>
      <c r="EM179" s="20">
        <f t="shared" si="180"/>
        <v>9.3922404915174053E-12</v>
      </c>
      <c r="EN179" s="59">
        <f t="shared" si="128"/>
        <v>293.33333333334269</v>
      </c>
      <c r="EO179" s="59">
        <f ca="1">AVERAGE(OFFSET($EN$3,0,0,'Données projet'!$E$15+1,1))-AVERAGE(OFFSET($H$3,0,0,'Données projet'!$E$15+1,1))</f>
        <v>209.93608079129638</v>
      </c>
      <c r="EP179" s="59">
        <f t="shared" si="154"/>
        <v>240.15652428700969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0.38589318371705023</v>
      </c>
      <c r="EW179" s="21">
        <f>EXP(-LN(2)/25)*EW178+(1-EXP(-LN(2)/25))/(LN(2)/25)*Calculateur!ER179*Calculateur!ET179*VLOOKUP('Données projet'!$B$15,Paramètres!$A$1:$I$89,3,0)*0.475*44/12</f>
        <v>0.36290723042763079</v>
      </c>
      <c r="EX179" s="21">
        <f>EXP(-LN(2)/2)*EX178+(1-EXP(-LN(2)/2))/(LN(2)/2)*ER179*EU179*VLOOKUP('Données projet'!$B$15,Paramètres!$A$1:$I$89,3,0)*0.475*44/12</f>
        <v>2.1377857454474532E-21</v>
      </c>
      <c r="EY179" s="22">
        <f t="shared" si="181"/>
        <v>0.74880041414468101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5.6843418860808015E-14</v>
      </c>
      <c r="O180" s="13">
        <f>N180*VLOOKUP('Données projet'!$B$9,Paramètres!$A$1:$I$89,3,0)*VLOOKUP('Données projet'!$B$9,Paramètres!$A$1:$I$89,5,0)</f>
        <v>4.5224624045658861E-14</v>
      </c>
      <c r="P180" s="13">
        <f t="shared" si="141"/>
        <v>7.4514601661523691E-13</v>
      </c>
      <c r="Q180" s="20">
        <f t="shared" si="162"/>
        <v>1.3765621991510601E-12</v>
      </c>
      <c r="R180" s="59">
        <f t="shared" si="109"/>
        <v>293.33333333333468</v>
      </c>
      <c r="S180" s="59">
        <f ca="1">AVERAGE(OFFSET($R$3,0,0,'Données projet'!$E$9+1,1))-AVERAGE(OFFSET($H$3,0,0,'Données projet'!$E$9+1,1))</f>
        <v>199.58763537752952</v>
      </c>
      <c r="T180" s="59">
        <f t="shared" si="142"/>
        <v>242.62852778451929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</v>
      </c>
      <c r="AA180" s="21">
        <f>EXP(-LN(2)/25)*AA179+(1-EXP(-LN(2)/25))/(LN(2)/25)*Calculateur!V180*Calculateur!X180*VLOOKUP('Données projet'!$B$9,Paramètres!$A$1:$I$89,3,0)*0.475*44/12</f>
        <v>0.17460732843507737</v>
      </c>
      <c r="AB180" s="21">
        <f>EXP(-LN(2)/2)*AB179+(1-EXP(-LN(2)/2))/(LN(2)/2)*V180*Y180*VLOOKUP('Données projet'!$B$9,Paramètres!$A$1:$I$89,3,0)*0.475*44/12</f>
        <v>8.0569466003800159E-22</v>
      </c>
      <c r="AC180" s="22">
        <f t="shared" si="163"/>
        <v>0.17460732843507737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566</v>
      </c>
      <c r="AJ180" s="13">
        <f>AI180*VLOOKUP('Données projet'!$B$10,Paramètres!$A$1:$I$89,3,0)*VLOOKUP('Données projet'!$B$10,Paramètres!$A$1:$I$89,5,0)</f>
        <v>338.46800000000002</v>
      </c>
      <c r="AK180" s="13">
        <f t="shared" si="164"/>
        <v>79.183342377469998</v>
      </c>
      <c r="AL180" s="20">
        <f t="shared" si="165"/>
        <v>727.4094213074269</v>
      </c>
      <c r="AM180" s="59">
        <f t="shared" si="113"/>
        <v>1020.7427546407603</v>
      </c>
      <c r="AN180" s="59">
        <f ca="1">AVERAGE(OFFSET($AM$3,0,0,'Données projet'!$E$10+1,1))-AVERAGE(OFFSET($H$3,0,0,'Données projet'!$E$10+1,1))</f>
        <v>287.78657453117694</v>
      </c>
      <c r="AO180" s="59">
        <f t="shared" si="144"/>
        <v>153.31562485362252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0.15926851280887069</v>
      </c>
      <c r="AV180" s="21">
        <f>EXP(-LN(2)/25)*AV179+(1-EXP(-LN(2)/25))/(LN(2)/25)*Calculateur!AQ180*Calculateur!AS180*VLOOKUP('Données projet'!$B$10,Paramètres!$A$1:$I$89,3,0)*0.475*44/12</f>
        <v>9.9018460452679688E-2</v>
      </c>
      <c r="AW180" s="21">
        <f>EXP(-LN(2)/2)*AW179+(1-EXP(-LN(2)/2))/(LN(2)/2)*AQ180*AT180*VLOOKUP('Données projet'!$B$10,Paramètres!$A$1:$I$89,3,0)*0.475*44/12</f>
        <v>8.3133466470248825E-22</v>
      </c>
      <c r="AX180" s="21">
        <f t="shared" si="166"/>
        <v>0.25828697326155037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-6.7984728957526396E-14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250.93905519128998</v>
      </c>
      <c r="BJ180" s="59">
        <f t="shared" si="146"/>
        <v>222.32879462265032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6.9703991239358443E-2</v>
      </c>
      <c r="BQ180" s="21">
        <f>EXP(-LN(2)/25)*BQ179+(1-EXP(-LN(2)/25))/(LN(2)/25)*Calculateur!BL180*Calculateur!BN180*VLOOKUP('Données projet'!$B$11,Paramètres!$A$1:$I$89,3,0)*0.475*44/12</f>
        <v>0.19654106096735685</v>
      </c>
      <c r="BR180" s="21">
        <f>EXP(-LN(2)/2)*BR179+(1-EXP(-LN(2)/2))/(LN(2)/2)*BL180*BO180*VLOOKUP('Données projet'!$B$11,Paramètres!$A$1:$I$89,3,0)*0.475*44/12</f>
        <v>1.413039602930812E-22</v>
      </c>
      <c r="BS180" s="22">
        <f t="shared" si="169"/>
        <v>0.26624505220671529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-2.8421709430404007E-13</v>
      </c>
      <c r="BZ180" s="13">
        <f>BY180*VLOOKUP('Données projet'!$B$12,Paramètres!$A$1:$I$89,3,0)*VLOOKUP('Données projet'!$B$12,Paramètres!$A$1:$I$89,5,0)</f>
        <v>-1.69961822393816E-13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179.32848817523677</v>
      </c>
      <c r="CE180" s="59">
        <f t="shared" si="148"/>
        <v>131.3292389103035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0.22380079349775292</v>
      </c>
      <c r="CM180" s="21">
        <f>EXP(-LN(2)/2)*CM179+(1-EXP(-LN(2)/2))/(LN(2)/2)*CG180*CJ180*VLOOKUP('Données projet'!$B$12,Paramètres!$A$1:$I$89,3,0)*0.475*44/12</f>
        <v>3.9401967622045716E-22</v>
      </c>
      <c r="CN180" s="22">
        <f t="shared" si="172"/>
        <v>0.22380079349775292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-7.3896444519050419E-13</v>
      </c>
      <c r="CU180" s="17">
        <f>CT180*VLOOKUP('Données projet'!$B$13,Paramètres!$A$1:$I$89,3,0)*VLOOKUP('Données projet'!$B$13,Paramètres!$A$1:$I$89,5,0)</f>
        <v>-6.6861503000836817E-13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309.07357540707869</v>
      </c>
      <c r="CZ180" s="59">
        <f t="shared" si="150"/>
        <v>155.9593924683299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227.99999999999986</v>
      </c>
      <c r="DP180" s="17">
        <f>DO180*VLOOKUP('Données projet'!$B$14,Paramètres!$A$1:$I$89,3,0)*VLOOKUP('Données projet'!$B$14,Paramètres!$A$1:$I$89,5,0)</f>
        <v>199.18079999999992</v>
      </c>
      <c r="DQ180" s="13">
        <f t="shared" si="176"/>
        <v>49.564089376413683</v>
      </c>
      <c r="DR180" s="20">
        <f t="shared" si="177"/>
        <v>433.23068233058694</v>
      </c>
      <c r="DS180" s="59">
        <f t="shared" si="125"/>
        <v>726.56401566392026</v>
      </c>
      <c r="DT180" s="59">
        <f ca="1">AVERAGE(OFFSET($DS$3,0,0,'Données projet'!$E$14+1,1))-AVERAGE(OFFSET($H$3,0,0,'Données projet'!$E$14+1,1))</f>
        <v>210.07838338464626</v>
      </c>
      <c r="DU180" s="59">
        <f t="shared" si="152"/>
        <v>241.76003724236273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0.2883817265092401</v>
      </c>
      <c r="EB180" s="21">
        <f>EXP(-LN(2)/25)*EB179+(1-EXP(-LN(2)/25))/(LN(2)/25)*Calculateur!DW180*Calculateur!DY180*VLOOKUP('Données projet'!$B$14,Paramètres!$A$1:$I$89,3,0)*0.475*44/12</f>
        <v>0.23025036862647799</v>
      </c>
      <c r="EC180" s="21">
        <f>EXP(-LN(2)/2)*EC179+(1-EXP(-LN(2)/2))/(LN(2)/2)*DW180*DZ180*VLOOKUP('Données projet'!$B$14,Paramètres!$A$1:$I$89,3,0)*0.475*44/12</f>
        <v>1.1957460935649004E-21</v>
      </c>
      <c r="ED180" s="22">
        <f t="shared" si="178"/>
        <v>0.51863209513571806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6.2527760746888816E-13</v>
      </c>
      <c r="EK180" s="17">
        <f>EJ180*VLOOKUP('Données projet'!$B$15,Paramètres!$A$1:$I$89,3,0)*VLOOKUP('Données projet'!$B$15,Paramètres!$A$1:$I$89,5,0)</f>
        <v>3.9017322706058616E-13</v>
      </c>
      <c r="EL180" s="13">
        <f t="shared" si="179"/>
        <v>5.0025007393608908E-12</v>
      </c>
      <c r="EM180" s="20">
        <f t="shared" si="180"/>
        <v>9.3922404915174053E-12</v>
      </c>
      <c r="EN180" s="59">
        <f t="shared" si="128"/>
        <v>293.33333333334269</v>
      </c>
      <c r="EO180" s="59">
        <f ca="1">AVERAGE(OFFSET($EN$3,0,0,'Données projet'!$E$15+1,1))-AVERAGE(OFFSET($H$3,0,0,'Données projet'!$E$15+1,1))</f>
        <v>209.93608079129638</v>
      </c>
      <c r="EP180" s="59">
        <f t="shared" si="154"/>
        <v>240.15652428700969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0.3783260537559599</v>
      </c>
      <c r="EW180" s="21">
        <f>EXP(-LN(2)/25)*EW179+(1-EXP(-LN(2)/25))/(LN(2)/25)*Calculateur!ER180*Calculateur!ET180*VLOOKUP('Données projet'!$B$15,Paramètres!$A$1:$I$89,3,0)*0.475*44/12</f>
        <v>0.35298351312712539</v>
      </c>
      <c r="EX180" s="21">
        <f>EXP(-LN(2)/2)*EX179+(1-EXP(-LN(2)/2))/(LN(2)/2)*ER180*EU180*VLOOKUP('Données projet'!$B$15,Paramètres!$A$1:$I$89,3,0)*0.475*44/12</f>
        <v>1.5116427973298327E-21</v>
      </c>
      <c r="EY180" s="22">
        <f t="shared" si="181"/>
        <v>0.73130956688308535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5.6843418860808015E-14</v>
      </c>
      <c r="O181" s="13">
        <f>N181*VLOOKUP('Données projet'!$B$9,Paramètres!$A$1:$I$89,3,0)*VLOOKUP('Données projet'!$B$9,Paramètres!$A$1:$I$89,5,0)</f>
        <v>4.5224624045658861E-14</v>
      </c>
      <c r="P181" s="13">
        <f t="shared" si="141"/>
        <v>7.4514601661523691E-13</v>
      </c>
      <c r="Q181" s="20">
        <f t="shared" si="162"/>
        <v>1.3765621991510601E-12</v>
      </c>
      <c r="R181" s="59">
        <f t="shared" si="109"/>
        <v>293.33333333333468</v>
      </c>
      <c r="S181" s="59">
        <f ca="1">AVERAGE(OFFSET($R$3,0,0,'Données projet'!$E$9+1,1))-AVERAGE(OFFSET($H$3,0,0,'Données projet'!$E$9+1,1))</f>
        <v>199.58763537752952</v>
      </c>
      <c r="T181" s="59">
        <f t="shared" si="142"/>
        <v>242.62852778451929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</v>
      </c>
      <c r="AA181" s="21">
        <f>EXP(-LN(2)/25)*AA180+(1-EXP(-LN(2)/25))/(LN(2)/25)*Calculateur!V181*Calculateur!X181*VLOOKUP('Données projet'!$B$9,Paramètres!$A$1:$I$89,3,0)*0.475*44/12</f>
        <v>0.16983268185681985</v>
      </c>
      <c r="AB181" s="21">
        <f>EXP(-LN(2)/2)*AB180+(1-EXP(-LN(2)/2))/(LN(2)/2)*V181*Y181*VLOOKUP('Données projet'!$B$9,Paramètres!$A$1:$I$89,3,0)*0.475*44/12</f>
        <v>5.6971215767866098E-22</v>
      </c>
      <c r="AC181" s="22">
        <f t="shared" si="163"/>
        <v>0.16983268185681985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566</v>
      </c>
      <c r="AJ181" s="13">
        <f>AI181*VLOOKUP('Données projet'!$B$10,Paramètres!$A$1:$I$89,3,0)*VLOOKUP('Données projet'!$B$10,Paramètres!$A$1:$I$89,5,0)</f>
        <v>338.46800000000002</v>
      </c>
      <c r="AK181" s="13">
        <f t="shared" si="164"/>
        <v>79.183342377469998</v>
      </c>
      <c r="AL181" s="20">
        <f t="shared" si="165"/>
        <v>727.4094213074269</v>
      </c>
      <c r="AM181" s="59">
        <f t="shared" si="113"/>
        <v>1020.7427546407603</v>
      </c>
      <c r="AN181" s="59">
        <f ca="1">AVERAGE(OFFSET($AM$3,0,0,'Données projet'!$E$10+1,1))-AVERAGE(OFFSET($H$3,0,0,'Données projet'!$E$10+1,1))</f>
        <v>287.78657453117694</v>
      </c>
      <c r="AO181" s="59">
        <f t="shared" si="144"/>
        <v>153.31562485362252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0.15614535441688937</v>
      </c>
      <c r="AV181" s="21">
        <f>EXP(-LN(2)/25)*AV180+(1-EXP(-LN(2)/25))/(LN(2)/25)*Calculateur!AQ181*Calculateur!AS181*VLOOKUP('Données projet'!$B$10,Paramètres!$A$1:$I$89,3,0)*0.475*44/12</f>
        <v>9.6310795444446637E-2</v>
      </c>
      <c r="AW181" s="21">
        <f>EXP(-LN(2)/2)*AW180+(1-EXP(-LN(2)/2))/(LN(2)/2)*AQ181*AT181*VLOOKUP('Données projet'!$B$10,Paramètres!$A$1:$I$89,3,0)*0.475*44/12</f>
        <v>5.8784237884657426E-22</v>
      </c>
      <c r="AX181" s="21">
        <f t="shared" si="166"/>
        <v>0.25245614986133602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-6.7984728957526396E-14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250.93905519128998</v>
      </c>
      <c r="BJ181" s="59">
        <f t="shared" si="146"/>
        <v>222.32879462265032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6.8337138486391252E-2</v>
      </c>
      <c r="BQ181" s="21">
        <f>EXP(-LN(2)/25)*BQ180+(1-EXP(-LN(2)/25))/(LN(2)/25)*Calculateur!BL181*Calculateur!BN181*VLOOKUP('Données projet'!$B$11,Paramètres!$A$1:$I$89,3,0)*0.475*44/12</f>
        <v>0.19116663531955927</v>
      </c>
      <c r="BR181" s="21">
        <f>EXP(-LN(2)/2)*BR180+(1-EXP(-LN(2)/2))/(LN(2)/2)*BL181*BO181*VLOOKUP('Données projet'!$B$11,Paramètres!$A$1:$I$89,3,0)*0.475*44/12</f>
        <v>9.9916988531752369E-23</v>
      </c>
      <c r="BS181" s="22">
        <f t="shared" si="169"/>
        <v>0.25950377380595052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-2.8421709430404007E-13</v>
      </c>
      <c r="BZ181" s="13">
        <f>BY181*VLOOKUP('Données projet'!$B$12,Paramètres!$A$1:$I$89,3,0)*VLOOKUP('Données projet'!$B$12,Paramètres!$A$1:$I$89,5,0)</f>
        <v>-1.69961822393816E-13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179.32848817523677</v>
      </c>
      <c r="CE181" s="59">
        <f t="shared" si="148"/>
        <v>131.3292389103035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0.21768094903038465</v>
      </c>
      <c r="CM181" s="21">
        <f>EXP(-LN(2)/2)*CM180+(1-EXP(-LN(2)/2))/(LN(2)/2)*CG181*CJ181*VLOOKUP('Données projet'!$B$12,Paramètres!$A$1:$I$89,3,0)*0.475*44/12</f>
        <v>2.786139849764131E-22</v>
      </c>
      <c r="CN181" s="22">
        <f t="shared" si="172"/>
        <v>0.21768094903038465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-7.3896444519050419E-13</v>
      </c>
      <c r="CU181" s="17">
        <f>CT181*VLOOKUP('Données projet'!$B$13,Paramètres!$A$1:$I$89,3,0)*VLOOKUP('Données projet'!$B$13,Paramètres!$A$1:$I$89,5,0)</f>
        <v>-6.6861503000836817E-13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309.07357540707869</v>
      </c>
      <c r="CZ181" s="59">
        <f t="shared" si="150"/>
        <v>155.9593924683299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227.99999999999986</v>
      </c>
      <c r="DP181" s="17">
        <f>DO181*VLOOKUP('Données projet'!$B$14,Paramètres!$A$1:$I$89,3,0)*VLOOKUP('Données projet'!$B$14,Paramètres!$A$1:$I$89,5,0)</f>
        <v>199.18079999999992</v>
      </c>
      <c r="DQ181" s="13">
        <f t="shared" si="176"/>
        <v>49.564089376413683</v>
      </c>
      <c r="DR181" s="20">
        <f t="shared" si="177"/>
        <v>433.23068233058694</v>
      </c>
      <c r="DS181" s="59">
        <f t="shared" si="125"/>
        <v>726.56401566392026</v>
      </c>
      <c r="DT181" s="59">
        <f ca="1">AVERAGE(OFFSET($DS$3,0,0,'Données projet'!$E$14+1,1))-AVERAGE(OFFSET($H$3,0,0,'Données projet'!$E$14+1,1))</f>
        <v>210.07838338464626</v>
      </c>
      <c r="DU181" s="59">
        <f t="shared" si="152"/>
        <v>241.76003724236273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0.28272673674787885</v>
      </c>
      <c r="EB181" s="21">
        <f>EXP(-LN(2)/25)*EB180+(1-EXP(-LN(2)/25))/(LN(2)/25)*Calculateur!DW181*Calculateur!DY181*VLOOKUP('Données projet'!$B$14,Paramètres!$A$1:$I$89,3,0)*0.475*44/12</f>
        <v>0.22395416018804631</v>
      </c>
      <c r="EC181" s="21">
        <f>EXP(-LN(2)/2)*EC180+(1-EXP(-LN(2)/2))/(LN(2)/2)*DW181*DZ181*VLOOKUP('Données projet'!$B$14,Paramètres!$A$1:$I$89,3,0)*0.475*44/12</f>
        <v>8.4552017133706503E-22</v>
      </c>
      <c r="ED181" s="22">
        <f t="shared" si="178"/>
        <v>0.50668089693592511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6.2527760746888816E-13</v>
      </c>
      <c r="EK181" s="17">
        <f>EJ181*VLOOKUP('Données projet'!$B$15,Paramètres!$A$1:$I$89,3,0)*VLOOKUP('Données projet'!$B$15,Paramètres!$A$1:$I$89,5,0)</f>
        <v>3.9017322706058616E-13</v>
      </c>
      <c r="EL181" s="13">
        <f t="shared" si="179"/>
        <v>5.0025007393608908E-12</v>
      </c>
      <c r="EM181" s="20">
        <f t="shared" si="180"/>
        <v>9.3922404915174053E-12</v>
      </c>
      <c r="EN181" s="59">
        <f t="shared" si="128"/>
        <v>293.33333333334269</v>
      </c>
      <c r="EO181" s="59">
        <f ca="1">AVERAGE(OFFSET($EN$3,0,0,'Données projet'!$E$15+1,1))-AVERAGE(OFFSET($H$3,0,0,'Données projet'!$E$15+1,1))</f>
        <v>209.93608079129638</v>
      </c>
      <c r="EP181" s="59">
        <f t="shared" si="154"/>
        <v>240.15652428700969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0.37090731059791304</v>
      </c>
      <c r="EW181" s="21">
        <f>EXP(-LN(2)/25)*EW180+(1-EXP(-LN(2)/25))/(LN(2)/25)*Calculateur!ER181*Calculateur!ET181*VLOOKUP('Données projet'!$B$15,Paramètres!$A$1:$I$89,3,0)*0.475*44/12</f>
        <v>0.34333116039806794</v>
      </c>
      <c r="EX181" s="21">
        <f>EXP(-LN(2)/2)*EX180+(1-EXP(-LN(2)/2))/(LN(2)/2)*ER181*EU181*VLOOKUP('Données projet'!$B$15,Paramètres!$A$1:$I$89,3,0)*0.475*44/12</f>
        <v>1.0688928727237266E-21</v>
      </c>
      <c r="EY181" s="22">
        <f t="shared" si="181"/>
        <v>0.71423847099598103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5.6843418860808015E-14</v>
      </c>
      <c r="O182" s="13">
        <f>N182*VLOOKUP('Données projet'!$B$9,Paramètres!$A$1:$I$89,3,0)*VLOOKUP('Données projet'!$B$9,Paramètres!$A$1:$I$89,5,0)</f>
        <v>4.5224624045658861E-14</v>
      </c>
      <c r="P182" s="13">
        <f t="shared" si="141"/>
        <v>7.4514601661523691E-13</v>
      </c>
      <c r="Q182" s="20">
        <f t="shared" si="162"/>
        <v>1.3765621991510601E-12</v>
      </c>
      <c r="R182" s="59">
        <f t="shared" si="109"/>
        <v>293.33333333333468</v>
      </c>
      <c r="S182" s="59">
        <f ca="1">AVERAGE(OFFSET($R$3,0,0,'Données projet'!$E$9+1,1))-AVERAGE(OFFSET($H$3,0,0,'Données projet'!$E$9+1,1))</f>
        <v>199.58763537752952</v>
      </c>
      <c r="T182" s="59">
        <f t="shared" si="142"/>
        <v>242.62852778451929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</v>
      </c>
      <c r="AA182" s="21">
        <f>EXP(-LN(2)/25)*AA181+(1-EXP(-LN(2)/25))/(LN(2)/25)*Calculateur!V182*Calculateur!X182*VLOOKUP('Données projet'!$B$9,Paramètres!$A$1:$I$89,3,0)*0.475*44/12</f>
        <v>0.16518859824033252</v>
      </c>
      <c r="AB182" s="21">
        <f>EXP(-LN(2)/2)*AB181+(1-EXP(-LN(2)/2))/(LN(2)/2)*V182*Y182*VLOOKUP('Données projet'!$B$9,Paramètres!$A$1:$I$89,3,0)*0.475*44/12</f>
        <v>4.0284733001900079E-22</v>
      </c>
      <c r="AC182" s="22">
        <f t="shared" si="163"/>
        <v>0.16518859824033252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566</v>
      </c>
      <c r="AJ182" s="13">
        <f>AI182*VLOOKUP('Données projet'!$B$10,Paramètres!$A$1:$I$89,3,0)*VLOOKUP('Données projet'!$B$10,Paramètres!$A$1:$I$89,5,0)</f>
        <v>338.46800000000002</v>
      </c>
      <c r="AK182" s="13">
        <f t="shared" si="164"/>
        <v>79.183342377469998</v>
      </c>
      <c r="AL182" s="20">
        <f t="shared" si="165"/>
        <v>727.4094213074269</v>
      </c>
      <c r="AM182" s="59">
        <f t="shared" si="113"/>
        <v>1020.7427546407603</v>
      </c>
      <c r="AN182" s="59">
        <f ca="1">AVERAGE(OFFSET($AM$3,0,0,'Données projet'!$E$10+1,1))-AVERAGE(OFFSET($H$3,0,0,'Données projet'!$E$10+1,1))</f>
        <v>287.78657453117694</v>
      </c>
      <c r="AO182" s="59">
        <f t="shared" si="144"/>
        <v>153.31562485362252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0.15308343925603626</v>
      </c>
      <c r="AV182" s="21">
        <f>EXP(-LN(2)/25)*AV181+(1-EXP(-LN(2)/25))/(LN(2)/25)*Calculateur!AQ182*Calculateur!AS182*VLOOKUP('Données projet'!$B$10,Paramètres!$A$1:$I$89,3,0)*0.475*44/12</f>
        <v>9.3677171678253637E-2</v>
      </c>
      <c r="AW182" s="21">
        <f>EXP(-LN(2)/2)*AW181+(1-EXP(-LN(2)/2))/(LN(2)/2)*AQ182*AT182*VLOOKUP('Données projet'!$B$10,Paramètres!$A$1:$I$89,3,0)*0.475*44/12</f>
        <v>4.1566733235124417E-22</v>
      </c>
      <c r="AX182" s="21">
        <f t="shared" si="166"/>
        <v>0.24676061093428991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-6.7984728957526396E-14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250.93905519128998</v>
      </c>
      <c r="BJ182" s="59">
        <f t="shared" si="146"/>
        <v>222.32879462265032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6.6997088882211883E-2</v>
      </c>
      <c r="BQ182" s="21">
        <f>EXP(-LN(2)/25)*BQ181+(1-EXP(-LN(2)/25))/(LN(2)/25)*Calculateur!BL182*Calculateur!BN182*VLOOKUP('Données projet'!$B$11,Paramètres!$A$1:$I$89,3,0)*0.475*44/12</f>
        <v>0.1859391736237295</v>
      </c>
      <c r="BR182" s="21">
        <f>EXP(-LN(2)/2)*BR181+(1-EXP(-LN(2)/2))/(LN(2)/2)*BL182*BO182*VLOOKUP('Données projet'!$B$11,Paramètres!$A$1:$I$89,3,0)*0.475*44/12</f>
        <v>7.06519801465406E-23</v>
      </c>
      <c r="BS182" s="22">
        <f t="shared" si="169"/>
        <v>0.25293626250594137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-2.8421709430404007E-13</v>
      </c>
      <c r="BZ182" s="13">
        <f>BY182*VLOOKUP('Données projet'!$B$12,Paramètres!$A$1:$I$89,3,0)*VLOOKUP('Données projet'!$B$12,Paramètres!$A$1:$I$89,5,0)</f>
        <v>-1.69961822393816E-13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179.32848817523677</v>
      </c>
      <c r="CE182" s="59">
        <f t="shared" si="148"/>
        <v>131.3292389103035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0.21172845203180518</v>
      </c>
      <c r="CM182" s="21">
        <f>EXP(-LN(2)/2)*CM181+(1-EXP(-LN(2)/2))/(LN(2)/2)*CG182*CJ182*VLOOKUP('Données projet'!$B$12,Paramètres!$A$1:$I$89,3,0)*0.475*44/12</f>
        <v>1.9700983811022858E-22</v>
      </c>
      <c r="CN182" s="22">
        <f t="shared" si="172"/>
        <v>0.21172845203180518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-7.3896444519050419E-13</v>
      </c>
      <c r="CU182" s="17">
        <f>CT182*VLOOKUP('Données projet'!$B$13,Paramètres!$A$1:$I$89,3,0)*VLOOKUP('Données projet'!$B$13,Paramètres!$A$1:$I$89,5,0)</f>
        <v>-6.6861503000836817E-13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309.07357540707869</v>
      </c>
      <c r="CZ182" s="59">
        <f t="shared" si="150"/>
        <v>155.9593924683299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227.99999999999986</v>
      </c>
      <c r="DP182" s="17">
        <f>DO182*VLOOKUP('Données projet'!$B$14,Paramètres!$A$1:$I$89,3,0)*VLOOKUP('Données projet'!$B$14,Paramètres!$A$1:$I$89,5,0)</f>
        <v>199.18079999999992</v>
      </c>
      <c r="DQ182" s="13">
        <f t="shared" si="176"/>
        <v>49.564089376413683</v>
      </c>
      <c r="DR182" s="20">
        <f t="shared" si="177"/>
        <v>433.23068233058694</v>
      </c>
      <c r="DS182" s="59">
        <f t="shared" si="125"/>
        <v>726.56401566392026</v>
      </c>
      <c r="DT182" s="59">
        <f ca="1">AVERAGE(OFFSET($DS$3,0,0,'Données projet'!$E$14+1,1))-AVERAGE(OFFSET($H$3,0,0,'Données projet'!$E$14+1,1))</f>
        <v>210.07838338464626</v>
      </c>
      <c r="DU182" s="59">
        <f t="shared" si="152"/>
        <v>241.76003724236273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0.27718263788653469</v>
      </c>
      <c r="EB182" s="21">
        <f>EXP(-LN(2)/25)*EB181+(1-EXP(-LN(2)/25))/(LN(2)/25)*Calculateur!DW182*Calculateur!DY182*VLOOKUP('Données projet'!$B$14,Paramètres!$A$1:$I$89,3,0)*0.475*44/12</f>
        <v>0.21783012190046674</v>
      </c>
      <c r="EC182" s="21">
        <f>EXP(-LN(2)/2)*EC181+(1-EXP(-LN(2)/2))/(LN(2)/2)*DW182*DZ182*VLOOKUP('Données projet'!$B$14,Paramètres!$A$1:$I$89,3,0)*0.475*44/12</f>
        <v>5.9787304678245028E-22</v>
      </c>
      <c r="ED182" s="22">
        <f t="shared" si="178"/>
        <v>0.49501275978700143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6.2527760746888816E-13</v>
      </c>
      <c r="EK182" s="17">
        <f>EJ182*VLOOKUP('Données projet'!$B$15,Paramètres!$A$1:$I$89,3,0)*VLOOKUP('Données projet'!$B$15,Paramètres!$A$1:$I$89,5,0)</f>
        <v>3.9017322706058616E-13</v>
      </c>
      <c r="EL182" s="13">
        <f t="shared" si="179"/>
        <v>5.0025007393608908E-12</v>
      </c>
      <c r="EM182" s="20">
        <f t="shared" si="180"/>
        <v>9.3922404915174053E-12</v>
      </c>
      <c r="EN182" s="59">
        <f t="shared" si="128"/>
        <v>293.33333333334269</v>
      </c>
      <c r="EO182" s="59">
        <f ca="1">AVERAGE(OFFSET($EN$3,0,0,'Données projet'!$E$15+1,1))-AVERAGE(OFFSET($H$3,0,0,'Données projet'!$E$15+1,1))</f>
        <v>209.93608079129638</v>
      </c>
      <c r="EP182" s="59">
        <f t="shared" si="154"/>
        <v>240.15652428700969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0.36363404446820896</v>
      </c>
      <c r="EW182" s="21">
        <f>EXP(-LN(2)/25)*EW181+(1-EXP(-LN(2)/25))/(LN(2)/25)*Calculateur!ER182*Calculateur!ET182*VLOOKUP('Données projet'!$B$15,Paramètres!$A$1:$I$89,3,0)*0.475*44/12</f>
        <v>0.33394275176198174</v>
      </c>
      <c r="EX182" s="21">
        <f>EXP(-LN(2)/2)*EX181+(1-EXP(-LN(2)/2))/(LN(2)/2)*ER182*EU182*VLOOKUP('Données projet'!$B$15,Paramètres!$A$1:$I$89,3,0)*0.475*44/12</f>
        <v>7.5582139866491633E-22</v>
      </c>
      <c r="EY182" s="22">
        <f t="shared" si="181"/>
        <v>0.69757679623019064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5.6843418860808015E-14</v>
      </c>
      <c r="O183" s="13">
        <f>N183*VLOOKUP('Données projet'!$B$9,Paramètres!$A$1:$I$89,3,0)*VLOOKUP('Données projet'!$B$9,Paramètres!$A$1:$I$89,5,0)</f>
        <v>4.5224624045658861E-14</v>
      </c>
      <c r="P183" s="13">
        <f t="shared" si="141"/>
        <v>7.4514601661523691E-13</v>
      </c>
      <c r="Q183" s="20">
        <f t="shared" si="162"/>
        <v>1.3765621991510601E-12</v>
      </c>
      <c r="R183" s="59">
        <f t="shared" si="109"/>
        <v>293.33333333333468</v>
      </c>
      <c r="S183" s="59">
        <f ca="1">AVERAGE(OFFSET($R$3,0,0,'Données projet'!$E$9+1,1))-AVERAGE(OFFSET($H$3,0,0,'Données projet'!$E$9+1,1))</f>
        <v>199.58763537752952</v>
      </c>
      <c r="T183" s="59">
        <f t="shared" si="142"/>
        <v>242.62852778451929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</v>
      </c>
      <c r="AA183" s="21">
        <f>EXP(-LN(2)/25)*AA182+(1-EXP(-LN(2)/25))/(LN(2)/25)*Calculateur!V183*Calculateur!X183*VLOOKUP('Données projet'!$B$9,Paramètres!$A$1:$I$89,3,0)*0.475*44/12</f>
        <v>0.16067150733455979</v>
      </c>
      <c r="AB183" s="21">
        <f>EXP(-LN(2)/2)*AB182+(1-EXP(-LN(2)/2))/(LN(2)/2)*V183*Y183*VLOOKUP('Données projet'!$B$9,Paramètres!$A$1:$I$89,3,0)*0.475*44/12</f>
        <v>2.8485607883933049E-22</v>
      </c>
      <c r="AC183" s="22">
        <f t="shared" si="163"/>
        <v>0.16067150733455979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566</v>
      </c>
      <c r="AJ183" s="13">
        <f>AI183*VLOOKUP('Données projet'!$B$10,Paramètres!$A$1:$I$89,3,0)*VLOOKUP('Données projet'!$B$10,Paramètres!$A$1:$I$89,5,0)</f>
        <v>338.46800000000002</v>
      </c>
      <c r="AK183" s="13">
        <f t="shared" si="164"/>
        <v>79.183342377469998</v>
      </c>
      <c r="AL183" s="20">
        <f t="shared" si="165"/>
        <v>727.4094213074269</v>
      </c>
      <c r="AM183" s="59">
        <f t="shared" si="113"/>
        <v>1020.7427546407603</v>
      </c>
      <c r="AN183" s="59">
        <f ca="1">AVERAGE(OFFSET($AM$3,0,0,'Données projet'!$E$10+1,1))-AVERAGE(OFFSET($H$3,0,0,'Données projet'!$E$10+1,1))</f>
        <v>287.78657453117694</v>
      </c>
      <c r="AO183" s="59">
        <f t="shared" si="144"/>
        <v>153.31562485362252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0.15008156638390366</v>
      </c>
      <c r="AV183" s="21">
        <f>EXP(-LN(2)/25)*AV182+(1-EXP(-LN(2)/25))/(LN(2)/25)*Calculateur!AQ183*Calculateur!AS183*VLOOKUP('Données projet'!$B$10,Paramètres!$A$1:$I$89,3,0)*0.475*44/12</f>
        <v>9.1115564492443429E-2</v>
      </c>
      <c r="AW183" s="21">
        <f>EXP(-LN(2)/2)*AW182+(1-EXP(-LN(2)/2))/(LN(2)/2)*AQ183*AT183*VLOOKUP('Données projet'!$B$10,Paramètres!$A$1:$I$89,3,0)*0.475*44/12</f>
        <v>2.9392118942328718E-22</v>
      </c>
      <c r="AX183" s="21">
        <f t="shared" si="166"/>
        <v>0.24119713087634709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-6.7984728957526396E-14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250.93905519128998</v>
      </c>
      <c r="BJ183" s="59">
        <f t="shared" si="146"/>
        <v>222.32879462265032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6.5683316833420921E-2</v>
      </c>
      <c r="BQ183" s="21">
        <f>EXP(-LN(2)/25)*BQ182+(1-EXP(-LN(2)/25))/(LN(2)/25)*Calculateur!BL183*Calculateur!BN183*VLOOKUP('Données projet'!$B$11,Paramètres!$A$1:$I$89,3,0)*0.475*44/12</f>
        <v>0.18085465714287244</v>
      </c>
      <c r="BR183" s="21">
        <f>EXP(-LN(2)/2)*BR182+(1-EXP(-LN(2)/2))/(LN(2)/2)*BL183*BO183*VLOOKUP('Données projet'!$B$11,Paramètres!$A$1:$I$89,3,0)*0.475*44/12</f>
        <v>4.9958494265876184E-23</v>
      </c>
      <c r="BS183" s="22">
        <f t="shared" si="169"/>
        <v>0.24653797397629335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-2.8421709430404007E-13</v>
      </c>
      <c r="BZ183" s="13">
        <f>BY183*VLOOKUP('Données projet'!$B$12,Paramètres!$A$1:$I$89,3,0)*VLOOKUP('Données projet'!$B$12,Paramètres!$A$1:$I$89,5,0)</f>
        <v>-1.69961822393816E-13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179.32848817523677</v>
      </c>
      <c r="CE183" s="59">
        <f t="shared" si="148"/>
        <v>131.3292389103035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0.20593872637668009</v>
      </c>
      <c r="CM183" s="21">
        <f>EXP(-LN(2)/2)*CM182+(1-EXP(-LN(2)/2))/(LN(2)/2)*CG183*CJ183*VLOOKUP('Données projet'!$B$12,Paramètres!$A$1:$I$89,3,0)*0.475*44/12</f>
        <v>1.3930699248820655E-22</v>
      </c>
      <c r="CN183" s="22">
        <f t="shared" si="172"/>
        <v>0.20593872637668009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-7.3896444519050419E-13</v>
      </c>
      <c r="CU183" s="17">
        <f>CT183*VLOOKUP('Données projet'!$B$13,Paramètres!$A$1:$I$89,3,0)*VLOOKUP('Données projet'!$B$13,Paramètres!$A$1:$I$89,5,0)</f>
        <v>-6.6861503000836817E-13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309.07357540707869</v>
      </c>
      <c r="CZ183" s="59">
        <f t="shared" si="150"/>
        <v>155.9593924683299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227.99999999999986</v>
      </c>
      <c r="DP183" s="17">
        <f>DO183*VLOOKUP('Données projet'!$B$14,Paramètres!$A$1:$I$89,3,0)*VLOOKUP('Données projet'!$B$14,Paramètres!$A$1:$I$89,5,0)</f>
        <v>199.18079999999992</v>
      </c>
      <c r="DQ183" s="13">
        <f t="shared" si="176"/>
        <v>49.564089376413683</v>
      </c>
      <c r="DR183" s="20">
        <f t="shared" si="177"/>
        <v>433.23068233058694</v>
      </c>
      <c r="DS183" s="59">
        <f t="shared" si="125"/>
        <v>726.56401566392026</v>
      </c>
      <c r="DT183" s="59">
        <f ca="1">AVERAGE(OFFSET($DS$3,0,0,'Données projet'!$E$14+1,1))-AVERAGE(OFFSET($H$3,0,0,'Données projet'!$E$14+1,1))</f>
        <v>210.07838338464626</v>
      </c>
      <c r="DU183" s="59">
        <f t="shared" si="152"/>
        <v>241.76003724236273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0.27174725542229511</v>
      </c>
      <c r="EB183" s="21">
        <f>EXP(-LN(2)/25)*EB182+(1-EXP(-LN(2)/25))/(LN(2)/25)*Calculateur!DW183*Calculateur!DY183*VLOOKUP('Données projet'!$B$14,Paramètres!$A$1:$I$89,3,0)*0.475*44/12</f>
        <v>0.21187354576191023</v>
      </c>
      <c r="EC183" s="21">
        <f>EXP(-LN(2)/2)*EC182+(1-EXP(-LN(2)/2))/(LN(2)/2)*DW183*DZ183*VLOOKUP('Données projet'!$B$14,Paramètres!$A$1:$I$89,3,0)*0.475*44/12</f>
        <v>4.2276008566853261E-22</v>
      </c>
      <c r="ED183" s="22">
        <f t="shared" si="178"/>
        <v>0.48362080118420536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6.2527760746888816E-13</v>
      </c>
      <c r="EK183" s="17">
        <f>EJ183*VLOOKUP('Données projet'!$B$15,Paramètres!$A$1:$I$89,3,0)*VLOOKUP('Données projet'!$B$15,Paramètres!$A$1:$I$89,5,0)</f>
        <v>3.9017322706058616E-13</v>
      </c>
      <c r="EL183" s="13">
        <f t="shared" si="179"/>
        <v>5.0025007393608908E-12</v>
      </c>
      <c r="EM183" s="20">
        <f t="shared" si="180"/>
        <v>9.3922404915174053E-12</v>
      </c>
      <c r="EN183" s="59">
        <f t="shared" si="128"/>
        <v>293.33333333334269</v>
      </c>
      <c r="EO183" s="59">
        <f ca="1">AVERAGE(OFFSET($EN$3,0,0,'Données projet'!$E$15+1,1))-AVERAGE(OFFSET($H$3,0,0,'Données projet'!$E$15+1,1))</f>
        <v>209.93608079129638</v>
      </c>
      <c r="EP183" s="59">
        <f t="shared" si="154"/>
        <v>240.15652428700969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0.35650340265105407</v>
      </c>
      <c r="EW183" s="21">
        <f>EXP(-LN(2)/25)*EW182+(1-EXP(-LN(2)/25))/(LN(2)/25)*Calculateur!ER183*Calculateur!ET183*VLOOKUP('Données projet'!$B$15,Paramètres!$A$1:$I$89,3,0)*0.475*44/12</f>
        <v>0.32481106965376427</v>
      </c>
      <c r="EX183" s="21">
        <f>EXP(-LN(2)/2)*EX182+(1-EXP(-LN(2)/2))/(LN(2)/2)*ER183*EU183*VLOOKUP('Données projet'!$B$15,Paramètres!$A$1:$I$89,3,0)*0.475*44/12</f>
        <v>5.3444643636186329E-22</v>
      </c>
      <c r="EY183" s="22">
        <f t="shared" si="181"/>
        <v>0.68131447230481834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5.6843418860808015E-14</v>
      </c>
      <c r="O184" s="13">
        <f>N184*VLOOKUP('Données projet'!$B$9,Paramètres!$A$1:$I$89,3,0)*VLOOKUP('Données projet'!$B$9,Paramètres!$A$1:$I$89,5,0)</f>
        <v>4.5224624045658861E-14</v>
      </c>
      <c r="P184" s="13">
        <f t="shared" si="141"/>
        <v>7.4514601661523691E-13</v>
      </c>
      <c r="Q184" s="20">
        <f t="shared" si="162"/>
        <v>1.3765621991510601E-12</v>
      </c>
      <c r="R184" s="59">
        <f t="shared" si="109"/>
        <v>293.33333333333468</v>
      </c>
      <c r="S184" s="59">
        <f ca="1">AVERAGE(OFFSET($R$3,0,0,'Données projet'!$E$9+1,1))-AVERAGE(OFFSET($H$3,0,0,'Données projet'!$E$9+1,1))</f>
        <v>199.58763537752952</v>
      </c>
      <c r="T184" s="59">
        <f t="shared" si="142"/>
        <v>242.62852778451929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</v>
      </c>
      <c r="AA184" s="21">
        <f>EXP(-LN(2)/25)*AA183+(1-EXP(-LN(2)/25))/(LN(2)/25)*Calculateur!V184*Calculateur!X184*VLOOKUP('Données projet'!$B$9,Paramètres!$A$1:$I$89,3,0)*0.475*44/12</f>
        <v>0.15627793651714889</v>
      </c>
      <c r="AB184" s="21">
        <f>EXP(-LN(2)/2)*AB183+(1-EXP(-LN(2)/2))/(LN(2)/2)*V184*Y184*VLOOKUP('Données projet'!$B$9,Paramètres!$A$1:$I$89,3,0)*0.475*44/12</f>
        <v>2.014236650095004E-22</v>
      </c>
      <c r="AC184" s="22">
        <f t="shared" si="163"/>
        <v>0.15627793651714889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566</v>
      </c>
      <c r="AJ184" s="13">
        <f>AI184*VLOOKUP('Données projet'!$B$10,Paramètres!$A$1:$I$89,3,0)*VLOOKUP('Données projet'!$B$10,Paramètres!$A$1:$I$89,5,0)</f>
        <v>338.46800000000002</v>
      </c>
      <c r="AK184" s="13">
        <f t="shared" si="164"/>
        <v>79.183342377469998</v>
      </c>
      <c r="AL184" s="20">
        <f t="shared" si="165"/>
        <v>727.4094213074269</v>
      </c>
      <c r="AM184" s="59">
        <f t="shared" si="113"/>
        <v>1020.7427546407603</v>
      </c>
      <c r="AN184" s="59">
        <f ca="1">AVERAGE(OFFSET($AM$3,0,0,'Données projet'!$E$10+1,1))-AVERAGE(OFFSET($H$3,0,0,'Données projet'!$E$10+1,1))</f>
        <v>287.78657453117694</v>
      </c>
      <c r="AO184" s="59">
        <f t="shared" si="144"/>
        <v>153.31562485362252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0.14713855840783191</v>
      </c>
      <c r="AV184" s="21">
        <f>EXP(-LN(2)/25)*AV183+(1-EXP(-LN(2)/25))/(LN(2)/25)*Calculateur!AQ184*Calculateur!AS184*VLOOKUP('Données projet'!$B$10,Paramètres!$A$1:$I$89,3,0)*0.475*44/12</f>
        <v>8.8624004589838268E-2</v>
      </c>
      <c r="AW184" s="21">
        <f>EXP(-LN(2)/2)*AW183+(1-EXP(-LN(2)/2))/(LN(2)/2)*AQ184*AT184*VLOOKUP('Données projet'!$B$10,Paramètres!$A$1:$I$89,3,0)*0.475*44/12</f>
        <v>2.0783366617562213E-22</v>
      </c>
      <c r="AX184" s="21">
        <f t="shared" si="166"/>
        <v>0.23576256299767018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-6.7984728957526396E-14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250.93905519128998</v>
      </c>
      <c r="BJ184" s="59">
        <f t="shared" si="146"/>
        <v>222.32879462265032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6.4395307053184928E-2</v>
      </c>
      <c r="BQ184" s="21">
        <f>EXP(-LN(2)/25)*BQ183+(1-EXP(-LN(2)/25))/(LN(2)/25)*Calculateur!BL184*Calculateur!BN184*VLOOKUP('Données projet'!$B$11,Paramètres!$A$1:$I$89,3,0)*0.475*44/12</f>
        <v>0.17590917703256753</v>
      </c>
      <c r="BR184" s="21">
        <f>EXP(-LN(2)/2)*BR183+(1-EXP(-LN(2)/2))/(LN(2)/2)*BL184*BO184*VLOOKUP('Données projet'!$B$11,Paramètres!$A$1:$I$89,3,0)*0.475*44/12</f>
        <v>3.53259900732703E-23</v>
      </c>
      <c r="BS184" s="22">
        <f t="shared" si="169"/>
        <v>0.24030448408575245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-2.8421709430404007E-13</v>
      </c>
      <c r="BZ184" s="13">
        <f>BY184*VLOOKUP('Données projet'!$B$12,Paramètres!$A$1:$I$89,3,0)*VLOOKUP('Données projet'!$B$12,Paramètres!$A$1:$I$89,5,0)</f>
        <v>-1.69961822393816E-13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179.32848817523677</v>
      </c>
      <c r="CE184" s="59">
        <f t="shared" si="148"/>
        <v>131.3292389103035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0.20030732107406282</v>
      </c>
      <c r="CM184" s="21">
        <f>EXP(-LN(2)/2)*CM183+(1-EXP(-LN(2)/2))/(LN(2)/2)*CG184*CJ184*VLOOKUP('Données projet'!$B$12,Paramètres!$A$1:$I$89,3,0)*0.475*44/12</f>
        <v>9.8504919055114291E-23</v>
      </c>
      <c r="CN184" s="22">
        <f t="shared" si="172"/>
        <v>0.20030732107406282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-7.3896444519050419E-13</v>
      </c>
      <c r="CU184" s="17">
        <f>CT184*VLOOKUP('Données projet'!$B$13,Paramètres!$A$1:$I$89,3,0)*VLOOKUP('Données projet'!$B$13,Paramètres!$A$1:$I$89,5,0)</f>
        <v>-6.6861503000836817E-13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309.07357540707869</v>
      </c>
      <c r="CZ184" s="59">
        <f t="shared" si="150"/>
        <v>155.9593924683299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227.99999999999986</v>
      </c>
      <c r="DP184" s="17">
        <f>DO184*VLOOKUP('Données projet'!$B$14,Paramètres!$A$1:$I$89,3,0)*VLOOKUP('Données projet'!$B$14,Paramètres!$A$1:$I$89,5,0)</f>
        <v>199.18079999999992</v>
      </c>
      <c r="DQ184" s="13">
        <f t="shared" si="176"/>
        <v>49.564089376413683</v>
      </c>
      <c r="DR184" s="20">
        <f t="shared" si="177"/>
        <v>433.23068233058694</v>
      </c>
      <c r="DS184" s="59">
        <f t="shared" si="125"/>
        <v>726.56401566392026</v>
      </c>
      <c r="DT184" s="59">
        <f ca="1">AVERAGE(OFFSET($DS$3,0,0,'Données projet'!$E$14+1,1))-AVERAGE(OFFSET($H$3,0,0,'Données projet'!$E$14+1,1))</f>
        <v>210.07838338464626</v>
      </c>
      <c r="DU184" s="59">
        <f t="shared" si="152"/>
        <v>241.76003724236273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0.26641845749292331</v>
      </c>
      <c r="EB184" s="21">
        <f>EXP(-LN(2)/25)*EB183+(1-EXP(-LN(2)/25))/(LN(2)/25)*Calculateur!DW184*Calculateur!DY184*VLOOKUP('Données projet'!$B$14,Paramètres!$A$1:$I$89,3,0)*0.475*44/12</f>
        <v>0.20607985251110525</v>
      </c>
      <c r="EC184" s="21">
        <f>EXP(-LN(2)/2)*EC183+(1-EXP(-LN(2)/2))/(LN(2)/2)*DW184*DZ184*VLOOKUP('Données projet'!$B$14,Paramètres!$A$1:$I$89,3,0)*0.475*44/12</f>
        <v>2.9893652339122518E-22</v>
      </c>
      <c r="ED184" s="22">
        <f t="shared" si="178"/>
        <v>0.47249831000402853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6.2527760746888816E-13</v>
      </c>
      <c r="EK184" s="17">
        <f>EJ184*VLOOKUP('Données projet'!$B$15,Paramètres!$A$1:$I$89,3,0)*VLOOKUP('Données projet'!$B$15,Paramètres!$A$1:$I$89,5,0)</f>
        <v>3.9017322706058616E-13</v>
      </c>
      <c r="EL184" s="13">
        <f t="shared" si="179"/>
        <v>5.0025007393608908E-12</v>
      </c>
      <c r="EM184" s="20">
        <f t="shared" si="180"/>
        <v>9.3922404915174053E-12</v>
      </c>
      <c r="EN184" s="59">
        <f t="shared" si="128"/>
        <v>293.33333333334269</v>
      </c>
      <c r="EO184" s="59">
        <f ca="1">AVERAGE(OFFSET($EN$3,0,0,'Données projet'!$E$15+1,1))-AVERAGE(OFFSET($H$3,0,0,'Données projet'!$E$15+1,1))</f>
        <v>209.93608079129638</v>
      </c>
      <c r="EP184" s="59">
        <f t="shared" si="154"/>
        <v>240.15652428700969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0.34951258837067156</v>
      </c>
      <c r="EW184" s="21">
        <f>EXP(-LN(2)/25)*EW183+(1-EXP(-LN(2)/25))/(LN(2)/25)*Calculateur!ER184*Calculateur!ET184*VLOOKUP('Données projet'!$B$15,Paramètres!$A$1:$I$89,3,0)*0.475*44/12</f>
        <v>0.31592909387301032</v>
      </c>
      <c r="EX184" s="21">
        <f>EXP(-LN(2)/2)*EX183+(1-EXP(-LN(2)/2))/(LN(2)/2)*ER184*EU184*VLOOKUP('Données projet'!$B$15,Paramètres!$A$1:$I$89,3,0)*0.475*44/12</f>
        <v>3.7791069933245817E-22</v>
      </c>
      <c r="EY184" s="22">
        <f t="shared" si="181"/>
        <v>0.66544168224368194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5.6843418860808015E-14</v>
      </c>
      <c r="O185" s="13">
        <f>N185*VLOOKUP('Données projet'!$B$9,Paramètres!$A$1:$I$89,3,0)*VLOOKUP('Données projet'!$B$9,Paramètres!$A$1:$I$89,5,0)</f>
        <v>4.5224624045658861E-14</v>
      </c>
      <c r="P185" s="13">
        <f t="shared" si="141"/>
        <v>7.4514601661523691E-13</v>
      </c>
      <c r="Q185" s="20">
        <f t="shared" si="162"/>
        <v>1.3765621991510601E-12</v>
      </c>
      <c r="R185" s="59">
        <f t="shared" si="109"/>
        <v>293.33333333333468</v>
      </c>
      <c r="S185" s="59">
        <f ca="1">AVERAGE(OFFSET($R$3,0,0,'Données projet'!$E$9+1,1))-AVERAGE(OFFSET($H$3,0,0,'Données projet'!$E$9+1,1))</f>
        <v>199.58763537752952</v>
      </c>
      <c r="T185" s="59">
        <f t="shared" si="142"/>
        <v>242.62852778451929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</v>
      </c>
      <c r="AA185" s="21">
        <f>EXP(-LN(2)/25)*AA184+(1-EXP(-LN(2)/25))/(LN(2)/25)*Calculateur!V185*Calculateur!X185*VLOOKUP('Données projet'!$B$9,Paramètres!$A$1:$I$89,3,0)*0.475*44/12</f>
        <v>0.15200450812478794</v>
      </c>
      <c r="AB185" s="21">
        <f>EXP(-LN(2)/2)*AB184+(1-EXP(-LN(2)/2))/(LN(2)/2)*V185*Y185*VLOOKUP('Données projet'!$B$9,Paramètres!$A$1:$I$89,3,0)*0.475*44/12</f>
        <v>1.4242803941966524E-22</v>
      </c>
      <c r="AC185" s="22">
        <f t="shared" si="163"/>
        <v>0.15200450812478794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566</v>
      </c>
      <c r="AJ185" s="13">
        <f>AI185*VLOOKUP('Données projet'!$B$10,Paramètres!$A$1:$I$89,3,0)*VLOOKUP('Données projet'!$B$10,Paramètres!$A$1:$I$89,5,0)</f>
        <v>338.46800000000002</v>
      </c>
      <c r="AK185" s="13">
        <f t="shared" si="164"/>
        <v>79.183342377469998</v>
      </c>
      <c r="AL185" s="20">
        <f t="shared" si="165"/>
        <v>727.4094213074269</v>
      </c>
      <c r="AM185" s="59">
        <f t="shared" si="113"/>
        <v>1020.7427546407603</v>
      </c>
      <c r="AN185" s="59">
        <f ca="1">AVERAGE(OFFSET($AM$3,0,0,'Données projet'!$E$10+1,1))-AVERAGE(OFFSET($H$3,0,0,'Données projet'!$E$10+1,1))</f>
        <v>287.78657453117694</v>
      </c>
      <c r="AO185" s="59">
        <f t="shared" si="144"/>
        <v>153.31562485362252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0.14425326102311331</v>
      </c>
      <c r="AV185" s="21">
        <f>EXP(-LN(2)/25)*AV184+(1-EXP(-LN(2)/25))/(LN(2)/25)*Calculateur!AQ185*Calculateur!AS185*VLOOKUP('Données projet'!$B$10,Paramètres!$A$1:$I$89,3,0)*0.475*44/12</f>
        <v>8.6200576523795286E-2</v>
      </c>
      <c r="AW185" s="21">
        <f>EXP(-LN(2)/2)*AW184+(1-EXP(-LN(2)/2))/(LN(2)/2)*AQ185*AT185*VLOOKUP('Données projet'!$B$10,Paramètres!$A$1:$I$89,3,0)*0.475*44/12</f>
        <v>1.4696059471164361E-22</v>
      </c>
      <c r="AX185" s="21">
        <f t="shared" si="166"/>
        <v>0.2304538375469086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-6.7984728957526396E-14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250.93905519128998</v>
      </c>
      <c r="BJ185" s="59">
        <f t="shared" si="146"/>
        <v>222.32879462265032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6.3132554359130968E-2</v>
      </c>
      <c r="BQ185" s="21">
        <f>EXP(-LN(2)/25)*BQ184+(1-EXP(-LN(2)/25))/(LN(2)/25)*Calculateur!BL185*Calculateur!BN185*VLOOKUP('Données projet'!$B$11,Paramètres!$A$1:$I$89,3,0)*0.475*44/12</f>
        <v>0.17109893133595039</v>
      </c>
      <c r="BR185" s="21">
        <f>EXP(-LN(2)/2)*BR184+(1-EXP(-LN(2)/2))/(LN(2)/2)*BL185*BO185*VLOOKUP('Données projet'!$B$11,Paramètres!$A$1:$I$89,3,0)*0.475*44/12</f>
        <v>2.4979247132938092E-23</v>
      </c>
      <c r="BS185" s="22">
        <f t="shared" si="169"/>
        <v>0.23423148569508134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-2.8421709430404007E-13</v>
      </c>
      <c r="BZ185" s="13">
        <f>BY185*VLOOKUP('Données projet'!$B$12,Paramètres!$A$1:$I$89,3,0)*VLOOKUP('Données projet'!$B$12,Paramètres!$A$1:$I$89,5,0)</f>
        <v>-1.69961822393816E-13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179.32848817523677</v>
      </c>
      <c r="CE185" s="59">
        <f t="shared" si="148"/>
        <v>131.3292389103035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0.19482990684558837</v>
      </c>
      <c r="CM185" s="21">
        <f>EXP(-LN(2)/2)*CM184+(1-EXP(-LN(2)/2))/(LN(2)/2)*CG185*CJ185*VLOOKUP('Données projet'!$B$12,Paramètres!$A$1:$I$89,3,0)*0.475*44/12</f>
        <v>6.9653496244103276E-23</v>
      </c>
      <c r="CN185" s="22">
        <f t="shared" si="172"/>
        <v>0.19482990684558837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-7.3896444519050419E-13</v>
      </c>
      <c r="CU185" s="17">
        <f>CT185*VLOOKUP('Données projet'!$B$13,Paramètres!$A$1:$I$89,3,0)*VLOOKUP('Données projet'!$B$13,Paramètres!$A$1:$I$89,5,0)</f>
        <v>-6.6861503000836817E-13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309.07357540707869</v>
      </c>
      <c r="CZ185" s="59">
        <f t="shared" si="150"/>
        <v>155.9593924683299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227.99999999999986</v>
      </c>
      <c r="DP185" s="17">
        <f>DO185*VLOOKUP('Données projet'!$B$14,Paramètres!$A$1:$I$89,3,0)*VLOOKUP('Données projet'!$B$14,Paramètres!$A$1:$I$89,5,0)</f>
        <v>199.18079999999992</v>
      </c>
      <c r="DQ185" s="13">
        <f t="shared" si="176"/>
        <v>49.564089376413683</v>
      </c>
      <c r="DR185" s="20">
        <f t="shared" si="177"/>
        <v>433.23068233058694</v>
      </c>
      <c r="DS185" s="59">
        <f t="shared" si="125"/>
        <v>726.56401566392026</v>
      </c>
      <c r="DT185" s="59">
        <f ca="1">AVERAGE(OFFSET($DS$3,0,0,'Données projet'!$E$14+1,1))-AVERAGE(OFFSET($H$3,0,0,'Données projet'!$E$14+1,1))</f>
        <v>210.07838338464626</v>
      </c>
      <c r="DU185" s="59">
        <f t="shared" si="152"/>
        <v>241.76003724236273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0.26119415404070068</v>
      </c>
      <c r="EB185" s="21">
        <f>EXP(-LN(2)/25)*EB184+(1-EXP(-LN(2)/25))/(LN(2)/25)*Calculateur!DW185*Calculateur!DY185*VLOOKUP('Données projet'!$B$14,Paramètres!$A$1:$I$89,3,0)*0.475*44/12</f>
        <v>0.20044458810692065</v>
      </c>
      <c r="EC185" s="21">
        <f>EXP(-LN(2)/2)*EC184+(1-EXP(-LN(2)/2))/(LN(2)/2)*DW185*DZ185*VLOOKUP('Données projet'!$B$14,Paramètres!$A$1:$I$89,3,0)*0.475*44/12</f>
        <v>2.1138004283426633E-22</v>
      </c>
      <c r="ED185" s="22">
        <f t="shared" si="178"/>
        <v>0.46163874214762135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6.2527760746888816E-13</v>
      </c>
      <c r="EK185" s="17">
        <f>EJ185*VLOOKUP('Données projet'!$B$15,Paramètres!$A$1:$I$89,3,0)*VLOOKUP('Données projet'!$B$15,Paramètres!$A$1:$I$89,5,0)</f>
        <v>3.9017322706058616E-13</v>
      </c>
      <c r="EL185" s="13">
        <f t="shared" si="179"/>
        <v>5.0025007393608908E-12</v>
      </c>
      <c r="EM185" s="20">
        <f t="shared" si="180"/>
        <v>9.3922404915174053E-12</v>
      </c>
      <c r="EN185" s="59">
        <f t="shared" si="128"/>
        <v>293.33333333334269</v>
      </c>
      <c r="EO185" s="59">
        <f ca="1">AVERAGE(OFFSET($EN$3,0,0,'Données projet'!$E$15+1,1))-AVERAGE(OFFSET($H$3,0,0,'Données projet'!$E$15+1,1))</f>
        <v>209.93608079129638</v>
      </c>
      <c r="EP185" s="59">
        <f t="shared" si="154"/>
        <v>240.15652428700969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0.34265885969435167</v>
      </c>
      <c r="EW185" s="21">
        <f>EXP(-LN(2)/25)*EW184+(1-EXP(-LN(2)/25))/(LN(2)/25)*Calculateur!ER185*Calculateur!ET185*VLOOKUP('Données projet'!$B$15,Paramètres!$A$1:$I$89,3,0)*0.475*44/12</f>
        <v>0.30728999618706387</v>
      </c>
      <c r="EX185" s="21">
        <f>EXP(-LN(2)/2)*EX184+(1-EXP(-LN(2)/2))/(LN(2)/2)*ER185*EU185*VLOOKUP('Données projet'!$B$15,Paramètres!$A$1:$I$89,3,0)*0.475*44/12</f>
        <v>2.6722321818093164E-22</v>
      </c>
      <c r="EY185" s="22">
        <f t="shared" si="181"/>
        <v>0.64994885588141549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5.6843418860808015E-14</v>
      </c>
      <c r="O186" s="13">
        <f>N186*VLOOKUP('Données projet'!$B$9,Paramètres!$A$1:$I$89,3,0)*VLOOKUP('Données projet'!$B$9,Paramètres!$A$1:$I$89,5,0)</f>
        <v>4.5224624045658861E-14</v>
      </c>
      <c r="P186" s="13">
        <f t="shared" si="141"/>
        <v>7.4514601661523691E-13</v>
      </c>
      <c r="Q186" s="20">
        <f t="shared" si="162"/>
        <v>1.3765621991510601E-12</v>
      </c>
      <c r="R186" s="59">
        <f t="shared" si="109"/>
        <v>293.33333333333468</v>
      </c>
      <c r="S186" s="59">
        <f ca="1">AVERAGE(OFFSET($R$3,0,0,'Données projet'!$E$9+1,1))-AVERAGE(OFFSET($H$3,0,0,'Données projet'!$E$9+1,1))</f>
        <v>199.58763537752952</v>
      </c>
      <c r="T186" s="59">
        <f t="shared" si="142"/>
        <v>242.62852778451929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</v>
      </c>
      <c r="AA186" s="21">
        <f>EXP(-LN(2)/25)*AA185+(1-EXP(-LN(2)/25))/(LN(2)/25)*Calculateur!V186*Calculateur!X186*VLOOKUP('Données projet'!$B$9,Paramètres!$A$1:$I$89,3,0)*0.475*44/12</f>
        <v>0.14784793685654593</v>
      </c>
      <c r="AB186" s="21">
        <f>EXP(-LN(2)/2)*AB185+(1-EXP(-LN(2)/2))/(LN(2)/2)*V186*Y186*VLOOKUP('Données projet'!$B$9,Paramètres!$A$1:$I$89,3,0)*0.475*44/12</f>
        <v>1.007118325047502E-22</v>
      </c>
      <c r="AC186" s="22">
        <f t="shared" si="163"/>
        <v>0.14784793685654593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566</v>
      </c>
      <c r="AJ186" s="13">
        <f>AI186*VLOOKUP('Données projet'!$B$10,Paramètres!$A$1:$I$89,3,0)*VLOOKUP('Données projet'!$B$10,Paramètres!$A$1:$I$89,5,0)</f>
        <v>338.46800000000002</v>
      </c>
      <c r="AK186" s="13">
        <f t="shared" si="164"/>
        <v>79.183342377469998</v>
      </c>
      <c r="AL186" s="20">
        <f t="shared" si="165"/>
        <v>727.4094213074269</v>
      </c>
      <c r="AM186" s="59">
        <f t="shared" si="113"/>
        <v>1020.7427546407603</v>
      </c>
      <c r="AN186" s="59">
        <f ca="1">AVERAGE(OFFSET($AM$3,0,0,'Données projet'!$E$10+1,1))-AVERAGE(OFFSET($H$3,0,0,'Données projet'!$E$10+1,1))</f>
        <v>287.78657453117694</v>
      </c>
      <c r="AO186" s="59">
        <f t="shared" si="144"/>
        <v>153.31562485362252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0.14142454256025142</v>
      </c>
      <c r="AV186" s="21">
        <f>EXP(-LN(2)/25)*AV185+(1-EXP(-LN(2)/25))/(LN(2)/25)*Calculateur!AQ186*Calculateur!AS186*VLOOKUP('Données projet'!$B$10,Paramètres!$A$1:$I$89,3,0)*0.475*44/12</f>
        <v>8.3843417225660799E-2</v>
      </c>
      <c r="AW186" s="21">
        <f>EXP(-LN(2)/2)*AW185+(1-EXP(-LN(2)/2))/(LN(2)/2)*AQ186*AT186*VLOOKUP('Données projet'!$B$10,Paramètres!$A$1:$I$89,3,0)*0.475*44/12</f>
        <v>1.0391683308781108E-22</v>
      </c>
      <c r="AX186" s="21">
        <f t="shared" si="166"/>
        <v>0.22526795978591221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-6.7984728957526396E-14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250.93905519128998</v>
      </c>
      <c r="BJ186" s="59">
        <f t="shared" si="146"/>
        <v>222.32879462265032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6.1894563475204313E-2</v>
      </c>
      <c r="BQ186" s="21">
        <f>EXP(-LN(2)/25)*BQ185+(1-EXP(-LN(2)/25))/(LN(2)/25)*Calculateur!BL186*Calculateur!BN186*VLOOKUP('Données projet'!$B$11,Paramètres!$A$1:$I$89,3,0)*0.475*44/12</f>
        <v>0.16642022206086707</v>
      </c>
      <c r="BR186" s="21">
        <f>EXP(-LN(2)/2)*BR185+(1-EXP(-LN(2)/2))/(LN(2)/2)*BL186*BO186*VLOOKUP('Données projet'!$B$11,Paramètres!$A$1:$I$89,3,0)*0.475*44/12</f>
        <v>1.766299503663515E-23</v>
      </c>
      <c r="BS186" s="22">
        <f t="shared" si="169"/>
        <v>0.22831478553607137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-2.8421709430404007E-13</v>
      </c>
      <c r="BZ186" s="13">
        <f>BY186*VLOOKUP('Données projet'!$B$12,Paramètres!$A$1:$I$89,3,0)*VLOOKUP('Données projet'!$B$12,Paramètres!$A$1:$I$89,5,0)</f>
        <v>-1.69961822393816E-13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179.32848817523677</v>
      </c>
      <c r="CE186" s="59">
        <f t="shared" si="148"/>
        <v>131.3292389103035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0.18950227279723625</v>
      </c>
      <c r="CM186" s="21">
        <f>EXP(-LN(2)/2)*CM185+(1-EXP(-LN(2)/2))/(LN(2)/2)*CG186*CJ186*VLOOKUP('Données projet'!$B$12,Paramètres!$A$1:$I$89,3,0)*0.475*44/12</f>
        <v>4.9252459527557145E-23</v>
      </c>
      <c r="CN186" s="22">
        <f t="shared" si="172"/>
        <v>0.18950227279723625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-7.3896444519050419E-13</v>
      </c>
      <c r="CU186" s="17">
        <f>CT186*VLOOKUP('Données projet'!$B$13,Paramètres!$A$1:$I$89,3,0)*VLOOKUP('Données projet'!$B$13,Paramètres!$A$1:$I$89,5,0)</f>
        <v>-6.6861503000836817E-13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309.07357540707869</v>
      </c>
      <c r="CZ186" s="59">
        <f t="shared" si="150"/>
        <v>155.9593924683299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227.99999999999986</v>
      </c>
      <c r="DP186" s="17">
        <f>DO186*VLOOKUP('Données projet'!$B$14,Paramètres!$A$1:$I$89,3,0)*VLOOKUP('Données projet'!$B$14,Paramètres!$A$1:$I$89,5,0)</f>
        <v>199.18079999999992</v>
      </c>
      <c r="DQ186" s="13">
        <f t="shared" si="176"/>
        <v>49.564089376413683</v>
      </c>
      <c r="DR186" s="20">
        <f t="shared" si="177"/>
        <v>433.23068233058694</v>
      </c>
      <c r="DS186" s="59">
        <f t="shared" si="125"/>
        <v>726.56401566392026</v>
      </c>
      <c r="DT186" s="59">
        <f ca="1">AVERAGE(OFFSET($DS$3,0,0,'Données projet'!$E$14+1,1))-AVERAGE(OFFSET($H$3,0,0,'Données projet'!$E$14+1,1))</f>
        <v>210.07838338464626</v>
      </c>
      <c r="DU186" s="59">
        <f t="shared" si="152"/>
        <v>241.76003724236273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0.25607229599266568</v>
      </c>
      <c r="EB186" s="21">
        <f>EXP(-LN(2)/25)*EB185+(1-EXP(-LN(2)/25))/(LN(2)/25)*Calculateur!DW186*Calculateur!DY186*VLOOKUP('Données projet'!$B$14,Paramètres!$A$1:$I$89,3,0)*0.475*44/12</f>
        <v>0.19496342030421412</v>
      </c>
      <c r="EC186" s="21">
        <f>EXP(-LN(2)/2)*EC185+(1-EXP(-LN(2)/2))/(LN(2)/2)*DW186*DZ186*VLOOKUP('Données projet'!$B$14,Paramètres!$A$1:$I$89,3,0)*0.475*44/12</f>
        <v>1.4946826169561262E-22</v>
      </c>
      <c r="ED186" s="22">
        <f t="shared" si="178"/>
        <v>0.45103571629687977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6.2527760746888816E-13</v>
      </c>
      <c r="EK186" s="17">
        <f>EJ186*VLOOKUP('Données projet'!$B$15,Paramètres!$A$1:$I$89,3,0)*VLOOKUP('Données projet'!$B$15,Paramètres!$A$1:$I$89,5,0)</f>
        <v>3.9017322706058616E-13</v>
      </c>
      <c r="EL186" s="13">
        <f t="shared" si="179"/>
        <v>5.0025007393608908E-12</v>
      </c>
      <c r="EM186" s="20">
        <f t="shared" si="180"/>
        <v>9.3922404915174053E-12</v>
      </c>
      <c r="EN186" s="59">
        <f t="shared" si="128"/>
        <v>293.33333333334269</v>
      </c>
      <c r="EO186" s="59">
        <f ca="1">AVERAGE(OFFSET($EN$3,0,0,'Données projet'!$E$15+1,1))-AVERAGE(OFFSET($H$3,0,0,'Données projet'!$E$15+1,1))</f>
        <v>209.93608079129638</v>
      </c>
      <c r="EP186" s="59">
        <f t="shared" si="154"/>
        <v>240.15652428700969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0.33593952845701269</v>
      </c>
      <c r="EW186" s="21">
        <f>EXP(-LN(2)/25)*EW185+(1-EXP(-LN(2)/25))/(LN(2)/25)*Calculateur!ER186*Calculateur!ET186*VLOOKUP('Données projet'!$B$15,Paramètres!$A$1:$I$89,3,0)*0.475*44/12</f>
        <v>0.29888713508165005</v>
      </c>
      <c r="EX186" s="21">
        <f>EXP(-LN(2)/2)*EX185+(1-EXP(-LN(2)/2))/(LN(2)/2)*ER186*EU186*VLOOKUP('Données projet'!$B$15,Paramètres!$A$1:$I$89,3,0)*0.475*44/12</f>
        <v>1.8895534966622908E-22</v>
      </c>
      <c r="EY186" s="22">
        <f t="shared" si="181"/>
        <v>0.63482666353866279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5.6843418860808015E-14</v>
      </c>
      <c r="O187" s="13">
        <f>N187*VLOOKUP('Données projet'!$B$9,Paramètres!$A$1:$I$89,3,0)*VLOOKUP('Données projet'!$B$9,Paramètres!$A$1:$I$89,5,0)</f>
        <v>4.5224624045658861E-14</v>
      </c>
      <c r="P187" s="13">
        <f t="shared" si="141"/>
        <v>7.4514601661523691E-13</v>
      </c>
      <c r="Q187" s="20">
        <f t="shared" si="162"/>
        <v>1.3765621991510601E-12</v>
      </c>
      <c r="R187" s="59">
        <f t="shared" si="109"/>
        <v>293.33333333333468</v>
      </c>
      <c r="S187" s="59">
        <f ca="1">AVERAGE(OFFSET($R$3,0,0,'Données projet'!$E$9+1,1))-AVERAGE(OFFSET($H$3,0,0,'Données projet'!$E$9+1,1))</f>
        <v>199.58763537752952</v>
      </c>
      <c r="T187" s="59">
        <f t="shared" si="142"/>
        <v>242.62852778451929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</v>
      </c>
      <c r="AA187" s="21">
        <f>EXP(-LN(2)/25)*AA186+(1-EXP(-LN(2)/25))/(LN(2)/25)*Calculateur!V187*Calculateur!X187*VLOOKUP('Données projet'!$B$9,Paramètres!$A$1:$I$89,3,0)*0.475*44/12</f>
        <v>0.14380502724821859</v>
      </c>
      <c r="AB187" s="21">
        <f>EXP(-LN(2)/2)*AB186+(1-EXP(-LN(2)/2))/(LN(2)/2)*V187*Y187*VLOOKUP('Données projet'!$B$9,Paramètres!$A$1:$I$89,3,0)*0.475*44/12</f>
        <v>7.1214019709832622E-23</v>
      </c>
      <c r="AC187" s="22">
        <f t="shared" si="163"/>
        <v>0.14380502724821859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566</v>
      </c>
      <c r="AJ187" s="13">
        <f>AI187*VLOOKUP('Données projet'!$B$10,Paramètres!$A$1:$I$89,3,0)*VLOOKUP('Données projet'!$B$10,Paramètres!$A$1:$I$89,5,0)</f>
        <v>338.46800000000002</v>
      </c>
      <c r="AK187" s="13">
        <f t="shared" si="164"/>
        <v>79.183342377469998</v>
      </c>
      <c r="AL187" s="20">
        <f t="shared" si="165"/>
        <v>727.4094213074269</v>
      </c>
      <c r="AM187" s="59">
        <f t="shared" si="113"/>
        <v>1020.7427546407603</v>
      </c>
      <c r="AN187" s="59">
        <f ca="1">AVERAGE(OFFSET($AM$3,0,0,'Données projet'!$E$10+1,1))-AVERAGE(OFFSET($H$3,0,0,'Données projet'!$E$10+1,1))</f>
        <v>287.78657453117694</v>
      </c>
      <c r="AO187" s="59">
        <f t="shared" si="144"/>
        <v>153.31562485362252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0.13865129354109834</v>
      </c>
      <c r="AV187" s="21">
        <f>EXP(-LN(2)/25)*AV186+(1-EXP(-LN(2)/25))/(LN(2)/25)*Calculateur!AQ187*Calculateur!AS187*VLOOKUP('Données projet'!$B$10,Paramètres!$A$1:$I$89,3,0)*0.475*44/12</f>
        <v>8.1550714572491426E-2</v>
      </c>
      <c r="AW187" s="21">
        <f>EXP(-LN(2)/2)*AW186+(1-EXP(-LN(2)/2))/(LN(2)/2)*AQ187*AT187*VLOOKUP('Données projet'!$B$10,Paramètres!$A$1:$I$89,3,0)*0.475*44/12</f>
        <v>7.3480297355821817E-23</v>
      </c>
      <c r="AX187" s="21">
        <f t="shared" si="166"/>
        <v>0.22020200811358975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-6.7984728957526396E-14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250.93905519128998</v>
      </c>
      <c r="BJ187" s="59">
        <f t="shared" si="146"/>
        <v>222.32879462265032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6.068084883741158E-2</v>
      </c>
      <c r="BQ187" s="21">
        <f>EXP(-LN(2)/25)*BQ186+(1-EXP(-LN(2)/25))/(LN(2)/25)*Calculateur!BL187*Calculateur!BN187*VLOOKUP('Données projet'!$B$11,Paramètres!$A$1:$I$89,3,0)*0.475*44/12</f>
        <v>0.16186945233695355</v>
      </c>
      <c r="BR187" s="21">
        <f>EXP(-LN(2)/2)*BR186+(1-EXP(-LN(2)/2))/(LN(2)/2)*BL187*BO187*VLOOKUP('Données projet'!$B$11,Paramètres!$A$1:$I$89,3,0)*0.475*44/12</f>
        <v>1.2489623566469046E-23</v>
      </c>
      <c r="BS187" s="22">
        <f t="shared" si="169"/>
        <v>0.22255030117436514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-2.8421709430404007E-13</v>
      </c>
      <c r="BZ187" s="13">
        <f>BY187*VLOOKUP('Données projet'!$B$12,Paramètres!$A$1:$I$89,3,0)*VLOOKUP('Données projet'!$B$12,Paramètres!$A$1:$I$89,5,0)</f>
        <v>-1.69961822393816E-13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179.32848817523677</v>
      </c>
      <c r="CE187" s="59">
        <f t="shared" si="148"/>
        <v>131.3292389103035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0.18432032318210442</v>
      </c>
      <c r="CM187" s="21">
        <f>EXP(-LN(2)/2)*CM186+(1-EXP(-LN(2)/2))/(LN(2)/2)*CG187*CJ187*VLOOKUP('Données projet'!$B$12,Paramètres!$A$1:$I$89,3,0)*0.475*44/12</f>
        <v>3.4826748122051638E-23</v>
      </c>
      <c r="CN187" s="22">
        <f t="shared" si="172"/>
        <v>0.18432032318210442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-7.3896444519050419E-13</v>
      </c>
      <c r="CU187" s="17">
        <f>CT187*VLOOKUP('Données projet'!$B$13,Paramètres!$A$1:$I$89,3,0)*VLOOKUP('Données projet'!$B$13,Paramètres!$A$1:$I$89,5,0)</f>
        <v>-6.6861503000836817E-13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309.07357540707869</v>
      </c>
      <c r="CZ187" s="59">
        <f t="shared" si="150"/>
        <v>155.9593924683299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227.99999999999986</v>
      </c>
      <c r="DP187" s="17">
        <f>DO187*VLOOKUP('Données projet'!$B$14,Paramètres!$A$1:$I$89,3,0)*VLOOKUP('Données projet'!$B$14,Paramètres!$A$1:$I$89,5,0)</f>
        <v>199.18079999999992</v>
      </c>
      <c r="DQ187" s="13">
        <f t="shared" si="176"/>
        <v>49.564089376413683</v>
      </c>
      <c r="DR187" s="20">
        <f t="shared" si="177"/>
        <v>433.23068233058694</v>
      </c>
      <c r="DS187" s="59">
        <f t="shared" si="125"/>
        <v>726.56401566392026</v>
      </c>
      <c r="DT187" s="59">
        <f ca="1">AVERAGE(OFFSET($DS$3,0,0,'Données projet'!$E$14+1,1))-AVERAGE(OFFSET($H$3,0,0,'Données projet'!$E$14+1,1))</f>
        <v>210.07838338464626</v>
      </c>
      <c r="DU187" s="59">
        <f t="shared" si="152"/>
        <v>241.76003724236273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0.2510508744569277</v>
      </c>
      <c r="EB187" s="21">
        <f>EXP(-LN(2)/25)*EB186+(1-EXP(-LN(2)/25))/(LN(2)/25)*Calculateur!DW187*Calculateur!DY187*VLOOKUP('Données projet'!$B$14,Paramètres!$A$1:$I$89,3,0)*0.475*44/12</f>
        <v>0.18963213532331472</v>
      </c>
      <c r="EC187" s="21">
        <f>EXP(-LN(2)/2)*EC186+(1-EXP(-LN(2)/2))/(LN(2)/2)*DW187*DZ187*VLOOKUP('Données projet'!$B$14,Paramètres!$A$1:$I$89,3,0)*0.475*44/12</f>
        <v>1.0569002141713318E-22</v>
      </c>
      <c r="ED187" s="22">
        <f t="shared" si="178"/>
        <v>0.44068300978024244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6.2527760746888816E-13</v>
      </c>
      <c r="EK187" s="17">
        <f>EJ187*VLOOKUP('Données projet'!$B$15,Paramètres!$A$1:$I$89,3,0)*VLOOKUP('Données projet'!$B$15,Paramètres!$A$1:$I$89,5,0)</f>
        <v>3.9017322706058616E-13</v>
      </c>
      <c r="EL187" s="13">
        <f t="shared" si="179"/>
        <v>5.0025007393608908E-12</v>
      </c>
      <c r="EM187" s="20">
        <f t="shared" si="180"/>
        <v>9.3922404915174053E-12</v>
      </c>
      <c r="EN187" s="59">
        <f t="shared" si="128"/>
        <v>293.33333333334269</v>
      </c>
      <c r="EO187" s="59">
        <f ca="1">AVERAGE(OFFSET($EN$3,0,0,'Données projet'!$E$15+1,1))-AVERAGE(OFFSET($H$3,0,0,'Données projet'!$E$15+1,1))</f>
        <v>209.93608079129638</v>
      </c>
      <c r="EP187" s="59">
        <f t="shared" si="154"/>
        <v>240.15652428700969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0.32935195920685056</v>
      </c>
      <c r="EW187" s="21">
        <f>EXP(-LN(2)/25)*EW186+(1-EXP(-LN(2)/25))/(LN(2)/25)*Calculateur!ER187*Calculateur!ET187*VLOOKUP('Données projet'!$B$15,Paramètres!$A$1:$I$89,3,0)*0.475*44/12</f>
        <v>0.29071405065505102</v>
      </c>
      <c r="EX187" s="21">
        <f>EXP(-LN(2)/2)*EX186+(1-EXP(-LN(2)/2))/(LN(2)/2)*ER187*EU187*VLOOKUP('Données projet'!$B$15,Paramètres!$A$1:$I$89,3,0)*0.475*44/12</f>
        <v>1.3361160909046582E-22</v>
      </c>
      <c r="EY187" s="22">
        <f t="shared" si="181"/>
        <v>0.62006600986190152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5.6843418860808015E-14</v>
      </c>
      <c r="O188" s="13">
        <f>N188*VLOOKUP('Données projet'!$B$9,Paramètres!$A$1:$I$89,3,0)*VLOOKUP('Données projet'!$B$9,Paramètres!$A$1:$I$89,5,0)</f>
        <v>4.5224624045658861E-14</v>
      </c>
      <c r="P188" s="13">
        <f t="shared" si="141"/>
        <v>7.4514601661523691E-13</v>
      </c>
      <c r="Q188" s="20">
        <f t="shared" si="162"/>
        <v>1.3765621991510601E-12</v>
      </c>
      <c r="R188" s="59">
        <f t="shared" si="109"/>
        <v>293.33333333333468</v>
      </c>
      <c r="S188" s="59">
        <f ca="1">AVERAGE(OFFSET($R$3,0,0,'Données projet'!$E$9+1,1))-AVERAGE(OFFSET($H$3,0,0,'Données projet'!$E$9+1,1))</f>
        <v>199.58763537752952</v>
      </c>
      <c r="T188" s="59">
        <f t="shared" si="142"/>
        <v>242.62852778451929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</v>
      </c>
      <c r="AA188" s="21">
        <f>EXP(-LN(2)/25)*AA187+(1-EXP(-LN(2)/25))/(LN(2)/25)*Calculateur!V188*Calculateur!X188*VLOOKUP('Données projet'!$B$9,Paramètres!$A$1:$I$89,3,0)*0.475*44/12</f>
        <v>0.13987267121573835</v>
      </c>
      <c r="AB188" s="21">
        <f>EXP(-LN(2)/2)*AB187+(1-EXP(-LN(2)/2))/(LN(2)/2)*V188*Y188*VLOOKUP('Données projet'!$B$9,Paramètres!$A$1:$I$89,3,0)*0.475*44/12</f>
        <v>5.0355916252375099E-23</v>
      </c>
      <c r="AC188" s="22">
        <f t="shared" si="163"/>
        <v>0.13987267121573835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566</v>
      </c>
      <c r="AJ188" s="13">
        <f>AI188*VLOOKUP('Données projet'!$B$10,Paramètres!$A$1:$I$89,3,0)*VLOOKUP('Données projet'!$B$10,Paramètres!$A$1:$I$89,5,0)</f>
        <v>338.46800000000002</v>
      </c>
      <c r="AK188" s="13">
        <f t="shared" si="164"/>
        <v>79.183342377469998</v>
      </c>
      <c r="AL188" s="20">
        <f t="shared" si="165"/>
        <v>727.4094213074269</v>
      </c>
      <c r="AM188" s="59">
        <f t="shared" si="113"/>
        <v>1020.7427546407603</v>
      </c>
      <c r="AN188" s="59">
        <f ca="1">AVERAGE(OFFSET($AM$3,0,0,'Données projet'!$E$10+1,1))-AVERAGE(OFFSET($H$3,0,0,'Données projet'!$E$10+1,1))</f>
        <v>287.78657453117694</v>
      </c>
      <c r="AO188" s="59">
        <f t="shared" si="144"/>
        <v>153.31562485362252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0.13593242624369598</v>
      </c>
      <c r="AV188" s="21">
        <f>EXP(-LN(2)/25)*AV187+(1-EXP(-LN(2)/25))/(LN(2)/25)*Calculateur!AQ188*Calculateur!AS188*VLOOKUP('Données projet'!$B$10,Paramètres!$A$1:$I$89,3,0)*0.475*44/12</f>
        <v>7.9320705993940949E-2</v>
      </c>
      <c r="AW188" s="21">
        <f>EXP(-LN(2)/2)*AW187+(1-EXP(-LN(2)/2))/(LN(2)/2)*AQ188*AT188*VLOOKUP('Données projet'!$B$10,Paramètres!$A$1:$I$89,3,0)*0.475*44/12</f>
        <v>5.1958416543905551E-23</v>
      </c>
      <c r="AX188" s="21">
        <f t="shared" si="166"/>
        <v>0.21525313223763692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-6.7984728957526396E-14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250.93905519128998</v>
      </c>
      <c r="BJ188" s="59">
        <f t="shared" si="146"/>
        <v>222.32879462265032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5.9490934403373129E-2</v>
      </c>
      <c r="BQ188" s="21">
        <f>EXP(-LN(2)/25)*BQ187+(1-EXP(-LN(2)/25))/(LN(2)/25)*Calculateur!BL188*Calculateur!BN188*VLOOKUP('Données projet'!$B$11,Paramètres!$A$1:$I$89,3,0)*0.475*44/12</f>
        <v>0.15744312365045501</v>
      </c>
      <c r="BR188" s="21">
        <f>EXP(-LN(2)/2)*BR187+(1-EXP(-LN(2)/2))/(LN(2)/2)*BL188*BO188*VLOOKUP('Données projet'!$B$11,Paramètres!$A$1:$I$89,3,0)*0.475*44/12</f>
        <v>8.831497518317575E-24</v>
      </c>
      <c r="BS188" s="22">
        <f t="shared" si="169"/>
        <v>0.21693405805382815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-2.8421709430404007E-13</v>
      </c>
      <c r="BZ188" s="13">
        <f>BY188*VLOOKUP('Données projet'!$B$12,Paramètres!$A$1:$I$89,3,0)*VLOOKUP('Données projet'!$B$12,Paramètres!$A$1:$I$89,5,0)</f>
        <v>-1.69961822393816E-13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179.32848817523677</v>
      </c>
      <c r="CE188" s="59">
        <f t="shared" si="148"/>
        <v>131.3292389103035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0.17928007425170525</v>
      </c>
      <c r="CM188" s="21">
        <f>EXP(-LN(2)/2)*CM187+(1-EXP(-LN(2)/2))/(LN(2)/2)*CG188*CJ188*VLOOKUP('Données projet'!$B$12,Paramètres!$A$1:$I$89,3,0)*0.475*44/12</f>
        <v>2.4626229763778573E-23</v>
      </c>
      <c r="CN188" s="22">
        <f t="shared" si="172"/>
        <v>0.17928007425170525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-7.3896444519050419E-13</v>
      </c>
      <c r="CU188" s="17">
        <f>CT188*VLOOKUP('Données projet'!$B$13,Paramètres!$A$1:$I$89,3,0)*VLOOKUP('Données projet'!$B$13,Paramètres!$A$1:$I$89,5,0)</f>
        <v>-6.6861503000836817E-13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309.07357540707869</v>
      </c>
      <c r="CZ188" s="59">
        <f t="shared" si="150"/>
        <v>155.9593924683299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227.99999999999986</v>
      </c>
      <c r="DP188" s="17">
        <f>DO188*VLOOKUP('Données projet'!$B$14,Paramètres!$A$1:$I$89,3,0)*VLOOKUP('Données projet'!$B$14,Paramètres!$A$1:$I$89,5,0)</f>
        <v>199.18079999999992</v>
      </c>
      <c r="DQ188" s="13">
        <f t="shared" si="176"/>
        <v>49.564089376413683</v>
      </c>
      <c r="DR188" s="20">
        <f t="shared" si="177"/>
        <v>433.23068233058694</v>
      </c>
      <c r="DS188" s="59">
        <f t="shared" si="125"/>
        <v>726.56401566392026</v>
      </c>
      <c r="DT188" s="59">
        <f ca="1">AVERAGE(OFFSET($DS$3,0,0,'Données projet'!$E$14+1,1))-AVERAGE(OFFSET($H$3,0,0,'Données projet'!$E$14+1,1))</f>
        <v>210.07838338464626</v>
      </c>
      <c r="DU188" s="59">
        <f t="shared" si="152"/>
        <v>241.76003724236273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0.24612791993474084</v>
      </c>
      <c r="EB188" s="21">
        <f>EXP(-LN(2)/25)*EB187+(1-EXP(-LN(2)/25))/(LN(2)/25)*Calculateur!DW188*Calculateur!DY188*VLOOKUP('Données projet'!$B$14,Paramètres!$A$1:$I$89,3,0)*0.475*44/12</f>
        <v>0.18444663461057809</v>
      </c>
      <c r="EC188" s="21">
        <f>EXP(-LN(2)/2)*EC187+(1-EXP(-LN(2)/2))/(LN(2)/2)*DW188*DZ188*VLOOKUP('Données projet'!$B$14,Paramètres!$A$1:$I$89,3,0)*0.475*44/12</f>
        <v>7.473413084780632E-23</v>
      </c>
      <c r="ED188" s="22">
        <f t="shared" si="178"/>
        <v>0.4305745545453189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6.2527760746888816E-13</v>
      </c>
      <c r="EK188" s="17">
        <f>EJ188*VLOOKUP('Données projet'!$B$15,Paramètres!$A$1:$I$89,3,0)*VLOOKUP('Données projet'!$B$15,Paramètres!$A$1:$I$89,5,0)</f>
        <v>3.9017322706058616E-13</v>
      </c>
      <c r="EL188" s="13">
        <f t="shared" si="179"/>
        <v>5.0025007393608908E-12</v>
      </c>
      <c r="EM188" s="20">
        <f t="shared" si="180"/>
        <v>9.3922404915174053E-12</v>
      </c>
      <c r="EN188" s="59">
        <f t="shared" si="128"/>
        <v>293.33333333334269</v>
      </c>
      <c r="EO188" s="59">
        <f ca="1">AVERAGE(OFFSET($EN$3,0,0,'Données projet'!$E$15+1,1))-AVERAGE(OFFSET($H$3,0,0,'Données projet'!$E$15+1,1))</f>
        <v>209.93608079129638</v>
      </c>
      <c r="EP188" s="59">
        <f t="shared" si="154"/>
        <v>240.15652428700969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0.32289356817166359</v>
      </c>
      <c r="EW188" s="21">
        <f>EXP(-LN(2)/25)*EW187+(1-EXP(-LN(2)/25))/(LN(2)/25)*Calculateur!ER188*Calculateur!ET188*VLOOKUP('Données projet'!$B$15,Paramètres!$A$1:$I$89,3,0)*0.475*44/12</f>
        <v>0.28276445965190117</v>
      </c>
      <c r="EX188" s="21">
        <f>EXP(-LN(2)/2)*EX187+(1-EXP(-LN(2)/2))/(LN(2)/2)*ER188*EU188*VLOOKUP('Données projet'!$B$15,Paramètres!$A$1:$I$89,3,0)*0.475*44/12</f>
        <v>9.4477674833114541E-23</v>
      </c>
      <c r="EY188" s="22">
        <f t="shared" si="181"/>
        <v>0.60565802782356482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5.6843418860808015E-14</v>
      </c>
      <c r="O189" s="13">
        <f>N189*VLOOKUP('Données projet'!$B$9,Paramètres!$A$1:$I$89,3,0)*VLOOKUP('Données projet'!$B$9,Paramètres!$A$1:$I$89,5,0)</f>
        <v>4.5224624045658861E-14</v>
      </c>
      <c r="P189" s="13">
        <f t="shared" si="141"/>
        <v>7.4514601661523691E-13</v>
      </c>
      <c r="Q189" s="20">
        <f t="shared" si="162"/>
        <v>1.3765621991510601E-12</v>
      </c>
      <c r="R189" s="59">
        <f t="shared" si="109"/>
        <v>293.33333333333468</v>
      </c>
      <c r="S189" s="59">
        <f ca="1">AVERAGE(OFFSET($R$3,0,0,'Données projet'!$E$9+1,1))-AVERAGE(OFFSET($H$3,0,0,'Données projet'!$E$9+1,1))</f>
        <v>199.58763537752952</v>
      </c>
      <c r="T189" s="59">
        <f t="shared" si="142"/>
        <v>242.62852778451929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</v>
      </c>
      <c r="AA189" s="21">
        <f>EXP(-LN(2)/25)*AA188+(1-EXP(-LN(2)/25))/(LN(2)/25)*Calculateur!V189*Calculateur!X189*VLOOKUP('Données projet'!$B$9,Paramètres!$A$1:$I$89,3,0)*0.475*44/12</f>
        <v>0.13604784566575989</v>
      </c>
      <c r="AB189" s="21">
        <f>EXP(-LN(2)/2)*AB188+(1-EXP(-LN(2)/2))/(LN(2)/2)*V189*Y189*VLOOKUP('Données projet'!$B$9,Paramètres!$A$1:$I$89,3,0)*0.475*44/12</f>
        <v>3.5607009854916311E-23</v>
      </c>
      <c r="AC189" s="22">
        <f t="shared" si="163"/>
        <v>0.13604784566575989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566</v>
      </c>
      <c r="AJ189" s="13">
        <f>AI189*VLOOKUP('Données projet'!$B$10,Paramètres!$A$1:$I$89,3,0)*VLOOKUP('Données projet'!$B$10,Paramètres!$A$1:$I$89,5,0)</f>
        <v>338.46800000000002</v>
      </c>
      <c r="AK189" s="13">
        <f t="shared" si="164"/>
        <v>79.183342377469998</v>
      </c>
      <c r="AL189" s="20">
        <f t="shared" si="165"/>
        <v>727.4094213074269</v>
      </c>
      <c r="AM189" s="59">
        <f t="shared" si="113"/>
        <v>1020.7427546407603</v>
      </c>
      <c r="AN189" s="59">
        <f ca="1">AVERAGE(OFFSET($AM$3,0,0,'Données projet'!$E$10+1,1))-AVERAGE(OFFSET($H$3,0,0,'Données projet'!$E$10+1,1))</f>
        <v>287.78657453117694</v>
      </c>
      <c r="AO189" s="59">
        <f t="shared" si="144"/>
        <v>153.31562485362252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0.13326687427565037</v>
      </c>
      <c r="AV189" s="21">
        <f>EXP(-LN(2)/25)*AV188+(1-EXP(-LN(2)/25))/(LN(2)/25)*Calculateur!AQ189*Calculateur!AS189*VLOOKUP('Données projet'!$B$10,Paramètres!$A$1:$I$89,3,0)*0.475*44/12</f>
        <v>7.7151677117241996E-2</v>
      </c>
      <c r="AW189" s="21">
        <f>EXP(-LN(2)/2)*AW188+(1-EXP(-LN(2)/2))/(LN(2)/2)*AQ189*AT189*VLOOKUP('Données projet'!$B$10,Paramètres!$A$1:$I$89,3,0)*0.475*44/12</f>
        <v>3.6740148677910915E-23</v>
      </c>
      <c r="AX189" s="21">
        <f t="shared" si="166"/>
        <v>0.21041855139289237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-6.7984728957526396E-14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250.93905519128998</v>
      </c>
      <c r="BJ189" s="59">
        <f t="shared" si="146"/>
        <v>222.32879462265032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5.8324353465610032E-2</v>
      </c>
      <c r="BQ189" s="21">
        <f>EXP(-LN(2)/25)*BQ188+(1-EXP(-LN(2)/25))/(LN(2)/25)*Calculateur!BL189*Calculateur!BN189*VLOOKUP('Données projet'!$B$11,Paramètres!$A$1:$I$89,3,0)*0.475*44/12</f>
        <v>0.15313783315465929</v>
      </c>
      <c r="BR189" s="21">
        <f>EXP(-LN(2)/2)*BR188+(1-EXP(-LN(2)/2))/(LN(2)/2)*BL189*BO189*VLOOKUP('Données projet'!$B$11,Paramètres!$A$1:$I$89,3,0)*0.475*44/12</f>
        <v>6.244811783234523E-24</v>
      </c>
      <c r="BS189" s="22">
        <f t="shared" si="169"/>
        <v>0.21146218662026933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-2.8421709430404007E-13</v>
      </c>
      <c r="BZ189" s="13">
        <f>BY189*VLOOKUP('Données projet'!$B$12,Paramètres!$A$1:$I$89,3,0)*VLOOKUP('Données projet'!$B$12,Paramètres!$A$1:$I$89,5,0)</f>
        <v>-1.69961822393816E-13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179.32848817523677</v>
      </c>
      <c r="CE189" s="59">
        <f t="shared" si="148"/>
        <v>131.3292389103035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0.17437765119336301</v>
      </c>
      <c r="CM189" s="21">
        <f>EXP(-LN(2)/2)*CM188+(1-EXP(-LN(2)/2))/(LN(2)/2)*CG189*CJ189*VLOOKUP('Données projet'!$B$12,Paramètres!$A$1:$I$89,3,0)*0.475*44/12</f>
        <v>1.7413374061025819E-23</v>
      </c>
      <c r="CN189" s="22">
        <f t="shared" si="172"/>
        <v>0.17437765119336301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-7.3896444519050419E-13</v>
      </c>
      <c r="CU189" s="17">
        <f>CT189*VLOOKUP('Données projet'!$B$13,Paramètres!$A$1:$I$89,3,0)*VLOOKUP('Données projet'!$B$13,Paramètres!$A$1:$I$89,5,0)</f>
        <v>-6.6861503000836817E-13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309.07357540707869</v>
      </c>
      <c r="CZ189" s="59">
        <f t="shared" si="150"/>
        <v>155.9593924683299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227.99999999999986</v>
      </c>
      <c r="DP189" s="17">
        <f>DO189*VLOOKUP('Données projet'!$B$14,Paramètres!$A$1:$I$89,3,0)*VLOOKUP('Données projet'!$B$14,Paramètres!$A$1:$I$89,5,0)</f>
        <v>199.18079999999992</v>
      </c>
      <c r="DQ189" s="13">
        <f t="shared" si="176"/>
        <v>49.564089376413683</v>
      </c>
      <c r="DR189" s="20">
        <f t="shared" si="177"/>
        <v>433.23068233058694</v>
      </c>
      <c r="DS189" s="59">
        <f t="shared" si="125"/>
        <v>726.56401566392026</v>
      </c>
      <c r="DT189" s="59">
        <f ca="1">AVERAGE(OFFSET($DS$3,0,0,'Données projet'!$E$14+1,1))-AVERAGE(OFFSET($H$3,0,0,'Données projet'!$E$14+1,1))</f>
        <v>210.07838338464626</v>
      </c>
      <c r="DU189" s="59">
        <f t="shared" si="152"/>
        <v>241.76003724236273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0.24130150154802829</v>
      </c>
      <c r="EB189" s="21">
        <f>EXP(-LN(2)/25)*EB188+(1-EXP(-LN(2)/25))/(LN(2)/25)*Calculateur!DW189*Calculateur!DY189*VLOOKUP('Données projet'!$B$14,Paramètres!$A$1:$I$89,3,0)*0.475*44/12</f>
        <v>0.17940293168752489</v>
      </c>
      <c r="EC189" s="21">
        <f>EXP(-LN(2)/2)*EC188+(1-EXP(-LN(2)/2))/(LN(2)/2)*DW189*DZ189*VLOOKUP('Données projet'!$B$14,Paramètres!$A$1:$I$89,3,0)*0.475*44/12</f>
        <v>5.28450107085666E-23</v>
      </c>
      <c r="ED189" s="22">
        <f t="shared" si="178"/>
        <v>0.42070443323555318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6.2527760746888816E-13</v>
      </c>
      <c r="EK189" s="17">
        <f>EJ189*VLOOKUP('Données projet'!$B$15,Paramètres!$A$1:$I$89,3,0)*VLOOKUP('Données projet'!$B$15,Paramètres!$A$1:$I$89,5,0)</f>
        <v>3.9017322706058616E-13</v>
      </c>
      <c r="EL189" s="13">
        <f t="shared" si="179"/>
        <v>5.0025007393608908E-12</v>
      </c>
      <c r="EM189" s="20">
        <f t="shared" si="180"/>
        <v>9.3922404915174053E-12</v>
      </c>
      <c r="EN189" s="59">
        <f t="shared" si="128"/>
        <v>293.33333333334269</v>
      </c>
      <c r="EO189" s="59">
        <f ca="1">AVERAGE(OFFSET($EN$3,0,0,'Données projet'!$E$15+1,1))-AVERAGE(OFFSET($H$3,0,0,'Données projet'!$E$15+1,1))</f>
        <v>209.93608079129638</v>
      </c>
      <c r="EP189" s="59">
        <f t="shared" si="154"/>
        <v>240.15652428700969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0.3165618222454471</v>
      </c>
      <c r="EW189" s="21">
        <f>EXP(-LN(2)/25)*EW188+(1-EXP(-LN(2)/25))/(LN(2)/25)*Calculateur!ER189*Calculateur!ET189*VLOOKUP('Données projet'!$B$15,Paramètres!$A$1:$I$89,3,0)*0.475*44/12</f>
        <v>0.27503225063278325</v>
      </c>
      <c r="EX189" s="21">
        <f>EXP(-LN(2)/2)*EX188+(1-EXP(-LN(2)/2))/(LN(2)/2)*ER189*EU189*VLOOKUP('Données projet'!$B$15,Paramètres!$A$1:$I$89,3,0)*0.475*44/12</f>
        <v>6.6805804545232911E-23</v>
      </c>
      <c r="EY189" s="22">
        <f t="shared" si="181"/>
        <v>0.59159407287823029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5.6843418860808015E-14</v>
      </c>
      <c r="O190" s="13">
        <f>N190*VLOOKUP('Données projet'!$B$9,Paramètres!$A$1:$I$89,3,0)*VLOOKUP('Données projet'!$B$9,Paramètres!$A$1:$I$89,5,0)</f>
        <v>4.5224624045658861E-14</v>
      </c>
      <c r="P190" s="13">
        <f t="shared" si="141"/>
        <v>7.4514601661523691E-13</v>
      </c>
      <c r="Q190" s="20">
        <f t="shared" si="162"/>
        <v>1.3765621991510601E-12</v>
      </c>
      <c r="R190" s="59">
        <f t="shared" si="109"/>
        <v>293.33333333333468</v>
      </c>
      <c r="S190" s="59">
        <f ca="1">AVERAGE(OFFSET($R$3,0,0,'Données projet'!$E$9+1,1))-AVERAGE(OFFSET($H$3,0,0,'Données projet'!$E$9+1,1))</f>
        <v>199.58763537752952</v>
      </c>
      <c r="T190" s="59">
        <f t="shared" si="142"/>
        <v>242.62852778451929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</v>
      </c>
      <c r="AA190" s="21">
        <f>EXP(-LN(2)/25)*AA189+(1-EXP(-LN(2)/25))/(LN(2)/25)*Calculateur!V190*Calculateur!X190*VLOOKUP('Données projet'!$B$9,Paramètres!$A$1:$I$89,3,0)*0.475*44/12</f>
        <v>0.13232761017158443</v>
      </c>
      <c r="AB190" s="21">
        <f>EXP(-LN(2)/2)*AB189+(1-EXP(-LN(2)/2))/(LN(2)/2)*V190*Y190*VLOOKUP('Données projet'!$B$9,Paramètres!$A$1:$I$89,3,0)*0.475*44/12</f>
        <v>2.517795812618755E-23</v>
      </c>
      <c r="AC190" s="22">
        <f t="shared" si="163"/>
        <v>0.13232761017158443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566</v>
      </c>
      <c r="AJ190" s="13">
        <f>AI190*VLOOKUP('Données projet'!$B$10,Paramètres!$A$1:$I$89,3,0)*VLOOKUP('Données projet'!$B$10,Paramètres!$A$1:$I$89,5,0)</f>
        <v>338.46800000000002</v>
      </c>
      <c r="AK190" s="13">
        <f t="shared" si="164"/>
        <v>79.183342377469998</v>
      </c>
      <c r="AL190" s="20">
        <f t="shared" si="165"/>
        <v>727.4094213074269</v>
      </c>
      <c r="AM190" s="59">
        <f t="shared" si="113"/>
        <v>1020.7427546407603</v>
      </c>
      <c r="AN190" s="59">
        <f ca="1">AVERAGE(OFFSET($AM$3,0,0,'Données projet'!$E$10+1,1))-AVERAGE(OFFSET($H$3,0,0,'Données projet'!$E$10+1,1))</f>
        <v>287.78657453117694</v>
      </c>
      <c r="AO190" s="59">
        <f t="shared" si="144"/>
        <v>153.31562485362252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0.13065359215587197</v>
      </c>
      <c r="AV190" s="21">
        <f>EXP(-LN(2)/25)*AV189+(1-EXP(-LN(2)/25))/(LN(2)/25)*Calculateur!AQ190*Calculateur!AS190*VLOOKUP('Données projet'!$B$10,Paramètres!$A$1:$I$89,3,0)*0.475*44/12</f>
        <v>7.5041960449240649E-2</v>
      </c>
      <c r="AW190" s="21">
        <f>EXP(-LN(2)/2)*AW189+(1-EXP(-LN(2)/2))/(LN(2)/2)*AQ190*AT190*VLOOKUP('Données projet'!$B$10,Paramètres!$A$1:$I$89,3,0)*0.475*44/12</f>
        <v>2.5979208271952778E-23</v>
      </c>
      <c r="AX190" s="21">
        <f t="shared" si="166"/>
        <v>0.20569555260511263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-6.7984728957526396E-14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250.93905519128998</v>
      </c>
      <c r="BJ190" s="59">
        <f t="shared" si="146"/>
        <v>222.32879462265032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5.7180648468492357E-2</v>
      </c>
      <c r="BQ190" s="21">
        <f>EXP(-LN(2)/25)*BQ189+(1-EXP(-LN(2)/25))/(LN(2)/25)*Calculateur!BL190*Calculateur!BN190*VLOOKUP('Données projet'!$B$11,Paramètres!$A$1:$I$89,3,0)*0.475*44/12</f>
        <v>0.14895027105387648</v>
      </c>
      <c r="BR190" s="21">
        <f>EXP(-LN(2)/2)*BR189+(1-EXP(-LN(2)/2))/(LN(2)/2)*BL190*BO190*VLOOKUP('Données projet'!$B$11,Paramètres!$A$1:$I$89,3,0)*0.475*44/12</f>
        <v>4.4157487591587875E-24</v>
      </c>
      <c r="BS190" s="22">
        <f t="shared" si="169"/>
        <v>0.20613091952236884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-2.8421709430404007E-13</v>
      </c>
      <c r="BZ190" s="13">
        <f>BY190*VLOOKUP('Données projet'!$B$12,Paramètres!$A$1:$I$89,3,0)*VLOOKUP('Données projet'!$B$12,Paramètres!$A$1:$I$89,5,0)</f>
        <v>-1.69961822393816E-13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179.32848817523677</v>
      </c>
      <c r="CE190" s="59">
        <f t="shared" si="148"/>
        <v>131.3292389103035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0.16960928515135837</v>
      </c>
      <c r="CM190" s="21">
        <f>EXP(-LN(2)/2)*CM189+(1-EXP(-LN(2)/2))/(LN(2)/2)*CG190*CJ190*VLOOKUP('Données projet'!$B$12,Paramètres!$A$1:$I$89,3,0)*0.475*44/12</f>
        <v>1.2313114881889286E-23</v>
      </c>
      <c r="CN190" s="22">
        <f t="shared" si="172"/>
        <v>0.16960928515135837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-7.3896444519050419E-13</v>
      </c>
      <c r="CU190" s="17">
        <f>CT190*VLOOKUP('Données projet'!$B$13,Paramètres!$A$1:$I$89,3,0)*VLOOKUP('Données projet'!$B$13,Paramètres!$A$1:$I$89,5,0)</f>
        <v>-6.6861503000836817E-13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309.07357540707869</v>
      </c>
      <c r="CZ190" s="59">
        <f t="shared" si="150"/>
        <v>155.9593924683299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227.99999999999986</v>
      </c>
      <c r="DP190" s="17">
        <f>DO190*VLOOKUP('Données projet'!$B$14,Paramètres!$A$1:$I$89,3,0)*VLOOKUP('Données projet'!$B$14,Paramètres!$A$1:$I$89,5,0)</f>
        <v>199.18079999999992</v>
      </c>
      <c r="DQ190" s="13">
        <f t="shared" si="176"/>
        <v>49.564089376413683</v>
      </c>
      <c r="DR190" s="20">
        <f t="shared" si="177"/>
        <v>433.23068233058694</v>
      </c>
      <c r="DS190" s="59">
        <f t="shared" si="125"/>
        <v>726.56401566392026</v>
      </c>
      <c r="DT190" s="59">
        <f ca="1">AVERAGE(OFFSET($DS$3,0,0,'Données projet'!$E$14+1,1))-AVERAGE(OFFSET($H$3,0,0,'Données projet'!$E$14+1,1))</f>
        <v>210.07838338464626</v>
      </c>
      <c r="DU190" s="59">
        <f t="shared" si="152"/>
        <v>241.76003724236273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0.23656972628205464</v>
      </c>
      <c r="EB190" s="21">
        <f>EXP(-LN(2)/25)*EB189+(1-EXP(-LN(2)/25))/(LN(2)/25)*Calculateur!DW190*Calculateur!DY190*VLOOKUP('Données projet'!$B$14,Paramètres!$A$1:$I$89,3,0)*0.475*44/12</f>
        <v>0.17449714908613936</v>
      </c>
      <c r="EC190" s="21">
        <f>EXP(-LN(2)/2)*EC189+(1-EXP(-LN(2)/2))/(LN(2)/2)*DW190*DZ190*VLOOKUP('Données projet'!$B$14,Paramètres!$A$1:$I$89,3,0)*0.475*44/12</f>
        <v>3.7367065423903166E-23</v>
      </c>
      <c r="ED190" s="22">
        <f t="shared" si="178"/>
        <v>0.41106687536819397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6.2527760746888816E-13</v>
      </c>
      <c r="EK190" s="17">
        <f>EJ190*VLOOKUP('Données projet'!$B$15,Paramètres!$A$1:$I$89,3,0)*VLOOKUP('Données projet'!$B$15,Paramètres!$A$1:$I$89,5,0)</f>
        <v>3.9017322706058616E-13</v>
      </c>
      <c r="EL190" s="13">
        <f t="shared" si="179"/>
        <v>5.0025007393608908E-12</v>
      </c>
      <c r="EM190" s="20">
        <f t="shared" si="180"/>
        <v>9.3922404915174053E-12</v>
      </c>
      <c r="EN190" s="59">
        <f t="shared" si="128"/>
        <v>293.33333333334269</v>
      </c>
      <c r="EO190" s="59">
        <f ca="1">AVERAGE(OFFSET($EN$3,0,0,'Données projet'!$E$15+1,1))-AVERAGE(OFFSET($H$3,0,0,'Données projet'!$E$15+1,1))</f>
        <v>209.93608079129638</v>
      </c>
      <c r="EP190" s="59">
        <f t="shared" si="154"/>
        <v>240.15652428700969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0.31035423799486</v>
      </c>
      <c r="EW190" s="21">
        <f>EXP(-LN(2)/25)*EW189+(1-EXP(-LN(2)/25))/(LN(2)/25)*Calculateur!ER190*Calculateur!ET190*VLOOKUP('Données projet'!$B$15,Paramètres!$A$1:$I$89,3,0)*0.475*44/12</f>
        <v>0.26751147927591234</v>
      </c>
      <c r="EX190" s="21">
        <f>EXP(-LN(2)/2)*EX189+(1-EXP(-LN(2)/2))/(LN(2)/2)*ER190*EU190*VLOOKUP('Données projet'!$B$15,Paramètres!$A$1:$I$89,3,0)*0.475*44/12</f>
        <v>4.7238837416557271E-23</v>
      </c>
      <c r="EY190" s="22">
        <f t="shared" si="181"/>
        <v>0.57786571727077241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5.6843418860808015E-14</v>
      </c>
      <c r="O191" s="13">
        <f>N191*VLOOKUP('Données projet'!$B$9,Paramètres!$A$1:$I$89,3,0)*VLOOKUP('Données projet'!$B$9,Paramètres!$A$1:$I$89,5,0)</f>
        <v>4.5224624045658861E-14</v>
      </c>
      <c r="P191" s="13">
        <f t="shared" si="141"/>
        <v>7.4514601661523691E-13</v>
      </c>
      <c r="Q191" s="20">
        <f t="shared" si="162"/>
        <v>1.3765621991510601E-12</v>
      </c>
      <c r="R191" s="59">
        <f t="shared" si="109"/>
        <v>293.33333333333468</v>
      </c>
      <c r="S191" s="59">
        <f ca="1">AVERAGE(OFFSET($R$3,0,0,'Données projet'!$E$9+1,1))-AVERAGE(OFFSET($H$3,0,0,'Données projet'!$E$9+1,1))</f>
        <v>199.58763537752952</v>
      </c>
      <c r="T191" s="59">
        <f t="shared" si="142"/>
        <v>242.62852778451929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</v>
      </c>
      <c r="AA191" s="21">
        <f>EXP(-LN(2)/25)*AA190+(1-EXP(-LN(2)/25))/(LN(2)/25)*Calculateur!V191*Calculateur!X191*VLOOKUP('Données projet'!$B$9,Paramètres!$A$1:$I$89,3,0)*0.475*44/12</f>
        <v>0.12870910471263586</v>
      </c>
      <c r="AB191" s="21">
        <f>EXP(-LN(2)/2)*AB190+(1-EXP(-LN(2)/2))/(LN(2)/2)*V191*Y191*VLOOKUP('Données projet'!$B$9,Paramètres!$A$1:$I$89,3,0)*0.475*44/12</f>
        <v>1.7803504927458156E-23</v>
      </c>
      <c r="AC191" s="22">
        <f t="shared" si="163"/>
        <v>0.12870910471263586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566</v>
      </c>
      <c r="AJ191" s="13">
        <f>AI191*VLOOKUP('Données projet'!$B$10,Paramètres!$A$1:$I$89,3,0)*VLOOKUP('Données projet'!$B$10,Paramètres!$A$1:$I$89,5,0)</f>
        <v>338.46800000000002</v>
      </c>
      <c r="AK191" s="13">
        <f t="shared" si="164"/>
        <v>79.183342377469998</v>
      </c>
      <c r="AL191" s="20">
        <f t="shared" si="165"/>
        <v>727.4094213074269</v>
      </c>
      <c r="AM191" s="59">
        <f t="shared" si="113"/>
        <v>1020.7427546407603</v>
      </c>
      <c r="AN191" s="59">
        <f ca="1">AVERAGE(OFFSET($AM$3,0,0,'Données projet'!$E$10+1,1))-AVERAGE(OFFSET($H$3,0,0,'Données projet'!$E$10+1,1))</f>
        <v>287.78657453117694</v>
      </c>
      <c r="AO191" s="59">
        <f t="shared" si="144"/>
        <v>153.31562485362252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0.12809155490451771</v>
      </c>
      <c r="AV191" s="21">
        <f>EXP(-LN(2)/25)*AV190+(1-EXP(-LN(2)/25))/(LN(2)/25)*Calculateur!AQ191*Calculateur!AS191*VLOOKUP('Données projet'!$B$10,Paramètres!$A$1:$I$89,3,0)*0.475*44/12</f>
        <v>7.2989934094470979E-2</v>
      </c>
      <c r="AW191" s="21">
        <f>EXP(-LN(2)/2)*AW190+(1-EXP(-LN(2)/2))/(LN(2)/2)*AQ191*AT191*VLOOKUP('Données projet'!$B$10,Paramètres!$A$1:$I$89,3,0)*0.475*44/12</f>
        <v>1.837007433895546E-23</v>
      </c>
      <c r="AX191" s="21">
        <f t="shared" si="166"/>
        <v>0.2010814889989887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-6.7984728957526396E-14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250.93905519128998</v>
      </c>
      <c r="BJ191" s="59">
        <f t="shared" si="146"/>
        <v>222.32879462265032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5.6059370828776996E-2</v>
      </c>
      <c r="BQ191" s="21">
        <f>EXP(-LN(2)/25)*BQ190+(1-EXP(-LN(2)/25))/(LN(2)/25)*Calculateur!BL191*Calculateur!BN191*VLOOKUP('Données projet'!$B$11,Paramètres!$A$1:$I$89,3,0)*0.475*44/12</f>
        <v>0.1448772180589539</v>
      </c>
      <c r="BR191" s="21">
        <f>EXP(-LN(2)/2)*BR190+(1-EXP(-LN(2)/2))/(LN(2)/2)*BL191*BO191*VLOOKUP('Données projet'!$B$11,Paramètres!$A$1:$I$89,3,0)*0.475*44/12</f>
        <v>3.1224058916172615E-24</v>
      </c>
      <c r="BS191" s="22">
        <f t="shared" si="169"/>
        <v>0.20093658888773089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-2.8421709430404007E-13</v>
      </c>
      <c r="BZ191" s="13">
        <f>BY191*VLOOKUP('Données projet'!$B$12,Paramètres!$A$1:$I$89,3,0)*VLOOKUP('Données projet'!$B$12,Paramètres!$A$1:$I$89,5,0)</f>
        <v>-1.69961822393816E-13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179.32848817523677</v>
      </c>
      <c r="CE191" s="59">
        <f t="shared" si="148"/>
        <v>131.3292389103035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0.1649713103295298</v>
      </c>
      <c r="CM191" s="21">
        <f>EXP(-LN(2)/2)*CM190+(1-EXP(-LN(2)/2))/(LN(2)/2)*CG191*CJ191*VLOOKUP('Données projet'!$B$12,Paramètres!$A$1:$I$89,3,0)*0.475*44/12</f>
        <v>8.7066870305129095E-24</v>
      </c>
      <c r="CN191" s="22">
        <f t="shared" si="172"/>
        <v>0.1649713103295298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-7.3896444519050419E-13</v>
      </c>
      <c r="CU191" s="17">
        <f>CT191*VLOOKUP('Données projet'!$B$13,Paramètres!$A$1:$I$89,3,0)*VLOOKUP('Données projet'!$B$13,Paramètres!$A$1:$I$89,5,0)</f>
        <v>-6.6861503000836817E-13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309.07357540707869</v>
      </c>
      <c r="CZ191" s="59">
        <f t="shared" si="150"/>
        <v>155.9593924683299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227.99999999999986</v>
      </c>
      <c r="DP191" s="17">
        <f>DO191*VLOOKUP('Données projet'!$B$14,Paramètres!$A$1:$I$89,3,0)*VLOOKUP('Données projet'!$B$14,Paramètres!$A$1:$I$89,5,0)</f>
        <v>199.18079999999992</v>
      </c>
      <c r="DQ191" s="13">
        <f t="shared" si="176"/>
        <v>49.564089376413683</v>
      </c>
      <c r="DR191" s="20">
        <f t="shared" si="177"/>
        <v>433.23068233058694</v>
      </c>
      <c r="DS191" s="59">
        <f t="shared" si="125"/>
        <v>726.56401566392026</v>
      </c>
      <c r="DT191" s="59">
        <f ca="1">AVERAGE(OFFSET($DS$3,0,0,'Données projet'!$E$14+1,1))-AVERAGE(OFFSET($H$3,0,0,'Données projet'!$E$14+1,1))</f>
        <v>210.07838338464626</v>
      </c>
      <c r="DU191" s="59">
        <f t="shared" si="152"/>
        <v>241.76003724236273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0.2319307382429488</v>
      </c>
      <c r="EB191" s="21">
        <f>EXP(-LN(2)/25)*EB190+(1-EXP(-LN(2)/25))/(LN(2)/25)*Calculateur!DW191*Calculateur!DY191*VLOOKUP('Données projet'!$B$14,Paramètres!$A$1:$I$89,3,0)*0.475*44/12</f>
        <v>0.16972551536797262</v>
      </c>
      <c r="EC191" s="21">
        <f>EXP(-LN(2)/2)*EC190+(1-EXP(-LN(2)/2))/(LN(2)/2)*DW191*DZ191*VLOOKUP('Données projet'!$B$14,Paramètres!$A$1:$I$89,3,0)*0.475*44/12</f>
        <v>2.6422505354283303E-23</v>
      </c>
      <c r="ED191" s="22">
        <f t="shared" si="178"/>
        <v>0.40165625361092139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6.2527760746888816E-13</v>
      </c>
      <c r="EK191" s="17">
        <f>EJ191*VLOOKUP('Données projet'!$B$15,Paramètres!$A$1:$I$89,3,0)*VLOOKUP('Données projet'!$B$15,Paramètres!$A$1:$I$89,5,0)</f>
        <v>3.9017322706058616E-13</v>
      </c>
      <c r="EL191" s="13">
        <f t="shared" si="179"/>
        <v>5.0025007393608908E-12</v>
      </c>
      <c r="EM191" s="20">
        <f t="shared" si="180"/>
        <v>9.3922404915174053E-12</v>
      </c>
      <c r="EN191" s="59">
        <f t="shared" si="128"/>
        <v>293.33333333334269</v>
      </c>
      <c r="EO191" s="59">
        <f ca="1">AVERAGE(OFFSET($EN$3,0,0,'Données projet'!$E$15+1,1))-AVERAGE(OFFSET($H$3,0,0,'Données projet'!$E$15+1,1))</f>
        <v>209.93608079129638</v>
      </c>
      <c r="EP191" s="59">
        <f t="shared" si="154"/>
        <v>240.15652428700969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0.30426838068517442</v>
      </c>
      <c r="EW191" s="21">
        <f>EXP(-LN(2)/25)*EW190+(1-EXP(-LN(2)/25))/(LN(2)/25)*Calculateur!ER191*Calculateur!ET191*VLOOKUP('Données projet'!$B$15,Paramètres!$A$1:$I$89,3,0)*0.475*44/12</f>
        <v>0.26019636380729522</v>
      </c>
      <c r="EX191" s="21">
        <f>EXP(-LN(2)/2)*EX190+(1-EXP(-LN(2)/2))/(LN(2)/2)*ER191*EU191*VLOOKUP('Données projet'!$B$15,Paramètres!$A$1:$I$89,3,0)*0.475*44/12</f>
        <v>3.3402902272616456E-23</v>
      </c>
      <c r="EY191" s="22">
        <f t="shared" si="181"/>
        <v>0.56446474449246964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5.6843418860808015E-14</v>
      </c>
      <c r="O192" s="13">
        <f>N192*VLOOKUP('Données projet'!$B$9,Paramètres!$A$1:$I$89,3,0)*VLOOKUP('Données projet'!$B$9,Paramètres!$A$1:$I$89,5,0)</f>
        <v>4.5224624045658861E-14</v>
      </c>
      <c r="P192" s="13">
        <f t="shared" si="141"/>
        <v>7.4514601661523691E-13</v>
      </c>
      <c r="Q192" s="20">
        <f t="shared" si="162"/>
        <v>1.3765621991510601E-12</v>
      </c>
      <c r="R192" s="59">
        <f t="shared" si="109"/>
        <v>293.33333333333468</v>
      </c>
      <c r="S192" s="59">
        <f ca="1">AVERAGE(OFFSET($R$3,0,0,'Données projet'!$E$9+1,1))-AVERAGE(OFFSET($H$3,0,0,'Données projet'!$E$9+1,1))</f>
        <v>199.58763537752952</v>
      </c>
      <c r="T192" s="59">
        <f t="shared" si="142"/>
        <v>242.62852778451929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</v>
      </c>
      <c r="AA192" s="21">
        <f>EXP(-LN(2)/25)*AA191+(1-EXP(-LN(2)/25))/(LN(2)/25)*Calculateur!V192*Calculateur!X192*VLOOKUP('Données projet'!$B$9,Paramètres!$A$1:$I$89,3,0)*0.475*44/12</f>
        <v>0.12518954747575117</v>
      </c>
      <c r="AB192" s="21">
        <f>EXP(-LN(2)/2)*AB191+(1-EXP(-LN(2)/2))/(LN(2)/2)*V192*Y192*VLOOKUP('Données projet'!$B$9,Paramètres!$A$1:$I$89,3,0)*0.475*44/12</f>
        <v>1.2588979063093775E-23</v>
      </c>
      <c r="AC192" s="22">
        <f t="shared" si="163"/>
        <v>0.12518954747575117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566</v>
      </c>
      <c r="AJ192" s="13">
        <f>AI192*VLOOKUP('Données projet'!$B$10,Paramètres!$A$1:$I$89,3,0)*VLOOKUP('Données projet'!$B$10,Paramètres!$A$1:$I$89,5,0)</f>
        <v>338.46800000000002</v>
      </c>
      <c r="AK192" s="13">
        <f t="shared" si="164"/>
        <v>79.183342377469998</v>
      </c>
      <c r="AL192" s="20">
        <f t="shared" si="165"/>
        <v>727.4094213074269</v>
      </c>
      <c r="AM192" s="59">
        <f t="shared" si="113"/>
        <v>1020.7427546407603</v>
      </c>
      <c r="AN192" s="59">
        <f ca="1">AVERAGE(OFFSET($AM$3,0,0,'Données projet'!$E$10+1,1))-AVERAGE(OFFSET($H$3,0,0,'Données projet'!$E$10+1,1))</f>
        <v>287.78657453117694</v>
      </c>
      <c r="AO192" s="59">
        <f t="shared" si="144"/>
        <v>153.31562485362252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0.12557975764097409</v>
      </c>
      <c r="AV192" s="21">
        <f>EXP(-LN(2)/25)*AV191+(1-EXP(-LN(2)/25))/(LN(2)/25)*Calculateur!AQ192*Calculateur!AS192*VLOOKUP('Données projet'!$B$10,Paramètres!$A$1:$I$89,3,0)*0.475*44/12</f>
        <v>7.099402050828385E-2</v>
      </c>
      <c r="AW192" s="21">
        <f>EXP(-LN(2)/2)*AW191+(1-EXP(-LN(2)/2))/(LN(2)/2)*AQ192*AT192*VLOOKUP('Données projet'!$B$10,Paramètres!$A$1:$I$89,3,0)*0.475*44/12</f>
        <v>1.2989604135976391E-23</v>
      </c>
      <c r="AX192" s="21">
        <f t="shared" si="166"/>
        <v>0.19657377814925794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-6.7984728957526396E-14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250.93905519128998</v>
      </c>
      <c r="BJ192" s="59">
        <f t="shared" si="146"/>
        <v>222.32879462265032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5.4960080759664624E-2</v>
      </c>
      <c r="BQ192" s="21">
        <f>EXP(-LN(2)/25)*BQ191+(1-EXP(-LN(2)/25))/(LN(2)/25)*Calculateur!BL192*Calculateur!BN192*VLOOKUP('Données projet'!$B$11,Paramètres!$A$1:$I$89,3,0)*0.475*44/12</f>
        <v>0.14091554291237002</v>
      </c>
      <c r="BR192" s="21">
        <f>EXP(-LN(2)/2)*BR191+(1-EXP(-LN(2)/2))/(LN(2)/2)*BL192*BO192*VLOOKUP('Données projet'!$B$11,Paramètres!$A$1:$I$89,3,0)*0.475*44/12</f>
        <v>2.2078743795793937E-24</v>
      </c>
      <c r="BS192" s="22">
        <f t="shared" si="169"/>
        <v>0.19587562367203465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-2.8421709430404007E-13</v>
      </c>
      <c r="BZ192" s="13">
        <f>BY192*VLOOKUP('Données projet'!$B$12,Paramètres!$A$1:$I$89,3,0)*VLOOKUP('Données projet'!$B$12,Paramètres!$A$1:$I$89,5,0)</f>
        <v>-1.69961822393816E-13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179.32848817523677</v>
      </c>
      <c r="CE192" s="59">
        <f t="shared" si="148"/>
        <v>131.3292389103035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0.16046016117310466</v>
      </c>
      <c r="CM192" s="21">
        <f>EXP(-LN(2)/2)*CM191+(1-EXP(-LN(2)/2))/(LN(2)/2)*CG192*CJ192*VLOOKUP('Données projet'!$B$12,Paramètres!$A$1:$I$89,3,0)*0.475*44/12</f>
        <v>6.1565574409446432E-24</v>
      </c>
      <c r="CN192" s="22">
        <f t="shared" si="172"/>
        <v>0.16046016117310466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-7.3896444519050419E-13</v>
      </c>
      <c r="CU192" s="17">
        <f>CT192*VLOOKUP('Données projet'!$B$13,Paramètres!$A$1:$I$89,3,0)*VLOOKUP('Données projet'!$B$13,Paramètres!$A$1:$I$89,5,0)</f>
        <v>-6.6861503000836817E-13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309.07357540707869</v>
      </c>
      <c r="CZ192" s="59">
        <f t="shared" si="150"/>
        <v>155.9593924683299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227.99999999999986</v>
      </c>
      <c r="DP192" s="17">
        <f>DO192*VLOOKUP('Données projet'!$B$14,Paramètres!$A$1:$I$89,3,0)*VLOOKUP('Données projet'!$B$14,Paramètres!$A$1:$I$89,5,0)</f>
        <v>199.18079999999992</v>
      </c>
      <c r="DQ192" s="13">
        <f t="shared" si="176"/>
        <v>49.564089376413683</v>
      </c>
      <c r="DR192" s="20">
        <f t="shared" si="177"/>
        <v>433.23068233058694</v>
      </c>
      <c r="DS192" s="59">
        <f t="shared" si="125"/>
        <v>726.56401566392026</v>
      </c>
      <c r="DT192" s="59">
        <f ca="1">AVERAGE(OFFSET($DS$3,0,0,'Données projet'!$E$14+1,1))-AVERAGE(OFFSET($H$3,0,0,'Données projet'!$E$14+1,1))</f>
        <v>210.07838338464626</v>
      </c>
      <c r="DU192" s="59">
        <f t="shared" si="152"/>
        <v>241.76003724236273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0.22738271792978651</v>
      </c>
      <c r="EB192" s="21">
        <f>EXP(-LN(2)/25)*EB191+(1-EXP(-LN(2)/25))/(LN(2)/25)*Calculateur!DW192*Calculateur!DY192*VLOOKUP('Données projet'!$B$14,Paramètres!$A$1:$I$89,3,0)*0.475*44/12</f>
        <v>0.16508436222475847</v>
      </c>
      <c r="EC192" s="21">
        <f>EXP(-LN(2)/2)*EC191+(1-EXP(-LN(2)/2))/(LN(2)/2)*DW192*DZ192*VLOOKUP('Données projet'!$B$14,Paramètres!$A$1:$I$89,3,0)*0.475*44/12</f>
        <v>1.8683532711951586E-23</v>
      </c>
      <c r="ED192" s="22">
        <f t="shared" si="178"/>
        <v>0.39246708015454501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6.2527760746888816E-13</v>
      </c>
      <c r="EK192" s="17">
        <f>EJ192*VLOOKUP('Données projet'!$B$15,Paramètres!$A$1:$I$89,3,0)*VLOOKUP('Données projet'!$B$15,Paramètres!$A$1:$I$89,5,0)</f>
        <v>3.9017322706058616E-13</v>
      </c>
      <c r="EL192" s="13">
        <f t="shared" si="179"/>
        <v>5.0025007393608908E-12</v>
      </c>
      <c r="EM192" s="20">
        <f t="shared" si="180"/>
        <v>9.3922404915174053E-12</v>
      </c>
      <c r="EN192" s="59">
        <f t="shared" si="128"/>
        <v>293.33333333334269</v>
      </c>
      <c r="EO192" s="59">
        <f ca="1">AVERAGE(OFFSET($EN$3,0,0,'Données projet'!$E$15+1,1))-AVERAGE(OFFSET($H$3,0,0,'Données projet'!$E$15+1,1))</f>
        <v>209.93608079129638</v>
      </c>
      <c r="EP192" s="59">
        <f t="shared" si="154"/>
        <v>240.15652428700969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0.29830186332532532</v>
      </c>
      <c r="EW192" s="21">
        <f>EXP(-LN(2)/25)*EW191+(1-EXP(-LN(2)/25))/(LN(2)/25)*Calculateur!ER192*Calculateur!ET192*VLOOKUP('Données projet'!$B$15,Paramètres!$A$1:$I$89,3,0)*0.475*44/12</f>
        <v>0.25308128055585266</v>
      </c>
      <c r="EX192" s="21">
        <f>EXP(-LN(2)/2)*EX191+(1-EXP(-LN(2)/2))/(LN(2)/2)*ER192*EU192*VLOOKUP('Données projet'!$B$15,Paramètres!$A$1:$I$89,3,0)*0.475*44/12</f>
        <v>2.3619418708278635E-23</v>
      </c>
      <c r="EY192" s="22">
        <f t="shared" si="181"/>
        <v>0.55138314388117804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5.6843418860808015E-14</v>
      </c>
      <c r="O193" s="13">
        <f>N193*VLOOKUP('Données projet'!$B$9,Paramètres!$A$1:$I$89,3,0)*VLOOKUP('Données projet'!$B$9,Paramètres!$A$1:$I$89,5,0)</f>
        <v>4.5224624045658861E-14</v>
      </c>
      <c r="P193" s="13">
        <f t="shared" si="141"/>
        <v>7.4514601661523691E-13</v>
      </c>
      <c r="Q193" s="20">
        <f t="shared" si="162"/>
        <v>1.3765621991510601E-12</v>
      </c>
      <c r="R193" s="59">
        <f t="shared" si="109"/>
        <v>293.33333333333468</v>
      </c>
      <c r="S193" s="59">
        <f ca="1">AVERAGE(OFFSET($R$3,0,0,'Données projet'!$E$9+1,1))-AVERAGE(OFFSET($H$3,0,0,'Données projet'!$E$9+1,1))</f>
        <v>199.58763537752952</v>
      </c>
      <c r="T193" s="59">
        <f t="shared" si="142"/>
        <v>242.62852778451929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</v>
      </c>
      <c r="AA193" s="21">
        <f>EXP(-LN(2)/25)*AA192+(1-EXP(-LN(2)/25))/(LN(2)/25)*Calculateur!V193*Calculateur!X193*VLOOKUP('Données projet'!$B$9,Paramètres!$A$1:$I$89,3,0)*0.475*44/12</f>
        <v>0.12176623271659458</v>
      </c>
      <c r="AB193" s="21">
        <f>EXP(-LN(2)/2)*AB192+(1-EXP(-LN(2)/2))/(LN(2)/2)*V193*Y193*VLOOKUP('Données projet'!$B$9,Paramètres!$A$1:$I$89,3,0)*0.475*44/12</f>
        <v>8.9017524637290778E-24</v>
      </c>
      <c r="AC193" s="22">
        <f t="shared" si="163"/>
        <v>0.12176623271659458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566</v>
      </c>
      <c r="AJ193" s="13">
        <f>AI193*VLOOKUP('Données projet'!$B$10,Paramètres!$A$1:$I$89,3,0)*VLOOKUP('Données projet'!$B$10,Paramètres!$A$1:$I$89,5,0)</f>
        <v>338.46800000000002</v>
      </c>
      <c r="AK193" s="13">
        <f t="shared" si="164"/>
        <v>79.183342377469998</v>
      </c>
      <c r="AL193" s="20">
        <f t="shared" si="165"/>
        <v>727.4094213074269</v>
      </c>
      <c r="AM193" s="59">
        <f t="shared" si="113"/>
        <v>1020.7427546407603</v>
      </c>
      <c r="AN193" s="59">
        <f ca="1">AVERAGE(OFFSET($AM$3,0,0,'Données projet'!$E$10+1,1))-AVERAGE(OFFSET($H$3,0,0,'Données projet'!$E$10+1,1))</f>
        <v>287.78657453117694</v>
      </c>
      <c r="AO193" s="59">
        <f t="shared" si="144"/>
        <v>153.31562485362252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0.12311721518972352</v>
      </c>
      <c r="AV193" s="21">
        <f>EXP(-LN(2)/25)*AV192+(1-EXP(-LN(2)/25))/(LN(2)/25)*Calculateur!AQ193*Calculateur!AS193*VLOOKUP('Données projet'!$B$10,Paramètres!$A$1:$I$89,3,0)*0.475*44/12</f>
        <v>6.9052685284071547E-2</v>
      </c>
      <c r="AW193" s="21">
        <f>EXP(-LN(2)/2)*AW192+(1-EXP(-LN(2)/2))/(LN(2)/2)*AQ193*AT193*VLOOKUP('Données projet'!$B$10,Paramètres!$A$1:$I$89,3,0)*0.475*44/12</f>
        <v>9.1850371694777316E-24</v>
      </c>
      <c r="AX193" s="21">
        <f t="shared" si="166"/>
        <v>0.19216990047379506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-6.7984728957526396E-14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250.93905519128998</v>
      </c>
      <c r="BJ193" s="59">
        <f t="shared" si="146"/>
        <v>222.32879462265032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5.3882347098306811E-2</v>
      </c>
      <c r="BQ193" s="21">
        <f>EXP(-LN(2)/25)*BQ192+(1-EXP(-LN(2)/25))/(LN(2)/25)*Calculateur!BL193*Calculateur!BN193*VLOOKUP('Données projet'!$B$11,Paramètres!$A$1:$I$89,3,0)*0.475*44/12</f>
        <v>0.13706219998100491</v>
      </c>
      <c r="BR193" s="21">
        <f>EXP(-LN(2)/2)*BR192+(1-EXP(-LN(2)/2))/(LN(2)/2)*BL193*BO193*VLOOKUP('Données projet'!$B$11,Paramètres!$A$1:$I$89,3,0)*0.475*44/12</f>
        <v>1.5612029458086308E-24</v>
      </c>
      <c r="BS193" s="22">
        <f t="shared" si="169"/>
        <v>0.19094454707931172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-2.8421709430404007E-13</v>
      </c>
      <c r="BZ193" s="13">
        <f>BY193*VLOOKUP('Données projet'!$B$12,Paramètres!$A$1:$I$89,3,0)*VLOOKUP('Données projet'!$B$12,Paramètres!$A$1:$I$89,5,0)</f>
        <v>-1.69961822393816E-13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179.32848817523677</v>
      </c>
      <c r="CE193" s="59">
        <f t="shared" si="148"/>
        <v>131.3292389103035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0.15607236962759297</v>
      </c>
      <c r="CM193" s="21">
        <f>EXP(-LN(2)/2)*CM192+(1-EXP(-LN(2)/2))/(LN(2)/2)*CG193*CJ193*VLOOKUP('Données projet'!$B$12,Paramètres!$A$1:$I$89,3,0)*0.475*44/12</f>
        <v>4.3533435152564547E-24</v>
      </c>
      <c r="CN193" s="22">
        <f t="shared" si="172"/>
        <v>0.15607236962759297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-7.3896444519050419E-13</v>
      </c>
      <c r="CU193" s="17">
        <f>CT193*VLOOKUP('Données projet'!$B$13,Paramètres!$A$1:$I$89,3,0)*VLOOKUP('Données projet'!$B$13,Paramètres!$A$1:$I$89,5,0)</f>
        <v>-6.6861503000836817E-13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309.07357540707869</v>
      </c>
      <c r="CZ193" s="59">
        <f t="shared" si="150"/>
        <v>155.9593924683299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227.99999999999986</v>
      </c>
      <c r="DP193" s="17">
        <f>DO193*VLOOKUP('Données projet'!$B$14,Paramètres!$A$1:$I$89,3,0)*VLOOKUP('Données projet'!$B$14,Paramètres!$A$1:$I$89,5,0)</f>
        <v>199.18079999999992</v>
      </c>
      <c r="DQ193" s="13">
        <f t="shared" si="176"/>
        <v>49.564089376413683</v>
      </c>
      <c r="DR193" s="20">
        <f t="shared" si="177"/>
        <v>433.23068233058694</v>
      </c>
      <c r="DS193" s="59">
        <f t="shared" si="125"/>
        <v>726.56401566392026</v>
      </c>
      <c r="DT193" s="59">
        <f ca="1">AVERAGE(OFFSET($DS$3,0,0,'Données projet'!$E$14+1,1))-AVERAGE(OFFSET($H$3,0,0,'Données projet'!$E$14+1,1))</f>
        <v>210.07838338464626</v>
      </c>
      <c r="DU193" s="59">
        <f t="shared" si="152"/>
        <v>241.76003724236273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0.22292388152094686</v>
      </c>
      <c r="EB193" s="21">
        <f>EXP(-LN(2)/25)*EB192+(1-EXP(-LN(2)/25))/(LN(2)/25)*Calculateur!DW193*Calculateur!DY193*VLOOKUP('Données projet'!$B$14,Paramètres!$A$1:$I$89,3,0)*0.475*44/12</f>
        <v>0.16057012165831314</v>
      </c>
      <c r="EC193" s="21">
        <f>EXP(-LN(2)/2)*EC192+(1-EXP(-LN(2)/2))/(LN(2)/2)*DW193*DZ193*VLOOKUP('Données projet'!$B$14,Paramètres!$A$1:$I$89,3,0)*0.475*44/12</f>
        <v>1.3211252677141654E-23</v>
      </c>
      <c r="ED193" s="22">
        <f t="shared" si="178"/>
        <v>0.38349400317925997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6.2527760746888816E-13</v>
      </c>
      <c r="EK193" s="17">
        <f>EJ193*VLOOKUP('Données projet'!$B$15,Paramètres!$A$1:$I$89,3,0)*VLOOKUP('Données projet'!$B$15,Paramètres!$A$1:$I$89,5,0)</f>
        <v>3.9017322706058616E-13</v>
      </c>
      <c r="EL193" s="13">
        <f t="shared" si="179"/>
        <v>5.0025007393608908E-12</v>
      </c>
      <c r="EM193" s="20">
        <f t="shared" si="180"/>
        <v>9.3922404915174053E-12</v>
      </c>
      <c r="EN193" s="59">
        <f t="shared" si="128"/>
        <v>293.33333333334269</v>
      </c>
      <c r="EO193" s="59">
        <f ca="1">AVERAGE(OFFSET($EN$3,0,0,'Données projet'!$E$15+1,1))-AVERAGE(OFFSET($H$3,0,0,'Données projet'!$E$15+1,1))</f>
        <v>209.93608079129638</v>
      </c>
      <c r="EP193" s="59">
        <f t="shared" si="154"/>
        <v>240.15652428700969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0.2924523457316866</v>
      </c>
      <c r="EW193" s="21">
        <f>EXP(-LN(2)/25)*EW192+(1-EXP(-LN(2)/25))/(LN(2)/25)*Calculateur!ER193*Calculateur!ET193*VLOOKUP('Données projet'!$B$15,Paramètres!$A$1:$I$89,3,0)*0.475*44/12</f>
        <v>0.24616075963008674</v>
      </c>
      <c r="EX193" s="21">
        <f>EXP(-LN(2)/2)*EX192+(1-EXP(-LN(2)/2))/(LN(2)/2)*ER193*EU193*VLOOKUP('Données projet'!$B$15,Paramètres!$A$1:$I$89,3,0)*0.475*44/12</f>
        <v>1.6701451136308228E-23</v>
      </c>
      <c r="EY193" s="22">
        <f t="shared" si="181"/>
        <v>0.53861310536177331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5.6843418860808015E-14</v>
      </c>
      <c r="O194" s="13">
        <f>N194*VLOOKUP('Données projet'!$B$9,Paramètres!$A$1:$I$89,3,0)*VLOOKUP('Données projet'!$B$9,Paramètres!$A$1:$I$89,5,0)</f>
        <v>4.5224624045658861E-14</v>
      </c>
      <c r="P194" s="13">
        <f t="shared" si="141"/>
        <v>7.4514601661523691E-13</v>
      </c>
      <c r="Q194" s="20">
        <f t="shared" si="162"/>
        <v>1.3765621991510601E-12</v>
      </c>
      <c r="R194" s="59">
        <f t="shared" si="109"/>
        <v>293.33333333333468</v>
      </c>
      <c r="S194" s="59">
        <f ca="1">AVERAGE(OFFSET($R$3,0,0,'Données projet'!$E$9+1,1))-AVERAGE(OFFSET($H$3,0,0,'Données projet'!$E$9+1,1))</f>
        <v>199.58763537752952</v>
      </c>
      <c r="T194" s="59">
        <f t="shared" si="142"/>
        <v>242.62852778451929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</v>
      </c>
      <c r="AA194" s="21">
        <f>EXP(-LN(2)/25)*AA193+(1-EXP(-LN(2)/25))/(LN(2)/25)*Calculateur!V194*Calculateur!X194*VLOOKUP('Données projet'!$B$9,Paramètres!$A$1:$I$89,3,0)*0.475*44/12</f>
        <v>0.11843652867955141</v>
      </c>
      <c r="AB194" s="21">
        <f>EXP(-LN(2)/2)*AB193+(1-EXP(-LN(2)/2))/(LN(2)/2)*V194*Y194*VLOOKUP('Données projet'!$B$9,Paramètres!$A$1:$I$89,3,0)*0.475*44/12</f>
        <v>6.2944895315468874E-24</v>
      </c>
      <c r="AC194" s="22">
        <f t="shared" si="163"/>
        <v>0.11843652867955141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566</v>
      </c>
      <c r="AJ194" s="13">
        <f>AI194*VLOOKUP('Données projet'!$B$10,Paramètres!$A$1:$I$89,3,0)*VLOOKUP('Données projet'!$B$10,Paramètres!$A$1:$I$89,5,0)</f>
        <v>338.46800000000002</v>
      </c>
      <c r="AK194" s="13">
        <f t="shared" si="164"/>
        <v>79.183342377469998</v>
      </c>
      <c r="AL194" s="20">
        <f t="shared" si="165"/>
        <v>727.4094213074269</v>
      </c>
      <c r="AM194" s="59">
        <f t="shared" si="113"/>
        <v>1020.7427546407603</v>
      </c>
      <c r="AN194" s="59">
        <f ca="1">AVERAGE(OFFSET($AM$3,0,0,'Données projet'!$E$10+1,1))-AVERAGE(OFFSET($H$3,0,0,'Données projet'!$E$10+1,1))</f>
        <v>287.78657453117694</v>
      </c>
      <c r="AO194" s="59">
        <f t="shared" si="144"/>
        <v>153.31562485362252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0.12070296169393938</v>
      </c>
      <c r="AV194" s="21">
        <f>EXP(-LN(2)/25)*AV193+(1-EXP(-LN(2)/25))/(LN(2)/25)*Calculateur!AQ194*Calculateur!AS194*VLOOKUP('Données projet'!$B$10,Paramètres!$A$1:$I$89,3,0)*0.475*44/12</f>
        <v>6.716443597365572E-2</v>
      </c>
      <c r="AW194" s="21">
        <f>EXP(-LN(2)/2)*AW193+(1-EXP(-LN(2)/2))/(LN(2)/2)*AQ194*AT194*VLOOKUP('Données projet'!$B$10,Paramètres!$A$1:$I$89,3,0)*0.475*44/12</f>
        <v>6.4948020679881968E-24</v>
      </c>
      <c r="AX194" s="21">
        <f t="shared" si="166"/>
        <v>0.18786739766759508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-6.7984728957526396E-14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250.93905519128998</v>
      </c>
      <c r="BJ194" s="59">
        <f t="shared" si="146"/>
        <v>222.32879462265032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5.2825747136695599E-2</v>
      </c>
      <c r="BQ194" s="21">
        <f>EXP(-LN(2)/25)*BQ193+(1-EXP(-LN(2)/25))/(LN(2)/25)*Calculateur!BL194*Calculateur!BN194*VLOOKUP('Données projet'!$B$11,Paramètres!$A$1:$I$89,3,0)*0.475*44/12</f>
        <v>0.13331422691473649</v>
      </c>
      <c r="BR194" s="21">
        <f>EXP(-LN(2)/2)*BR193+(1-EXP(-LN(2)/2))/(LN(2)/2)*BL194*BO194*VLOOKUP('Données projet'!$B$11,Paramètres!$A$1:$I$89,3,0)*0.475*44/12</f>
        <v>1.1039371897896969E-24</v>
      </c>
      <c r="BS194" s="22">
        <f t="shared" si="169"/>
        <v>0.18613997405143209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-2.8421709430404007E-13</v>
      </c>
      <c r="BZ194" s="13">
        <f>BY194*VLOOKUP('Données projet'!$B$12,Paramètres!$A$1:$I$89,3,0)*VLOOKUP('Données projet'!$B$12,Paramètres!$A$1:$I$89,5,0)</f>
        <v>-1.69961822393816E-13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179.32848817523677</v>
      </c>
      <c r="CE194" s="59">
        <f t="shared" si="148"/>
        <v>131.3292389103035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0.15180456247263724</v>
      </c>
      <c r="CM194" s="21">
        <f>EXP(-LN(2)/2)*CM193+(1-EXP(-LN(2)/2))/(LN(2)/2)*CG194*CJ194*VLOOKUP('Données projet'!$B$12,Paramètres!$A$1:$I$89,3,0)*0.475*44/12</f>
        <v>3.0782787204723216E-24</v>
      </c>
      <c r="CN194" s="22">
        <f t="shared" si="172"/>
        <v>0.15180456247263724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-7.3896444519050419E-13</v>
      </c>
      <c r="CU194" s="17">
        <f>CT194*VLOOKUP('Données projet'!$B$13,Paramètres!$A$1:$I$89,3,0)*VLOOKUP('Données projet'!$B$13,Paramètres!$A$1:$I$89,5,0)</f>
        <v>-6.6861503000836817E-13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309.07357540707869</v>
      </c>
      <c r="CZ194" s="59">
        <f t="shared" si="150"/>
        <v>155.9593924683299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227.99999999999986</v>
      </c>
      <c r="DP194" s="17">
        <f>DO194*VLOOKUP('Données projet'!$B$14,Paramètres!$A$1:$I$89,3,0)*VLOOKUP('Données projet'!$B$14,Paramètres!$A$1:$I$89,5,0)</f>
        <v>199.18079999999992</v>
      </c>
      <c r="DQ194" s="13">
        <f t="shared" si="176"/>
        <v>49.564089376413683</v>
      </c>
      <c r="DR194" s="20">
        <f t="shared" si="177"/>
        <v>433.23068233058694</v>
      </c>
      <c r="DS194" s="59">
        <f t="shared" si="125"/>
        <v>726.56401566392026</v>
      </c>
      <c r="DT194" s="59">
        <f ca="1">AVERAGE(OFFSET($DS$3,0,0,'Données projet'!$E$14+1,1))-AVERAGE(OFFSET($H$3,0,0,'Données projet'!$E$14+1,1))</f>
        <v>210.07838338464626</v>
      </c>
      <c r="DU194" s="59">
        <f t="shared" si="152"/>
        <v>241.76003724236273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0.21855248017446288</v>
      </c>
      <c r="EB194" s="21">
        <f>EXP(-LN(2)/25)*EB193+(1-EXP(-LN(2)/25))/(LN(2)/25)*Calculateur!DW194*Calculateur!DY194*VLOOKUP('Données projet'!$B$14,Paramètres!$A$1:$I$89,3,0)*0.475*44/12</f>
        <v>0.15617932323755085</v>
      </c>
      <c r="EC194" s="21">
        <f>EXP(-LN(2)/2)*EC193+(1-EXP(-LN(2)/2))/(LN(2)/2)*DW194*DZ194*VLOOKUP('Données projet'!$B$14,Paramètres!$A$1:$I$89,3,0)*0.475*44/12</f>
        <v>9.3417663559757944E-24</v>
      </c>
      <c r="ED194" s="22">
        <f t="shared" si="178"/>
        <v>0.37473180341201373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6.2527760746888816E-13</v>
      </c>
      <c r="EK194" s="17">
        <f>EJ194*VLOOKUP('Données projet'!$B$15,Paramètres!$A$1:$I$89,3,0)*VLOOKUP('Données projet'!$B$15,Paramètres!$A$1:$I$89,5,0)</f>
        <v>3.9017322706058616E-13</v>
      </c>
      <c r="EL194" s="13">
        <f t="shared" si="179"/>
        <v>5.0025007393608908E-12</v>
      </c>
      <c r="EM194" s="20">
        <f t="shared" si="180"/>
        <v>9.3922404915174053E-12</v>
      </c>
      <c r="EN194" s="59">
        <f t="shared" si="128"/>
        <v>293.33333333334269</v>
      </c>
      <c r="EO194" s="59">
        <f ca="1">AVERAGE(OFFSET($EN$3,0,0,'Données projet'!$E$15+1,1))-AVERAGE(OFFSET($H$3,0,0,'Données projet'!$E$15+1,1))</f>
        <v>209.93608079129638</v>
      </c>
      <c r="EP194" s="59">
        <f t="shared" si="154"/>
        <v>240.15652428700969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0.28671753361020574</v>
      </c>
      <c r="EW194" s="21">
        <f>EXP(-LN(2)/25)*EW193+(1-EXP(-LN(2)/25))/(LN(2)/25)*Calculateur!ER194*Calculateur!ET194*VLOOKUP('Données projet'!$B$15,Paramètres!$A$1:$I$89,3,0)*0.475*44/12</f>
        <v>0.23942948071297027</v>
      </c>
      <c r="EX194" s="21">
        <f>EXP(-LN(2)/2)*EX193+(1-EXP(-LN(2)/2))/(LN(2)/2)*ER194*EU194*VLOOKUP('Données projet'!$B$15,Paramètres!$A$1:$I$89,3,0)*0.475*44/12</f>
        <v>1.1809709354139318E-23</v>
      </c>
      <c r="EY194" s="22">
        <f t="shared" si="181"/>
        <v>0.52614701432317601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5.6843418860808015E-14</v>
      </c>
      <c r="O195" s="13">
        <f>N195*VLOOKUP('Données projet'!$B$9,Paramètres!$A$1:$I$89,3,0)*VLOOKUP('Données projet'!$B$9,Paramètres!$A$1:$I$89,5,0)</f>
        <v>4.5224624045658861E-14</v>
      </c>
      <c r="P195" s="13">
        <f t="shared" si="141"/>
        <v>7.4514601661523691E-13</v>
      </c>
      <c r="Q195" s="20">
        <f t="shared" si="162"/>
        <v>1.3765621991510601E-12</v>
      </c>
      <c r="R195" s="59">
        <f t="shared" ref="R195:R203" si="191">Q195+(I195+J195)*44/12</f>
        <v>293.33333333333468</v>
      </c>
      <c r="S195" s="59">
        <f ca="1">AVERAGE(OFFSET($R$3,0,0,'Données projet'!$E$9+1,1))-AVERAGE(OFFSET($H$3,0,0,'Données projet'!$E$9+1,1))</f>
        <v>199.58763537752952</v>
      </c>
      <c r="T195" s="59">
        <f t="shared" si="142"/>
        <v>242.62852778451929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</v>
      </c>
      <c r="AA195" s="21">
        <f>EXP(-LN(2)/25)*AA194+(1-EXP(-LN(2)/25))/(LN(2)/25)*Calculateur!V195*Calculateur!X195*VLOOKUP('Données projet'!$B$9,Paramètres!$A$1:$I$89,3,0)*0.475*44/12</f>
        <v>0.11519787557450273</v>
      </c>
      <c r="AB195" s="21">
        <f>EXP(-LN(2)/2)*AB194+(1-EXP(-LN(2)/2))/(LN(2)/2)*V195*Y195*VLOOKUP('Données projet'!$B$9,Paramètres!$A$1:$I$89,3,0)*0.475*44/12</f>
        <v>4.4508762318645389E-24</v>
      </c>
      <c r="AC195" s="22">
        <f t="shared" si="163"/>
        <v>0.11519787557450273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566</v>
      </c>
      <c r="AJ195" s="13">
        <f>AI195*VLOOKUP('Données projet'!$B$10,Paramètres!$A$1:$I$89,3,0)*VLOOKUP('Données projet'!$B$10,Paramètres!$A$1:$I$89,5,0)</f>
        <v>338.46800000000002</v>
      </c>
      <c r="AK195" s="13">
        <f t="shared" si="164"/>
        <v>79.183342377469998</v>
      </c>
      <c r="AL195" s="20">
        <f t="shared" si="165"/>
        <v>727.4094213074269</v>
      </c>
      <c r="AM195" s="59">
        <f t="shared" si="113"/>
        <v>1020.7427546407603</v>
      </c>
      <c r="AN195" s="59">
        <f ca="1">AVERAGE(OFFSET($AM$3,0,0,'Données projet'!$E$10+1,1))-AVERAGE(OFFSET($H$3,0,0,'Données projet'!$E$10+1,1))</f>
        <v>287.78657453117694</v>
      </c>
      <c r="AO195" s="59">
        <f t="shared" si="144"/>
        <v>153.31562485362252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0.11833605023665833</v>
      </c>
      <c r="AV195" s="21">
        <f>EXP(-LN(2)/25)*AV194+(1-EXP(-LN(2)/25))/(LN(2)/25)*Calculateur!AQ195*Calculateur!AS195*VLOOKUP('Données projet'!$B$10,Paramètres!$A$1:$I$89,3,0)*0.475*44/12</f>
        <v>6.5327820939931919E-2</v>
      </c>
      <c r="AW195" s="21">
        <f>EXP(-LN(2)/2)*AW194+(1-EXP(-LN(2)/2))/(LN(2)/2)*AQ195*AT195*VLOOKUP('Données projet'!$B$10,Paramètres!$A$1:$I$89,3,0)*0.475*44/12</f>
        <v>4.5925185847388665E-24</v>
      </c>
      <c r="AX195" s="21">
        <f t="shared" si="166"/>
        <v>0.18366387117659025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-6.7984728957526396E-14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250.93905519128998</v>
      </c>
      <c r="BJ195" s="59">
        <f t="shared" si="146"/>
        <v>222.32879462265032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5.1789866455869242E-2</v>
      </c>
      <c r="BQ195" s="21">
        <f>EXP(-LN(2)/25)*BQ194+(1-EXP(-LN(2)/25))/(LN(2)/25)*Calculateur!BL195*Calculateur!BN195*VLOOKUP('Données projet'!$B$11,Paramètres!$A$1:$I$89,3,0)*0.475*44/12</f>
        <v>0.12966874236906251</v>
      </c>
      <c r="BR195" s="21">
        <f>EXP(-LN(2)/2)*BR194+(1-EXP(-LN(2)/2))/(LN(2)/2)*BL195*BO195*VLOOKUP('Données projet'!$B$11,Paramètres!$A$1:$I$89,3,0)*0.475*44/12</f>
        <v>7.8060147290431538E-25</v>
      </c>
      <c r="BS195" s="22">
        <f t="shared" si="169"/>
        <v>0.18145860882493176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-2.8421709430404007E-13</v>
      </c>
      <c r="BZ195" s="13">
        <f>BY195*VLOOKUP('Données projet'!$B$12,Paramètres!$A$1:$I$89,3,0)*VLOOKUP('Données projet'!$B$12,Paramètres!$A$1:$I$89,5,0)</f>
        <v>-1.69961822393816E-13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179.32848817523677</v>
      </c>
      <c r="CE195" s="59">
        <f t="shared" si="148"/>
        <v>131.3292389103035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0.14765345872876798</v>
      </c>
      <c r="CM195" s="21">
        <f>EXP(-LN(2)/2)*CM194+(1-EXP(-LN(2)/2))/(LN(2)/2)*CG195*CJ195*VLOOKUP('Données projet'!$B$12,Paramètres!$A$1:$I$89,3,0)*0.475*44/12</f>
        <v>2.1766717576282274E-24</v>
      </c>
      <c r="CN195" s="22">
        <f t="shared" si="172"/>
        <v>0.14765345872876798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-7.3896444519050419E-13</v>
      </c>
      <c r="CU195" s="17">
        <f>CT195*VLOOKUP('Données projet'!$B$13,Paramètres!$A$1:$I$89,3,0)*VLOOKUP('Données projet'!$B$13,Paramètres!$A$1:$I$89,5,0)</f>
        <v>-6.6861503000836817E-13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309.07357540707869</v>
      </c>
      <c r="CZ195" s="59">
        <f t="shared" si="150"/>
        <v>155.9593924683299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227.99999999999986</v>
      </c>
      <c r="DP195" s="17">
        <f>DO195*VLOOKUP('Données projet'!$B$14,Paramètres!$A$1:$I$89,3,0)*VLOOKUP('Données projet'!$B$14,Paramètres!$A$1:$I$89,5,0)</f>
        <v>199.18079999999992</v>
      </c>
      <c r="DQ195" s="13">
        <f t="shared" si="176"/>
        <v>49.564089376413683</v>
      </c>
      <c r="DR195" s="20">
        <f t="shared" si="177"/>
        <v>433.23068233058694</v>
      </c>
      <c r="DS195" s="59">
        <f t="shared" si="125"/>
        <v>726.56401566392026</v>
      </c>
      <c r="DT195" s="59">
        <f ca="1">AVERAGE(OFFSET($DS$3,0,0,'Données projet'!$E$14+1,1))-AVERAGE(OFFSET($H$3,0,0,'Données projet'!$E$14+1,1))</f>
        <v>210.07838338464626</v>
      </c>
      <c r="DU195" s="59">
        <f t="shared" si="152"/>
        <v>241.76003724236273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0.21426679934209192</v>
      </c>
      <c r="EB195" s="21">
        <f>EXP(-LN(2)/25)*EB194+(1-EXP(-LN(2)/25))/(LN(2)/25)*Calculateur!DW195*Calculateur!DY195*VLOOKUP('Données projet'!$B$14,Paramètres!$A$1:$I$89,3,0)*0.475*44/12</f>
        <v>0.15190859143050636</v>
      </c>
      <c r="EC195" s="21">
        <f>EXP(-LN(2)/2)*EC194+(1-EXP(-LN(2)/2))/(LN(2)/2)*DW195*DZ195*VLOOKUP('Données projet'!$B$14,Paramètres!$A$1:$I$89,3,0)*0.475*44/12</f>
        <v>6.6056263385708279E-24</v>
      </c>
      <c r="ED195" s="22">
        <f t="shared" si="178"/>
        <v>0.36617539077259831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6.2527760746888816E-13</v>
      </c>
      <c r="EK195" s="17">
        <f>EJ195*VLOOKUP('Données projet'!$B$15,Paramètres!$A$1:$I$89,3,0)*VLOOKUP('Données projet'!$B$15,Paramètres!$A$1:$I$89,5,0)</f>
        <v>3.9017322706058616E-13</v>
      </c>
      <c r="EL195" s="13">
        <f t="shared" si="179"/>
        <v>5.0025007393608908E-12</v>
      </c>
      <c r="EM195" s="20">
        <f t="shared" si="180"/>
        <v>9.3922404915174053E-12</v>
      </c>
      <c r="EN195" s="59">
        <f t="shared" si="128"/>
        <v>293.33333333334269</v>
      </c>
      <c r="EO195" s="59">
        <f ca="1">AVERAGE(OFFSET($EN$3,0,0,'Données projet'!$E$15+1,1))-AVERAGE(OFFSET($H$3,0,0,'Données projet'!$E$15+1,1))</f>
        <v>209.93608079129638</v>
      </c>
      <c r="EP195" s="59">
        <f t="shared" si="154"/>
        <v>240.15652428700969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0.28109517765653708</v>
      </c>
      <c r="EW195" s="21">
        <f>EXP(-LN(2)/25)*EW194+(1-EXP(-LN(2)/25))/(LN(2)/25)*Calculateur!ER195*Calculateur!ET195*VLOOKUP('Données projet'!$B$15,Paramètres!$A$1:$I$89,3,0)*0.475*44/12</f>
        <v>0.23288226897182493</v>
      </c>
      <c r="EX195" s="21">
        <f>EXP(-LN(2)/2)*EX194+(1-EXP(-LN(2)/2))/(LN(2)/2)*ER195*EU195*VLOOKUP('Données projet'!$B$15,Paramètres!$A$1:$I$89,3,0)*0.475*44/12</f>
        <v>8.3507255681541139E-24</v>
      </c>
      <c r="EY195" s="22">
        <f t="shared" si="181"/>
        <v>0.51397744662836198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5.6843418860808015E-14</v>
      </c>
      <c r="O196" s="13">
        <f>N196*VLOOKUP('Données projet'!$B$9,Paramètres!$A$1:$I$89,3,0)*VLOOKUP('Données projet'!$B$9,Paramètres!$A$1:$I$89,5,0)</f>
        <v>4.5224624045658861E-14</v>
      </c>
      <c r="P196" s="13">
        <f t="shared" si="141"/>
        <v>7.4514601661523691E-13</v>
      </c>
      <c r="Q196" s="20">
        <f t="shared" si="162"/>
        <v>1.3765621991510601E-12</v>
      </c>
      <c r="R196" s="59">
        <f t="shared" si="191"/>
        <v>293.33333333333468</v>
      </c>
      <c r="S196" s="59">
        <f ca="1">AVERAGE(OFFSET($R$3,0,0,'Données projet'!$E$9+1,1))-AVERAGE(OFFSET($H$3,0,0,'Données projet'!$E$9+1,1))</f>
        <v>199.58763537752952</v>
      </c>
      <c r="T196" s="59">
        <f t="shared" si="142"/>
        <v>242.62852778451929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</v>
      </c>
      <c r="AA196" s="21">
        <f>EXP(-LN(2)/25)*AA195+(1-EXP(-LN(2)/25))/(LN(2)/25)*Calculateur!V196*Calculateur!X196*VLOOKUP('Données projet'!$B$9,Paramètres!$A$1:$I$89,3,0)*0.475*44/12</f>
        <v>0.11204778360892496</v>
      </c>
      <c r="AB196" s="21">
        <f>EXP(-LN(2)/2)*AB195+(1-EXP(-LN(2)/2))/(LN(2)/2)*V196*Y196*VLOOKUP('Données projet'!$B$9,Paramètres!$A$1:$I$89,3,0)*0.475*44/12</f>
        <v>3.1472447657734437E-24</v>
      </c>
      <c r="AC196" s="22">
        <f t="shared" si="163"/>
        <v>0.11204778360892496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566</v>
      </c>
      <c r="AJ196" s="13">
        <f>AI196*VLOOKUP('Données projet'!$B$10,Paramètres!$A$1:$I$89,3,0)*VLOOKUP('Données projet'!$B$10,Paramètres!$A$1:$I$89,5,0)</f>
        <v>338.46800000000002</v>
      </c>
      <c r="AK196" s="13">
        <f t="shared" si="164"/>
        <v>79.183342377469998</v>
      </c>
      <c r="AL196" s="20">
        <f t="shared" si="165"/>
        <v>727.4094213074269</v>
      </c>
      <c r="AM196" s="59">
        <f t="shared" ref="AM196:AM203" si="193">AL196+(AD196+AE196)*44/12</f>
        <v>1020.7427546407603</v>
      </c>
      <c r="AN196" s="59">
        <f ca="1">AVERAGE(OFFSET($AM$3,0,0,'Données projet'!$E$10+1,1))-AVERAGE(OFFSET($H$3,0,0,'Données projet'!$E$10+1,1))</f>
        <v>287.78657453117694</v>
      </c>
      <c r="AO196" s="59">
        <f t="shared" si="144"/>
        <v>153.31562485362252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0.11601555246938114</v>
      </c>
      <c r="AV196" s="21">
        <f>EXP(-LN(2)/25)*AV195+(1-EXP(-LN(2)/25))/(LN(2)/25)*Calculateur!AQ196*Calculateur!AS196*VLOOKUP('Données projet'!$B$10,Paramètres!$A$1:$I$89,3,0)*0.475*44/12</f>
        <v>6.3541428240888681E-2</v>
      </c>
      <c r="AW196" s="21">
        <f>EXP(-LN(2)/2)*AW195+(1-EXP(-LN(2)/2))/(LN(2)/2)*AQ196*AT196*VLOOKUP('Données projet'!$B$10,Paramètres!$A$1:$I$89,3,0)*0.475*44/12</f>
        <v>3.2474010339940988E-24</v>
      </c>
      <c r="AX196" s="21">
        <f t="shared" si="166"/>
        <v>0.17955698071026982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-6.7984728957526396E-14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250.93905519128998</v>
      </c>
      <c r="BJ196" s="59">
        <f t="shared" si="146"/>
        <v>222.32879462265032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5.0774298763369058E-2</v>
      </c>
      <c r="BQ196" s="21">
        <f>EXP(-LN(2)/25)*BQ195+(1-EXP(-LN(2)/25))/(LN(2)/25)*Calculateur!BL196*Calculateur!BN196*VLOOKUP('Données projet'!$B$11,Paramètres!$A$1:$I$89,3,0)*0.475*44/12</f>
        <v>0.12612294378999769</v>
      </c>
      <c r="BR196" s="21">
        <f>EXP(-LN(2)/2)*BR195+(1-EXP(-LN(2)/2))/(LN(2)/2)*BL196*BO196*VLOOKUP('Données projet'!$B$11,Paramètres!$A$1:$I$89,3,0)*0.475*44/12</f>
        <v>5.5196859489484843E-25</v>
      </c>
      <c r="BS196" s="22">
        <f t="shared" si="169"/>
        <v>0.17689724255336675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-2.8421709430404007E-13</v>
      </c>
      <c r="BZ196" s="13">
        <f>BY196*VLOOKUP('Données projet'!$B$12,Paramètres!$A$1:$I$89,3,0)*VLOOKUP('Données projet'!$B$12,Paramètres!$A$1:$I$89,5,0)</f>
        <v>-1.69961822393816E-13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179.32848817523677</v>
      </c>
      <c r="CE196" s="59">
        <f t="shared" si="148"/>
        <v>131.3292389103035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0.14361586713507188</v>
      </c>
      <c r="CM196" s="21">
        <f>EXP(-LN(2)/2)*CM195+(1-EXP(-LN(2)/2))/(LN(2)/2)*CG196*CJ196*VLOOKUP('Données projet'!$B$12,Paramètres!$A$1:$I$89,3,0)*0.475*44/12</f>
        <v>1.5391393602361608E-24</v>
      </c>
      <c r="CN196" s="22">
        <f t="shared" si="172"/>
        <v>0.14361586713507188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-7.3896444519050419E-13</v>
      </c>
      <c r="CU196" s="17">
        <f>CT196*VLOOKUP('Données projet'!$B$13,Paramètres!$A$1:$I$89,3,0)*VLOOKUP('Données projet'!$B$13,Paramètres!$A$1:$I$89,5,0)</f>
        <v>-6.6861503000836817E-13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309.07357540707869</v>
      </c>
      <c r="CZ196" s="59">
        <f t="shared" si="150"/>
        <v>155.9593924683299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227.99999999999986</v>
      </c>
      <c r="DP196" s="17">
        <f>DO196*VLOOKUP('Données projet'!$B$14,Paramètres!$A$1:$I$89,3,0)*VLOOKUP('Données projet'!$B$14,Paramètres!$A$1:$I$89,5,0)</f>
        <v>199.18079999999992</v>
      </c>
      <c r="DQ196" s="13">
        <f t="shared" si="176"/>
        <v>49.564089376413683</v>
      </c>
      <c r="DR196" s="20">
        <f t="shared" si="177"/>
        <v>433.23068233058694</v>
      </c>
      <c r="DS196" s="59">
        <f t="shared" ref="DS196:DS203" si="197">DR196+(DJ196+DK196)*44/12</f>
        <v>726.56401566392026</v>
      </c>
      <c r="DT196" s="59">
        <f ca="1">AVERAGE(OFFSET($DS$3,0,0,'Données projet'!$E$14+1,1))-AVERAGE(OFFSET($H$3,0,0,'Données projet'!$E$14+1,1))</f>
        <v>210.07838338464626</v>
      </c>
      <c r="DU196" s="59">
        <f t="shared" si="152"/>
        <v>241.76003724236273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0.21006515809683654</v>
      </c>
      <c r="EB196" s="21">
        <f>EXP(-LN(2)/25)*EB195+(1-EXP(-LN(2)/25))/(LN(2)/25)*Calculateur!DW196*Calculateur!DY196*VLOOKUP('Données projet'!$B$14,Paramètres!$A$1:$I$89,3,0)*0.475*44/12</f>
        <v>0.14775464300931354</v>
      </c>
      <c r="EC196" s="21">
        <f>EXP(-LN(2)/2)*EC195+(1-EXP(-LN(2)/2))/(LN(2)/2)*DW196*DZ196*VLOOKUP('Données projet'!$B$14,Paramètres!$A$1:$I$89,3,0)*0.475*44/12</f>
        <v>4.6708831779878979E-24</v>
      </c>
      <c r="ED196" s="22">
        <f t="shared" si="178"/>
        <v>0.35781980110615008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6.2527760746888816E-13</v>
      </c>
      <c r="EK196" s="17">
        <f>EJ196*VLOOKUP('Données projet'!$B$15,Paramètres!$A$1:$I$89,3,0)*VLOOKUP('Données projet'!$B$15,Paramètres!$A$1:$I$89,5,0)</f>
        <v>3.9017322706058616E-13</v>
      </c>
      <c r="EL196" s="13">
        <f t="shared" si="179"/>
        <v>5.0025007393608908E-12</v>
      </c>
      <c r="EM196" s="20">
        <f t="shared" si="180"/>
        <v>9.3922404915174053E-12</v>
      </c>
      <c r="EN196" s="59">
        <f t="shared" ref="EN196:EN203" si="198">EM196+(EE196+EF196)*44/12</f>
        <v>293.33333333334269</v>
      </c>
      <c r="EO196" s="59">
        <f ca="1">AVERAGE(OFFSET($EN$3,0,0,'Données projet'!$E$15+1,1))-AVERAGE(OFFSET($H$3,0,0,'Données projet'!$E$15+1,1))</f>
        <v>209.93608079129638</v>
      </c>
      <c r="EP196" s="59">
        <f t="shared" si="154"/>
        <v>240.15652428700969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0.27558307267382137</v>
      </c>
      <c r="EW196" s="21">
        <f>EXP(-LN(2)/25)*EW195+(1-EXP(-LN(2)/25))/(LN(2)/25)*Calculateur!ER196*Calculateur!ET196*VLOOKUP('Données projet'!$B$15,Paramètres!$A$1:$I$89,3,0)*0.475*44/12</f>
        <v>0.22651409108004411</v>
      </c>
      <c r="EX196" s="21">
        <f>EXP(-LN(2)/2)*EX195+(1-EXP(-LN(2)/2))/(LN(2)/2)*ER196*EU196*VLOOKUP('Données projet'!$B$15,Paramètres!$A$1:$I$89,3,0)*0.475*44/12</f>
        <v>5.9048546770696588E-24</v>
      </c>
      <c r="EY196" s="22">
        <f t="shared" si="181"/>
        <v>0.50209716375386548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5.6843418860808015E-14</v>
      </c>
      <c r="O197" s="13">
        <f>N197*VLOOKUP('Données projet'!$B$9,Paramètres!$A$1:$I$89,3,0)*VLOOKUP('Données projet'!$B$9,Paramètres!$A$1:$I$89,5,0)</f>
        <v>4.5224624045658861E-14</v>
      </c>
      <c r="P197" s="13">
        <f t="shared" ref="P197:P203" si="203">EXP(-1.0587+0.8836*LN(O197)+0.284)</f>
        <v>7.4514601661523691E-13</v>
      </c>
      <c r="Q197" s="20">
        <f t="shared" si="162"/>
        <v>1.3765621991510601E-12</v>
      </c>
      <c r="R197" s="59">
        <f t="shared" si="191"/>
        <v>293.33333333333468</v>
      </c>
      <c r="S197" s="59">
        <f ca="1">AVERAGE(OFFSET($R$3,0,0,'Données projet'!$E$9+1,1))-AVERAGE(OFFSET($H$3,0,0,'Données projet'!$E$9+1,1))</f>
        <v>199.58763537752952</v>
      </c>
      <c r="T197" s="59">
        <f t="shared" ref="T197:T203" si="204">$T$3</f>
        <v>242.62852778451929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</v>
      </c>
      <c r="AA197" s="21">
        <f>EXP(-LN(2)/25)*AA196+(1-EXP(-LN(2)/25))/(LN(2)/25)*Calculateur!V197*Calculateur!X197*VLOOKUP('Données projet'!$B$9,Paramètres!$A$1:$I$89,3,0)*0.475*44/12</f>
        <v>0.10898383107380206</v>
      </c>
      <c r="AB197" s="21">
        <f>EXP(-LN(2)/2)*AB196+(1-EXP(-LN(2)/2))/(LN(2)/2)*V197*Y197*VLOOKUP('Données projet'!$B$9,Paramètres!$A$1:$I$89,3,0)*0.475*44/12</f>
        <v>2.2254381159322694E-24</v>
      </c>
      <c r="AC197" s="22">
        <f t="shared" si="163"/>
        <v>0.10898383107380206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566</v>
      </c>
      <c r="AJ197" s="13">
        <f>AI197*VLOOKUP('Données projet'!$B$10,Paramètres!$A$1:$I$89,3,0)*VLOOKUP('Données projet'!$B$10,Paramètres!$A$1:$I$89,5,0)</f>
        <v>338.46800000000002</v>
      </c>
      <c r="AK197" s="13">
        <f t="shared" si="164"/>
        <v>79.183342377469998</v>
      </c>
      <c r="AL197" s="20">
        <f t="shared" si="165"/>
        <v>727.4094213074269</v>
      </c>
      <c r="AM197" s="59">
        <f t="shared" si="193"/>
        <v>1020.7427546407603</v>
      </c>
      <c r="AN197" s="59">
        <f ca="1">AVERAGE(OFFSET($AM$3,0,0,'Données projet'!$E$10+1,1))-AVERAGE(OFFSET($H$3,0,0,'Données projet'!$E$10+1,1))</f>
        <v>287.78657453117694</v>
      </c>
      <c r="AO197" s="59">
        <f t="shared" ref="AO197:AO203" si="205">$AO$3</f>
        <v>153.31562485362252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0.11374055824795637</v>
      </c>
      <c r="AV197" s="21">
        <f>EXP(-LN(2)/25)*AV196+(1-EXP(-LN(2)/25))/(LN(2)/25)*Calculateur!AQ197*Calculateur!AS197*VLOOKUP('Données projet'!$B$10,Paramètres!$A$1:$I$89,3,0)*0.475*44/12</f>
        <v>6.1803884544143095E-2</v>
      </c>
      <c r="AW197" s="21">
        <f>EXP(-LN(2)/2)*AW196+(1-EXP(-LN(2)/2))/(LN(2)/2)*AQ197*AT197*VLOOKUP('Données projet'!$B$10,Paramètres!$A$1:$I$89,3,0)*0.475*44/12</f>
        <v>2.2962592923694336E-24</v>
      </c>
      <c r="AX197" s="21">
        <f t="shared" si="166"/>
        <v>0.17554444279209946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-6.7984728957526396E-14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250.93905519128998</v>
      </c>
      <c r="BJ197" s="59">
        <f t="shared" ref="BJ197:BJ203" si="206">$BJ$3</f>
        <v>222.32879462265032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4.9778645733883672E-2</v>
      </c>
      <c r="BQ197" s="21">
        <f>EXP(-LN(2)/25)*BQ196+(1-EXP(-LN(2)/25))/(LN(2)/25)*Calculateur!BL197*Calculateur!BN197*VLOOKUP('Données projet'!$B$11,Paramètres!$A$1:$I$89,3,0)*0.475*44/12</f>
        <v>0.12267410525954285</v>
      </c>
      <c r="BR197" s="21">
        <f>EXP(-LN(2)/2)*BR196+(1-EXP(-LN(2)/2))/(LN(2)/2)*BL197*BO197*VLOOKUP('Données projet'!$B$11,Paramètres!$A$1:$I$89,3,0)*0.475*44/12</f>
        <v>3.9030073645215769E-25</v>
      </c>
      <c r="BS197" s="22">
        <f t="shared" si="169"/>
        <v>0.17245275099342652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-2.8421709430404007E-13</v>
      </c>
      <c r="BZ197" s="13">
        <f>BY197*VLOOKUP('Données projet'!$B$12,Paramètres!$A$1:$I$89,3,0)*VLOOKUP('Données projet'!$B$12,Paramètres!$A$1:$I$89,5,0)</f>
        <v>-1.69961822393816E-13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179.32848817523677</v>
      </c>
      <c r="CE197" s="59">
        <f t="shared" ref="CE197:CE203" si="207">$CE$3</f>
        <v>131.3292389103035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0.13968868369583312</v>
      </c>
      <c r="CM197" s="21">
        <f>EXP(-LN(2)/2)*CM196+(1-EXP(-LN(2)/2))/(LN(2)/2)*CG197*CJ197*VLOOKUP('Données projet'!$B$12,Paramètres!$A$1:$I$89,3,0)*0.475*44/12</f>
        <v>1.0883358788141137E-24</v>
      </c>
      <c r="CN197" s="22">
        <f t="shared" si="172"/>
        <v>0.13968868369583312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-7.3896444519050419E-13</v>
      </c>
      <c r="CU197" s="17">
        <f>CT197*VLOOKUP('Données projet'!$B$13,Paramètres!$A$1:$I$89,3,0)*VLOOKUP('Données projet'!$B$13,Paramètres!$A$1:$I$89,5,0)</f>
        <v>-6.6861503000836817E-13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309.07357540707869</v>
      </c>
      <c r="CZ197" s="59">
        <f t="shared" ref="CZ197:CZ203" si="208">$CZ$3</f>
        <v>155.9593924683299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227.99999999999986</v>
      </c>
      <c r="DP197" s="17">
        <f>DO197*VLOOKUP('Données projet'!$B$14,Paramètres!$A$1:$I$89,3,0)*VLOOKUP('Données projet'!$B$14,Paramètres!$A$1:$I$89,5,0)</f>
        <v>199.18079999999992</v>
      </c>
      <c r="DQ197" s="13">
        <f t="shared" si="176"/>
        <v>49.564089376413683</v>
      </c>
      <c r="DR197" s="20">
        <f t="shared" si="177"/>
        <v>433.23068233058694</v>
      </c>
      <c r="DS197" s="59">
        <f t="shared" si="197"/>
        <v>726.56401566392026</v>
      </c>
      <c r="DT197" s="59">
        <f ca="1">AVERAGE(OFFSET($DS$3,0,0,'Données projet'!$E$14+1,1))-AVERAGE(OFFSET($H$3,0,0,'Données projet'!$E$14+1,1))</f>
        <v>210.07838338464626</v>
      </c>
      <c r="DU197" s="59">
        <f t="shared" ref="DU197:DU203" si="209">$DU$3</f>
        <v>241.76003724236273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0.20594590847365252</v>
      </c>
      <c r="EB197" s="21">
        <f>EXP(-LN(2)/25)*EB196+(1-EXP(-LN(2)/25))/(LN(2)/25)*Calculateur!DW197*Calculateur!DY197*VLOOKUP('Données projet'!$B$14,Paramètres!$A$1:$I$89,3,0)*0.475*44/12</f>
        <v>0.14371428452614488</v>
      </c>
      <c r="EC197" s="21">
        <f>EXP(-LN(2)/2)*EC196+(1-EXP(-LN(2)/2))/(LN(2)/2)*DW197*DZ197*VLOOKUP('Données projet'!$B$14,Paramètres!$A$1:$I$89,3,0)*0.475*44/12</f>
        <v>3.3028131692854143E-24</v>
      </c>
      <c r="ED197" s="22">
        <f t="shared" si="178"/>
        <v>0.34966019299979739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6.2527760746888816E-13</v>
      </c>
      <c r="EK197" s="17">
        <f>EJ197*VLOOKUP('Données projet'!$B$15,Paramètres!$A$1:$I$89,3,0)*VLOOKUP('Données projet'!$B$15,Paramètres!$A$1:$I$89,5,0)</f>
        <v>3.9017322706058616E-13</v>
      </c>
      <c r="EL197" s="13">
        <f t="shared" si="179"/>
        <v>5.0025007393608908E-12</v>
      </c>
      <c r="EM197" s="20">
        <f t="shared" si="180"/>
        <v>9.3922404915174053E-12</v>
      </c>
      <c r="EN197" s="59">
        <f t="shared" si="198"/>
        <v>293.33333333334269</v>
      </c>
      <c r="EO197" s="59">
        <f ca="1">AVERAGE(OFFSET($EN$3,0,0,'Données projet'!$E$15+1,1))-AVERAGE(OFFSET($H$3,0,0,'Données projet'!$E$15+1,1))</f>
        <v>209.93608079129638</v>
      </c>
      <c r="EP197" s="59">
        <f t="shared" ref="EP197:EP203" si="210">$EP$3</f>
        <v>240.15652428700969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0.27017905670776465</v>
      </c>
      <c r="EW197" s="21">
        <f>EXP(-LN(2)/25)*EW196+(1-EXP(-LN(2)/25))/(LN(2)/25)*Calculateur!ER197*Calculateur!ET197*VLOOKUP('Données projet'!$B$15,Paramètres!$A$1:$I$89,3,0)*0.475*44/12</f>
        <v>0.22032005134760196</v>
      </c>
      <c r="EX197" s="21">
        <f>EXP(-LN(2)/2)*EX196+(1-EXP(-LN(2)/2))/(LN(2)/2)*ER197*EU197*VLOOKUP('Données projet'!$B$15,Paramètres!$A$1:$I$89,3,0)*0.475*44/12</f>
        <v>4.1753627840770569E-24</v>
      </c>
      <c r="EY197" s="22">
        <f t="shared" si="181"/>
        <v>0.49049910805536662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5.6843418860808015E-14</v>
      </c>
      <c r="O198" s="13">
        <f>N198*VLOOKUP('Données projet'!$B$9,Paramètres!$A$1:$I$89,3,0)*VLOOKUP('Données projet'!$B$9,Paramètres!$A$1:$I$89,5,0)</f>
        <v>4.5224624045658861E-14</v>
      </c>
      <c r="P198" s="13">
        <f t="shared" si="203"/>
        <v>7.4514601661523691E-13</v>
      </c>
      <c r="Q198" s="20">
        <f t="shared" si="162"/>
        <v>1.3765621991510601E-12</v>
      </c>
      <c r="R198" s="59">
        <f t="shared" si="191"/>
        <v>293.33333333333468</v>
      </c>
      <c r="S198" s="59">
        <f ca="1">AVERAGE(OFFSET($R$3,0,0,'Données projet'!$E$9+1,1))-AVERAGE(OFFSET($H$3,0,0,'Données projet'!$E$9+1,1))</f>
        <v>199.58763537752952</v>
      </c>
      <c r="T198" s="59">
        <f t="shared" si="204"/>
        <v>242.62852778451929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</v>
      </c>
      <c r="AA198" s="21">
        <f>EXP(-LN(2)/25)*AA197+(1-EXP(-LN(2)/25))/(LN(2)/25)*Calculateur!V198*Calculateur!X198*VLOOKUP('Données projet'!$B$9,Paramètres!$A$1:$I$89,3,0)*0.475*44/12</f>
        <v>0.10600366248187836</v>
      </c>
      <c r="AB198" s="21">
        <f>EXP(-LN(2)/2)*AB197+(1-EXP(-LN(2)/2))/(LN(2)/2)*V198*Y198*VLOOKUP('Données projet'!$B$9,Paramètres!$A$1:$I$89,3,0)*0.475*44/12</f>
        <v>1.5736223828867218E-24</v>
      </c>
      <c r="AC198" s="22">
        <f t="shared" si="163"/>
        <v>0.10600366248187836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566</v>
      </c>
      <c r="AJ198" s="13">
        <f>AI198*VLOOKUP('Données projet'!$B$10,Paramètres!$A$1:$I$89,3,0)*VLOOKUP('Données projet'!$B$10,Paramètres!$A$1:$I$89,5,0)</f>
        <v>338.46800000000002</v>
      </c>
      <c r="AK198" s="13">
        <f t="shared" si="164"/>
        <v>79.183342377469998</v>
      </c>
      <c r="AL198" s="20">
        <f t="shared" si="165"/>
        <v>727.4094213074269</v>
      </c>
      <c r="AM198" s="59">
        <f t="shared" si="193"/>
        <v>1020.7427546407603</v>
      </c>
      <c r="AN198" s="59">
        <f ca="1">AVERAGE(OFFSET($AM$3,0,0,'Données projet'!$E$10+1,1))-AVERAGE(OFFSET($H$3,0,0,'Données projet'!$E$10+1,1))</f>
        <v>287.78657453117694</v>
      </c>
      <c r="AO198" s="59">
        <f t="shared" si="205"/>
        <v>153.31562485362252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0.11151017527560428</v>
      </c>
      <c r="AV198" s="21">
        <f>EXP(-LN(2)/25)*AV197+(1-EXP(-LN(2)/25))/(LN(2)/25)*Calculateur!AQ198*Calculateur!AS198*VLOOKUP('Données projet'!$B$10,Paramètres!$A$1:$I$89,3,0)*0.475*44/12</f>
        <v>6.0113854071158469E-2</v>
      </c>
      <c r="AW198" s="21">
        <f>EXP(-LN(2)/2)*AW197+(1-EXP(-LN(2)/2))/(LN(2)/2)*AQ198*AT198*VLOOKUP('Données projet'!$B$10,Paramètres!$A$1:$I$89,3,0)*0.475*44/12</f>
        <v>1.6237005169970497E-24</v>
      </c>
      <c r="AX198" s="21">
        <f t="shared" si="166"/>
        <v>0.17162402934676274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-6.7984728957526396E-14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250.93905519128998</v>
      </c>
      <c r="BJ198" s="59">
        <f t="shared" si="206"/>
        <v>222.32879462265032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4.8802516853018119E-2</v>
      </c>
      <c r="BQ198" s="21">
        <f>EXP(-LN(2)/25)*BQ197+(1-EXP(-LN(2)/25))/(LN(2)/25)*Calculateur!BL198*Calculateur!BN198*VLOOKUP('Données projet'!$B$11,Paramètres!$A$1:$I$89,3,0)*0.475*44/12</f>
        <v>0.11931957540006984</v>
      </c>
      <c r="BR198" s="21">
        <f>EXP(-LN(2)/2)*BR197+(1-EXP(-LN(2)/2))/(LN(2)/2)*BL198*BO198*VLOOKUP('Données projet'!$B$11,Paramètres!$A$1:$I$89,3,0)*0.475*44/12</f>
        <v>2.7598429744742422E-25</v>
      </c>
      <c r="BS198" s="22">
        <f t="shared" si="169"/>
        <v>0.16812209225308794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-2.8421709430404007E-13</v>
      </c>
      <c r="BZ198" s="13">
        <f>BY198*VLOOKUP('Données projet'!$B$12,Paramètres!$A$1:$I$89,3,0)*VLOOKUP('Données projet'!$B$12,Paramètres!$A$1:$I$89,5,0)</f>
        <v>-1.69961822393816E-13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179.32848817523677</v>
      </c>
      <c r="CE198" s="59">
        <f t="shared" si="207"/>
        <v>131.3292389103035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0.13586888929426194</v>
      </c>
      <c r="CM198" s="21">
        <f>EXP(-LN(2)/2)*CM197+(1-EXP(-LN(2)/2))/(LN(2)/2)*CG198*CJ198*VLOOKUP('Données projet'!$B$12,Paramètres!$A$1:$I$89,3,0)*0.475*44/12</f>
        <v>7.695696801180804E-25</v>
      </c>
      <c r="CN198" s="22">
        <f t="shared" si="172"/>
        <v>0.13586888929426194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-7.3896444519050419E-13</v>
      </c>
      <c r="CU198" s="17">
        <f>CT198*VLOOKUP('Données projet'!$B$13,Paramètres!$A$1:$I$89,3,0)*VLOOKUP('Données projet'!$B$13,Paramètres!$A$1:$I$89,5,0)</f>
        <v>-6.6861503000836817E-13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309.07357540707869</v>
      </c>
      <c r="CZ198" s="59">
        <f t="shared" si="208"/>
        <v>155.9593924683299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227.99999999999986</v>
      </c>
      <c r="DP198" s="17">
        <f>DO198*VLOOKUP('Données projet'!$B$14,Paramètres!$A$1:$I$89,3,0)*VLOOKUP('Données projet'!$B$14,Paramètres!$A$1:$I$89,5,0)</f>
        <v>199.18079999999992</v>
      </c>
      <c r="DQ198" s="13">
        <f t="shared" si="176"/>
        <v>49.564089376413683</v>
      </c>
      <c r="DR198" s="20">
        <f t="shared" si="177"/>
        <v>433.23068233058694</v>
      </c>
      <c r="DS198" s="59">
        <f t="shared" si="197"/>
        <v>726.56401566392026</v>
      </c>
      <c r="DT198" s="59">
        <f ca="1">AVERAGE(OFFSET($DS$3,0,0,'Données projet'!$E$14+1,1))-AVERAGE(OFFSET($H$3,0,0,'Données projet'!$E$14+1,1))</f>
        <v>210.07838338464626</v>
      </c>
      <c r="DU198" s="59">
        <f t="shared" si="209"/>
        <v>241.76003724236273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0.20190743482308496</v>
      </c>
      <c r="EB198" s="21">
        <f>EXP(-LN(2)/25)*EB197+(1-EXP(-LN(2)/25))/(LN(2)/25)*Calculateur!DW198*Calculateur!DY198*VLOOKUP('Données projet'!$B$14,Paramètres!$A$1:$I$89,3,0)*0.475*44/12</f>
        <v>0.13978440985817167</v>
      </c>
      <c r="EC198" s="21">
        <f>EXP(-LN(2)/2)*EC197+(1-EXP(-LN(2)/2))/(LN(2)/2)*DW198*DZ198*VLOOKUP('Données projet'!$B$14,Paramètres!$A$1:$I$89,3,0)*0.475*44/12</f>
        <v>2.3354415889939493E-24</v>
      </c>
      <c r="ED198" s="22">
        <f t="shared" si="178"/>
        <v>0.34169184468125663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6.2527760746888816E-13</v>
      </c>
      <c r="EK198" s="17">
        <f>EJ198*VLOOKUP('Données projet'!$B$15,Paramètres!$A$1:$I$89,3,0)*VLOOKUP('Données projet'!$B$15,Paramètres!$A$1:$I$89,5,0)</f>
        <v>3.9017322706058616E-13</v>
      </c>
      <c r="EL198" s="13">
        <f t="shared" si="179"/>
        <v>5.0025007393608908E-12</v>
      </c>
      <c r="EM198" s="20">
        <f t="shared" si="180"/>
        <v>9.3922404915174053E-12</v>
      </c>
      <c r="EN198" s="59">
        <f t="shared" si="198"/>
        <v>293.33333333334269</v>
      </c>
      <c r="EO198" s="59">
        <f ca="1">AVERAGE(OFFSET($EN$3,0,0,'Données projet'!$E$15+1,1))-AVERAGE(OFFSET($H$3,0,0,'Données projet'!$E$15+1,1))</f>
        <v>209.93608079129638</v>
      </c>
      <c r="EP198" s="59">
        <f t="shared" si="210"/>
        <v>240.15652428700969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0.26488101019867805</v>
      </c>
      <c r="EW198" s="21">
        <f>EXP(-LN(2)/25)*EW197+(1-EXP(-LN(2)/25))/(LN(2)/25)*Calculateur!ER198*Calculateur!ET198*VLOOKUP('Données projet'!$B$15,Paramètres!$A$1:$I$89,3,0)*0.475*44/12</f>
        <v>0.21429538795737382</v>
      </c>
      <c r="EX198" s="21">
        <f>EXP(-LN(2)/2)*EX197+(1-EXP(-LN(2)/2))/(LN(2)/2)*ER198*EU198*VLOOKUP('Données projet'!$B$15,Paramètres!$A$1:$I$89,3,0)*0.475*44/12</f>
        <v>2.9524273385348294E-24</v>
      </c>
      <c r="EY198" s="22">
        <f t="shared" si="181"/>
        <v>0.47917639815605184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5.6843418860808015E-14</v>
      </c>
      <c r="O199" s="13">
        <f>N199*VLOOKUP('Données projet'!$B$9,Paramètres!$A$1:$I$89,3,0)*VLOOKUP('Données projet'!$B$9,Paramètres!$A$1:$I$89,5,0)</f>
        <v>4.5224624045658861E-14</v>
      </c>
      <c r="P199" s="13">
        <f t="shared" si="203"/>
        <v>7.4514601661523691E-13</v>
      </c>
      <c r="Q199" s="20">
        <f t="shared" si="162"/>
        <v>1.3765621991510601E-12</v>
      </c>
      <c r="R199" s="59">
        <f t="shared" si="191"/>
        <v>293.33333333333468</v>
      </c>
      <c r="S199" s="59">
        <f ca="1">AVERAGE(OFFSET($R$3,0,0,'Données projet'!$E$9+1,1))-AVERAGE(OFFSET($H$3,0,0,'Données projet'!$E$9+1,1))</f>
        <v>199.58763537752952</v>
      </c>
      <c r="T199" s="59">
        <f t="shared" si="204"/>
        <v>242.62852778451929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</v>
      </c>
      <c r="AA199" s="21">
        <f>EXP(-LN(2)/25)*AA198+(1-EXP(-LN(2)/25))/(LN(2)/25)*Calculateur!V199*Calculateur!X199*VLOOKUP('Données projet'!$B$9,Paramètres!$A$1:$I$89,3,0)*0.475*44/12</f>
        <v>0.10310498675682106</v>
      </c>
      <c r="AB199" s="21">
        <f>EXP(-LN(2)/2)*AB198+(1-EXP(-LN(2)/2))/(LN(2)/2)*V199*Y199*VLOOKUP('Données projet'!$B$9,Paramètres!$A$1:$I$89,3,0)*0.475*44/12</f>
        <v>1.1127190579661347E-24</v>
      </c>
      <c r="AC199" s="22">
        <f t="shared" si="163"/>
        <v>0.10310498675682106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566</v>
      </c>
      <c r="AJ199" s="13">
        <f>AI199*VLOOKUP('Données projet'!$B$10,Paramètres!$A$1:$I$89,3,0)*VLOOKUP('Données projet'!$B$10,Paramètres!$A$1:$I$89,5,0)</f>
        <v>338.46800000000002</v>
      </c>
      <c r="AK199" s="13">
        <f t="shared" si="164"/>
        <v>79.183342377469998</v>
      </c>
      <c r="AL199" s="20">
        <f t="shared" si="165"/>
        <v>727.4094213074269</v>
      </c>
      <c r="AM199" s="59">
        <f t="shared" si="193"/>
        <v>1020.7427546407603</v>
      </c>
      <c r="AN199" s="59">
        <f ca="1">AVERAGE(OFFSET($AM$3,0,0,'Données projet'!$E$10+1,1))-AVERAGE(OFFSET($H$3,0,0,'Données projet'!$E$10+1,1))</f>
        <v>287.78657453117694</v>
      </c>
      <c r="AO199" s="59">
        <f t="shared" si="205"/>
        <v>153.31562485362252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0.10932352875294073</v>
      </c>
      <c r="AV199" s="21">
        <f>EXP(-LN(2)/25)*AV198+(1-EXP(-LN(2)/25))/(LN(2)/25)*Calculateur!AQ199*Calculateur!AS199*VLOOKUP('Données projet'!$B$10,Paramètres!$A$1:$I$89,3,0)*0.475*44/12</f>
        <v>5.847003757033245E-2</v>
      </c>
      <c r="AW199" s="21">
        <f>EXP(-LN(2)/2)*AW198+(1-EXP(-LN(2)/2))/(LN(2)/2)*AQ199*AT199*VLOOKUP('Données projet'!$B$10,Paramètres!$A$1:$I$89,3,0)*0.475*44/12</f>
        <v>1.148129646184717E-24</v>
      </c>
      <c r="AX199" s="21">
        <f t="shared" si="166"/>
        <v>0.16779356632327319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-6.7984728957526396E-14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250.93905519128998</v>
      </c>
      <c r="BJ199" s="59">
        <f t="shared" si="206"/>
        <v>222.32879462265032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4.7845529264126503E-2</v>
      </c>
      <c r="BQ199" s="21">
        <f>EXP(-LN(2)/25)*BQ198+(1-EXP(-LN(2)/25))/(LN(2)/25)*Calculateur!BL199*Calculateur!BN199*VLOOKUP('Données projet'!$B$11,Paramètres!$A$1:$I$89,3,0)*0.475*44/12</f>
        <v>0.11605677533601116</v>
      </c>
      <c r="BR199" s="21">
        <f>EXP(-LN(2)/2)*BR198+(1-EXP(-LN(2)/2))/(LN(2)/2)*BL199*BO199*VLOOKUP('Données projet'!$B$11,Paramètres!$A$1:$I$89,3,0)*0.475*44/12</f>
        <v>1.9515036822607884E-25</v>
      </c>
      <c r="BS199" s="22">
        <f t="shared" si="169"/>
        <v>0.16390230460013766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-2.8421709430404007E-13</v>
      </c>
      <c r="BZ199" s="13">
        <f>BY199*VLOOKUP('Données projet'!$B$12,Paramètres!$A$1:$I$89,3,0)*VLOOKUP('Données projet'!$B$12,Paramètres!$A$1:$I$89,5,0)</f>
        <v>-1.69961822393816E-13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179.32848817523677</v>
      </c>
      <c r="CE199" s="59">
        <f t="shared" si="207"/>
        <v>131.3292389103035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0.132153547371476</v>
      </c>
      <c r="CM199" s="21">
        <f>EXP(-LN(2)/2)*CM198+(1-EXP(-LN(2)/2))/(LN(2)/2)*CG199*CJ199*VLOOKUP('Données projet'!$B$12,Paramètres!$A$1:$I$89,3,0)*0.475*44/12</f>
        <v>5.4416793940705684E-25</v>
      </c>
      <c r="CN199" s="22">
        <f t="shared" si="172"/>
        <v>0.132153547371476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-7.3896444519050419E-13</v>
      </c>
      <c r="CU199" s="17">
        <f>CT199*VLOOKUP('Données projet'!$B$13,Paramètres!$A$1:$I$89,3,0)*VLOOKUP('Données projet'!$B$13,Paramètres!$A$1:$I$89,5,0)</f>
        <v>-6.6861503000836817E-13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309.07357540707869</v>
      </c>
      <c r="CZ199" s="59">
        <f t="shared" si="208"/>
        <v>155.9593924683299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227.99999999999986</v>
      </c>
      <c r="DP199" s="17">
        <f>DO199*VLOOKUP('Données projet'!$B$14,Paramètres!$A$1:$I$89,3,0)*VLOOKUP('Données projet'!$B$14,Paramètres!$A$1:$I$89,5,0)</f>
        <v>199.18079999999992</v>
      </c>
      <c r="DQ199" s="13">
        <f t="shared" si="176"/>
        <v>49.564089376413683</v>
      </c>
      <c r="DR199" s="20">
        <f t="shared" si="177"/>
        <v>433.23068233058694</v>
      </c>
      <c r="DS199" s="59">
        <f t="shared" si="197"/>
        <v>726.56401566392026</v>
      </c>
      <c r="DT199" s="59">
        <f ca="1">AVERAGE(OFFSET($DS$3,0,0,'Données projet'!$E$14+1,1))-AVERAGE(OFFSET($H$3,0,0,'Données projet'!$E$14+1,1))</f>
        <v>210.07838338464626</v>
      </c>
      <c r="DU199" s="59">
        <f t="shared" si="209"/>
        <v>241.76003724236273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0.19794815317757933</v>
      </c>
      <c r="EB199" s="21">
        <f>EXP(-LN(2)/25)*EB198+(1-EXP(-LN(2)/25))/(LN(2)/25)*Calculateur!DW199*Calculateur!DY199*VLOOKUP('Données projet'!$B$14,Paramètres!$A$1:$I$89,3,0)*0.475*44/12</f>
        <v>0.13596199781965734</v>
      </c>
      <c r="EC199" s="21">
        <f>EXP(-LN(2)/2)*EC198+(1-EXP(-LN(2)/2))/(LN(2)/2)*DW199*DZ199*VLOOKUP('Données projet'!$B$14,Paramètres!$A$1:$I$89,3,0)*0.475*44/12</f>
        <v>1.6514065846427075E-24</v>
      </c>
      <c r="ED199" s="22">
        <f t="shared" si="178"/>
        <v>0.33391015099723664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6.2527760746888816E-13</v>
      </c>
      <c r="EK199" s="17">
        <f>EJ199*VLOOKUP('Données projet'!$B$15,Paramètres!$A$1:$I$89,3,0)*VLOOKUP('Données projet'!$B$15,Paramètres!$A$1:$I$89,5,0)</f>
        <v>3.9017322706058616E-13</v>
      </c>
      <c r="EL199" s="13">
        <f t="shared" si="179"/>
        <v>5.0025007393608908E-12</v>
      </c>
      <c r="EM199" s="20">
        <f t="shared" si="180"/>
        <v>9.3922404915174053E-12</v>
      </c>
      <c r="EN199" s="59">
        <f t="shared" si="198"/>
        <v>293.33333333334269</v>
      </c>
      <c r="EO199" s="59">
        <f ca="1">AVERAGE(OFFSET($EN$3,0,0,'Données projet'!$E$15+1,1))-AVERAGE(OFFSET($H$3,0,0,'Données projet'!$E$15+1,1))</f>
        <v>209.93608079129638</v>
      </c>
      <c r="EP199" s="59">
        <f t="shared" si="210"/>
        <v>240.15652428700969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0.25968685515014533</v>
      </c>
      <c r="EW199" s="21">
        <f>EXP(-LN(2)/25)*EW198+(1-EXP(-LN(2)/25))/(LN(2)/25)*Calculateur!ER199*Calculateur!ET199*VLOOKUP('Données projet'!$B$15,Paramètres!$A$1:$I$89,3,0)*0.475*44/12</f>
        <v>0.20843546930437476</v>
      </c>
      <c r="EX199" s="21">
        <f>EXP(-LN(2)/2)*EX198+(1-EXP(-LN(2)/2))/(LN(2)/2)*ER199*EU199*VLOOKUP('Données projet'!$B$15,Paramètres!$A$1:$I$89,3,0)*0.475*44/12</f>
        <v>2.0876813920385285E-24</v>
      </c>
      <c r="EY199" s="22">
        <f t="shared" si="181"/>
        <v>0.46812232445452007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5.6843418860808015E-14</v>
      </c>
      <c r="O200" s="13">
        <f>N200*VLOOKUP('Données projet'!$B$9,Paramètres!$A$1:$I$89,3,0)*VLOOKUP('Données projet'!$B$9,Paramètres!$A$1:$I$89,5,0)</f>
        <v>4.5224624045658861E-14</v>
      </c>
      <c r="P200" s="13">
        <f t="shared" si="203"/>
        <v>7.4514601661523691E-13</v>
      </c>
      <c r="Q200" s="20">
        <f t="shared" si="162"/>
        <v>1.3765621991510601E-12</v>
      </c>
      <c r="R200" s="59">
        <f t="shared" si="191"/>
        <v>293.33333333333468</v>
      </c>
      <c r="S200" s="59">
        <f ca="1">AVERAGE(OFFSET($R$3,0,0,'Données projet'!$E$9+1,1))-AVERAGE(OFFSET($H$3,0,0,'Données projet'!$E$9+1,1))</f>
        <v>199.58763537752952</v>
      </c>
      <c r="T200" s="59">
        <f t="shared" si="204"/>
        <v>242.62852778451929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</v>
      </c>
      <c r="AA200" s="21">
        <f>EXP(-LN(2)/25)*AA199+(1-EXP(-LN(2)/25))/(LN(2)/25)*Calculateur!V200*Calculateur!X200*VLOOKUP('Données projet'!$B$9,Paramètres!$A$1:$I$89,3,0)*0.475*44/12</f>
        <v>0.10028557547190019</v>
      </c>
      <c r="AB200" s="21">
        <f>EXP(-LN(2)/2)*AB199+(1-EXP(-LN(2)/2))/(LN(2)/2)*V200*Y200*VLOOKUP('Données projet'!$B$9,Paramètres!$A$1:$I$89,3,0)*0.475*44/12</f>
        <v>7.8681119144336092E-25</v>
      </c>
      <c r="AC200" s="22">
        <f t="shared" si="163"/>
        <v>0.10028557547190019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566</v>
      </c>
      <c r="AJ200" s="13">
        <f>AI200*VLOOKUP('Données projet'!$B$10,Paramètres!$A$1:$I$89,3,0)*VLOOKUP('Données projet'!$B$10,Paramètres!$A$1:$I$89,5,0)</f>
        <v>338.46800000000002</v>
      </c>
      <c r="AK200" s="13">
        <f t="shared" si="164"/>
        <v>79.183342377469998</v>
      </c>
      <c r="AL200" s="20">
        <f t="shared" si="165"/>
        <v>727.4094213074269</v>
      </c>
      <c r="AM200" s="59">
        <f t="shared" si="193"/>
        <v>1020.7427546407603</v>
      </c>
      <c r="AN200" s="59">
        <f ca="1">AVERAGE(OFFSET($AM$3,0,0,'Données projet'!$E$10+1,1))-AVERAGE(OFFSET($H$3,0,0,'Données projet'!$E$10+1,1))</f>
        <v>287.78657453117694</v>
      </c>
      <c r="AO200" s="59">
        <f t="shared" si="205"/>
        <v>153.31562485362252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0.10717976103486392</v>
      </c>
      <c r="AV200" s="21">
        <f>EXP(-LN(2)/25)*AV199+(1-EXP(-LN(2)/25))/(LN(2)/25)*Calculateur!AQ200*Calculateur!AS200*VLOOKUP('Données projet'!$B$10,Paramètres!$A$1:$I$89,3,0)*0.475*44/12</f>
        <v>5.6871171318166068E-2</v>
      </c>
      <c r="AW200" s="21">
        <f>EXP(-LN(2)/2)*AW199+(1-EXP(-LN(2)/2))/(LN(2)/2)*AQ200*AT200*VLOOKUP('Données projet'!$B$10,Paramètres!$A$1:$I$89,3,0)*0.475*44/12</f>
        <v>8.1185025849852497E-25</v>
      </c>
      <c r="AX200" s="21">
        <f t="shared" si="166"/>
        <v>0.16405093235302998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-6.7984728957526396E-14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250.93905519128998</v>
      </c>
      <c r="BJ200" s="59">
        <f t="shared" si="206"/>
        <v>222.32879462265032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4.6907307618148264E-2</v>
      </c>
      <c r="BQ200" s="21">
        <f>EXP(-LN(2)/25)*BQ199+(1-EXP(-LN(2)/25))/(LN(2)/25)*Calculateur!BL200*Calculateur!BN200*VLOOKUP('Données projet'!$B$11,Paramètres!$A$1:$I$89,3,0)*0.475*44/12</f>
        <v>0.11288319671128738</v>
      </c>
      <c r="BR200" s="21">
        <f>EXP(-LN(2)/2)*BR199+(1-EXP(-LN(2)/2))/(LN(2)/2)*BL200*BO200*VLOOKUP('Données projet'!$B$11,Paramètres!$A$1:$I$89,3,0)*0.475*44/12</f>
        <v>1.3799214872371211E-25</v>
      </c>
      <c r="BS200" s="22">
        <f t="shared" si="169"/>
        <v>0.15979050432943565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-2.8421709430404007E-13</v>
      </c>
      <c r="BZ200" s="13">
        <f>BY200*VLOOKUP('Données projet'!$B$12,Paramètres!$A$1:$I$89,3,0)*VLOOKUP('Données projet'!$B$12,Paramètres!$A$1:$I$89,5,0)</f>
        <v>-1.69961822393816E-13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179.32848817523677</v>
      </c>
      <c r="CE200" s="59">
        <f t="shared" si="207"/>
        <v>131.3292389103035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0.12853980166894996</v>
      </c>
      <c r="CM200" s="21">
        <f>EXP(-LN(2)/2)*CM199+(1-EXP(-LN(2)/2))/(LN(2)/2)*CG200*CJ200*VLOOKUP('Données projet'!$B$12,Paramètres!$A$1:$I$89,3,0)*0.475*44/12</f>
        <v>3.847848400590402E-25</v>
      </c>
      <c r="CN200" s="22">
        <f t="shared" si="172"/>
        <v>0.12853980166894996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-7.3896444519050419E-13</v>
      </c>
      <c r="CU200" s="17">
        <f>CT200*VLOOKUP('Données projet'!$B$13,Paramètres!$A$1:$I$89,3,0)*VLOOKUP('Données projet'!$B$13,Paramètres!$A$1:$I$89,5,0)</f>
        <v>-6.6861503000836817E-13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309.07357540707869</v>
      </c>
      <c r="CZ200" s="59">
        <f t="shared" si="208"/>
        <v>155.9593924683299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227.99999999999986</v>
      </c>
      <c r="DP200" s="17">
        <f>DO200*VLOOKUP('Données projet'!$B$14,Paramètres!$A$1:$I$89,3,0)*VLOOKUP('Données projet'!$B$14,Paramètres!$A$1:$I$89,5,0)</f>
        <v>199.18079999999992</v>
      </c>
      <c r="DQ200" s="13">
        <f t="shared" si="176"/>
        <v>49.564089376413683</v>
      </c>
      <c r="DR200" s="20">
        <f t="shared" si="177"/>
        <v>433.23068233058694</v>
      </c>
      <c r="DS200" s="59">
        <f t="shared" si="197"/>
        <v>726.56401566392026</v>
      </c>
      <c r="DT200" s="59">
        <f ca="1">AVERAGE(OFFSET($DS$3,0,0,'Données projet'!$E$14+1,1))-AVERAGE(OFFSET($H$3,0,0,'Données projet'!$E$14+1,1))</f>
        <v>210.07838338464626</v>
      </c>
      <c r="DU200" s="59">
        <f t="shared" si="209"/>
        <v>241.76003724236273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0.19406651063021871</v>
      </c>
      <c r="EB200" s="21">
        <f>EXP(-LN(2)/25)*EB199+(1-EXP(-LN(2)/25))/(LN(2)/25)*Calculateur!DW200*Calculateur!DY200*VLOOKUP('Données projet'!$B$14,Paramètres!$A$1:$I$89,3,0)*0.475*44/12</f>
        <v>0.13224410983934809</v>
      </c>
      <c r="EC200" s="21">
        <f>EXP(-LN(2)/2)*EC199+(1-EXP(-LN(2)/2))/(LN(2)/2)*DW200*DZ200*VLOOKUP('Données projet'!$B$14,Paramètres!$A$1:$I$89,3,0)*0.475*44/12</f>
        <v>1.1677207944969748E-24</v>
      </c>
      <c r="ED200" s="22">
        <f t="shared" si="178"/>
        <v>0.32631062046956683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6.2527760746888816E-13</v>
      </c>
      <c r="EK200" s="17">
        <f>EJ200*VLOOKUP('Données projet'!$B$15,Paramètres!$A$1:$I$89,3,0)*VLOOKUP('Données projet'!$B$15,Paramètres!$A$1:$I$89,5,0)</f>
        <v>3.9017322706058616E-13</v>
      </c>
      <c r="EL200" s="13">
        <f t="shared" si="179"/>
        <v>5.0025007393608908E-12</v>
      </c>
      <c r="EM200" s="20">
        <f t="shared" si="180"/>
        <v>9.3922404915174053E-12</v>
      </c>
      <c r="EN200" s="59">
        <f t="shared" si="198"/>
        <v>293.33333333334269</v>
      </c>
      <c r="EO200" s="59">
        <f ca="1">AVERAGE(OFFSET($EN$3,0,0,'Données projet'!$E$15+1,1))-AVERAGE(OFFSET($H$3,0,0,'Données projet'!$E$15+1,1))</f>
        <v>209.93608079129638</v>
      </c>
      <c r="EP200" s="59">
        <f t="shared" si="210"/>
        <v>240.15652428700969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0.25459455431399258</v>
      </c>
      <c r="EW200" s="21">
        <f>EXP(-LN(2)/25)*EW199+(1-EXP(-LN(2)/25))/(LN(2)/25)*Calculateur!ER200*Calculateur!ET200*VLOOKUP('Données projet'!$B$15,Paramètres!$A$1:$I$89,3,0)*0.475*44/12</f>
        <v>0.20273579043510168</v>
      </c>
      <c r="EX200" s="21">
        <f>EXP(-LN(2)/2)*EX199+(1-EXP(-LN(2)/2))/(LN(2)/2)*ER200*EU200*VLOOKUP('Données projet'!$B$15,Paramètres!$A$1:$I$89,3,0)*0.475*44/12</f>
        <v>1.4762136692674147E-24</v>
      </c>
      <c r="EY200" s="22">
        <f t="shared" si="181"/>
        <v>0.45733034474909429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5.6843418860808015E-14</v>
      </c>
      <c r="O201" s="13">
        <f>N201*VLOOKUP('Données projet'!$B$9,Paramètres!$A$1:$I$89,3,0)*VLOOKUP('Données projet'!$B$9,Paramètres!$A$1:$I$89,5,0)</f>
        <v>4.5224624045658861E-14</v>
      </c>
      <c r="P201" s="13">
        <f t="shared" si="203"/>
        <v>7.4514601661523691E-13</v>
      </c>
      <c r="Q201" s="20">
        <f t="shared" si="162"/>
        <v>1.3765621991510601E-12</v>
      </c>
      <c r="R201" s="59">
        <f t="shared" si="191"/>
        <v>293.33333333333468</v>
      </c>
      <c r="S201" s="59">
        <f ca="1">AVERAGE(OFFSET($R$3,0,0,'Données projet'!$E$9+1,1))-AVERAGE(OFFSET($H$3,0,0,'Données projet'!$E$9+1,1))</f>
        <v>199.58763537752952</v>
      </c>
      <c r="T201" s="59">
        <f t="shared" si="204"/>
        <v>242.62852778451929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</v>
      </c>
      <c r="AA201" s="21">
        <f>EXP(-LN(2)/25)*AA200+(1-EXP(-LN(2)/25))/(LN(2)/25)*Calculateur!V201*Calculateur!X201*VLOOKUP('Données projet'!$B$9,Paramètres!$A$1:$I$89,3,0)*0.475*44/12</f>
        <v>9.7543261136831871E-2</v>
      </c>
      <c r="AB201" s="21">
        <f>EXP(-LN(2)/2)*AB200+(1-EXP(-LN(2)/2))/(LN(2)/2)*V201*Y201*VLOOKUP('Données projet'!$B$9,Paramètres!$A$1:$I$89,3,0)*0.475*44/12</f>
        <v>5.5635952898306736E-25</v>
      </c>
      <c r="AC201" s="22">
        <f t="shared" si="163"/>
        <v>9.7543261136831871E-2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566</v>
      </c>
      <c r="AJ201" s="13">
        <f>AI201*VLOOKUP('Données projet'!$B$10,Paramètres!$A$1:$I$89,3,0)*VLOOKUP('Données projet'!$B$10,Paramètres!$A$1:$I$89,5,0)</f>
        <v>338.46800000000002</v>
      </c>
      <c r="AK201" s="13">
        <f t="shared" si="164"/>
        <v>79.183342377469998</v>
      </c>
      <c r="AL201" s="20">
        <f t="shared" si="165"/>
        <v>727.4094213074269</v>
      </c>
      <c r="AM201" s="59">
        <f t="shared" si="193"/>
        <v>1020.7427546407603</v>
      </c>
      <c r="AN201" s="59">
        <f ca="1">AVERAGE(OFFSET($AM$3,0,0,'Données projet'!$E$10+1,1))-AVERAGE(OFFSET($H$3,0,0,'Données projet'!$E$10+1,1))</f>
        <v>287.78657453117694</v>
      </c>
      <c r="AO201" s="59">
        <f t="shared" si="205"/>
        <v>153.31562485362252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0.1050780312941694</v>
      </c>
      <c r="AV201" s="21">
        <f>EXP(-LN(2)/25)*AV200+(1-EXP(-LN(2)/25))/(LN(2)/25)*Calculateur!AQ201*Calculateur!AS201*VLOOKUP('Données projet'!$B$10,Paramètres!$A$1:$I$89,3,0)*0.475*44/12</f>
        <v>5.5316026147745896E-2</v>
      </c>
      <c r="AW201" s="21">
        <f>EXP(-LN(2)/2)*AW200+(1-EXP(-LN(2)/2))/(LN(2)/2)*AQ201*AT201*VLOOKUP('Données projet'!$B$10,Paramètres!$A$1:$I$89,3,0)*0.475*44/12</f>
        <v>5.7406482309235859E-25</v>
      </c>
      <c r="AX201" s="21">
        <f t="shared" si="166"/>
        <v>0.16039405744191529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-6.7984728957526396E-14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250.93905519128998</v>
      </c>
      <c r="BJ201" s="59">
        <f t="shared" si="206"/>
        <v>222.32879462265032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4.5987483926388961E-2</v>
      </c>
      <c r="BQ201" s="21">
        <f>EXP(-LN(2)/25)*BQ200+(1-EXP(-LN(2)/25))/(LN(2)/25)*Calculateur!BL201*Calculateur!BN201*VLOOKUP('Données projet'!$B$11,Paramètres!$A$1:$I$89,3,0)*0.475*44/12</f>
        <v>0.1097963997609479</v>
      </c>
      <c r="BR201" s="21">
        <f>EXP(-LN(2)/2)*BR200+(1-EXP(-LN(2)/2))/(LN(2)/2)*BL201*BO201*VLOOKUP('Données projet'!$B$11,Paramètres!$A$1:$I$89,3,0)*0.475*44/12</f>
        <v>9.7575184113039422E-26</v>
      </c>
      <c r="BS201" s="22">
        <f t="shared" si="169"/>
        <v>0.15578388368733687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-2.8421709430404007E-13</v>
      </c>
      <c r="BZ201" s="13">
        <f>BY201*VLOOKUP('Données projet'!$B$12,Paramètres!$A$1:$I$89,3,0)*VLOOKUP('Données projet'!$B$12,Paramètres!$A$1:$I$89,5,0)</f>
        <v>-1.69961822393816E-13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179.32848817523677</v>
      </c>
      <c r="CE201" s="59">
        <f t="shared" si="207"/>
        <v>131.3292389103035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0.12502487403269813</v>
      </c>
      <c r="CM201" s="21">
        <f>EXP(-LN(2)/2)*CM200+(1-EXP(-LN(2)/2))/(LN(2)/2)*CG201*CJ201*VLOOKUP('Données projet'!$B$12,Paramètres!$A$1:$I$89,3,0)*0.475*44/12</f>
        <v>2.7208396970352842E-25</v>
      </c>
      <c r="CN201" s="22">
        <f t="shared" si="172"/>
        <v>0.12502487403269813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-7.3896444519050419E-13</v>
      </c>
      <c r="CU201" s="17">
        <f>CT201*VLOOKUP('Données projet'!$B$13,Paramètres!$A$1:$I$89,3,0)*VLOOKUP('Données projet'!$B$13,Paramètres!$A$1:$I$89,5,0)</f>
        <v>-6.6861503000836817E-13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309.07357540707869</v>
      </c>
      <c r="CZ201" s="59">
        <f t="shared" si="208"/>
        <v>155.9593924683299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227.99999999999986</v>
      </c>
      <c r="DP201" s="17">
        <f>DO201*VLOOKUP('Données projet'!$B$14,Paramètres!$A$1:$I$89,3,0)*VLOOKUP('Données projet'!$B$14,Paramètres!$A$1:$I$89,5,0)</f>
        <v>199.18079999999992</v>
      </c>
      <c r="DQ201" s="13">
        <f t="shared" si="176"/>
        <v>49.564089376413683</v>
      </c>
      <c r="DR201" s="20">
        <f t="shared" si="177"/>
        <v>433.23068233058694</v>
      </c>
      <c r="DS201" s="59">
        <f t="shared" si="197"/>
        <v>726.56401566392026</v>
      </c>
      <c r="DT201" s="59">
        <f ca="1">AVERAGE(OFFSET($DS$3,0,0,'Données projet'!$E$14+1,1))-AVERAGE(OFFSET($H$3,0,0,'Données projet'!$E$14+1,1))</f>
        <v>210.07838338464626</v>
      </c>
      <c r="DU201" s="59">
        <f t="shared" si="209"/>
        <v>241.76003724236273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0.19026098472564365</v>
      </c>
      <c r="EB201" s="21">
        <f>EXP(-LN(2)/25)*EB200+(1-EXP(-LN(2)/25))/(LN(2)/25)*Calculateur!DW201*Calculateur!DY201*VLOOKUP('Données projet'!$B$14,Paramètres!$A$1:$I$89,3,0)*0.475*44/12</f>
        <v>0.12862788770137562</v>
      </c>
      <c r="EC201" s="21">
        <f>EXP(-LN(2)/2)*EC200+(1-EXP(-LN(2)/2))/(LN(2)/2)*DW201*DZ201*VLOOKUP('Données projet'!$B$14,Paramètres!$A$1:$I$89,3,0)*0.475*44/12</f>
        <v>8.2570329232135386E-25</v>
      </c>
      <c r="ED201" s="22">
        <f t="shared" si="178"/>
        <v>0.31888887242701924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6.2527760746888816E-13</v>
      </c>
      <c r="EK201" s="17">
        <f>EJ201*VLOOKUP('Données projet'!$B$15,Paramètres!$A$1:$I$89,3,0)*VLOOKUP('Données projet'!$B$15,Paramètres!$A$1:$I$89,5,0)</f>
        <v>3.9017322706058616E-13</v>
      </c>
      <c r="EL201" s="13">
        <f t="shared" si="179"/>
        <v>5.0025007393608908E-12</v>
      </c>
      <c r="EM201" s="20">
        <f t="shared" si="180"/>
        <v>9.3922404915174053E-12</v>
      </c>
      <c r="EN201" s="59">
        <f t="shared" si="198"/>
        <v>293.33333333334269</v>
      </c>
      <c r="EO201" s="59">
        <f ca="1">AVERAGE(OFFSET($EN$3,0,0,'Données projet'!$E$15+1,1))-AVERAGE(OFFSET($H$3,0,0,'Données projet'!$E$15+1,1))</f>
        <v>209.93608079129638</v>
      </c>
      <c r="EP201" s="59">
        <f t="shared" si="210"/>
        <v>240.15652428700969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0.24960211039123997</v>
      </c>
      <c r="EW201" s="21">
        <f>EXP(-LN(2)/25)*EW200+(1-EXP(-LN(2)/25))/(LN(2)/25)*Calculateur!ER201*Calculateur!ET201*VLOOKUP('Données projet'!$B$15,Paramètres!$A$1:$I$89,3,0)*0.475*44/12</f>
        <v>0.19719196958424196</v>
      </c>
      <c r="EX201" s="21">
        <f>EXP(-LN(2)/2)*EX200+(1-EXP(-LN(2)/2))/(LN(2)/2)*ER201*EU201*VLOOKUP('Données projet'!$B$15,Paramètres!$A$1:$I$89,3,0)*0.475*44/12</f>
        <v>1.0438406960192642E-24</v>
      </c>
      <c r="EY201" s="22">
        <f t="shared" si="181"/>
        <v>0.44679407997548193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5.6843418860808015E-14</v>
      </c>
      <c r="O202" s="13">
        <f>N202*VLOOKUP('Données projet'!$B$9,Paramètres!$A$1:$I$89,3,0)*VLOOKUP('Données projet'!$B$9,Paramètres!$A$1:$I$89,5,0)</f>
        <v>4.5224624045658861E-14</v>
      </c>
      <c r="P202" s="13">
        <f t="shared" si="203"/>
        <v>7.4514601661523691E-13</v>
      </c>
      <c r="Q202" s="20">
        <f t="shared" si="162"/>
        <v>1.3765621991510601E-12</v>
      </c>
      <c r="R202" s="59">
        <f t="shared" si="191"/>
        <v>293.33333333333468</v>
      </c>
      <c r="S202" s="59">
        <f ca="1">AVERAGE(OFFSET($R$3,0,0,'Données projet'!$E$9+1,1))-AVERAGE(OFFSET($H$3,0,0,'Données projet'!$E$9+1,1))</f>
        <v>199.58763537752952</v>
      </c>
      <c r="T202" s="59">
        <f t="shared" si="204"/>
        <v>242.62852778451929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</v>
      </c>
      <c r="AA202" s="21">
        <f>EXP(-LN(2)/25)*AA201+(1-EXP(-LN(2)/25))/(LN(2)/25)*Calculateur!V202*Calculateur!X202*VLOOKUP('Données projet'!$B$9,Paramètres!$A$1:$I$89,3,0)*0.475*44/12</f>
        <v>9.4875935531468045E-2</v>
      </c>
      <c r="AB202" s="21">
        <f>EXP(-LN(2)/2)*AB201+(1-EXP(-LN(2)/2))/(LN(2)/2)*V202*Y202*VLOOKUP('Données projet'!$B$9,Paramètres!$A$1:$I$89,3,0)*0.475*44/12</f>
        <v>3.9340559572168046E-25</v>
      </c>
      <c r="AC202" s="22">
        <f t="shared" si="163"/>
        <v>9.4875935531468045E-2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566</v>
      </c>
      <c r="AJ202" s="13">
        <f>AI202*VLOOKUP('Données projet'!$B$10,Paramètres!$A$1:$I$89,3,0)*VLOOKUP('Données projet'!$B$10,Paramètres!$A$1:$I$89,5,0)</f>
        <v>338.46800000000002</v>
      </c>
      <c r="AK202" s="13">
        <f t="shared" si="164"/>
        <v>79.183342377469998</v>
      </c>
      <c r="AL202" s="20">
        <f t="shared" si="165"/>
        <v>727.4094213074269</v>
      </c>
      <c r="AM202" s="59">
        <f t="shared" si="193"/>
        <v>1020.7427546407603</v>
      </c>
      <c r="AN202" s="59">
        <f ca="1">AVERAGE(OFFSET($AM$3,0,0,'Données projet'!$E$10+1,1))-AVERAGE(OFFSET($H$3,0,0,'Données projet'!$E$10+1,1))</f>
        <v>287.78657453117694</v>
      </c>
      <c r="AO202" s="59">
        <f t="shared" si="205"/>
        <v>153.31562485362252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0.10301751519176133</v>
      </c>
      <c r="AV202" s="21">
        <f>EXP(-LN(2)/25)*AV201+(1-EXP(-LN(2)/25))/(LN(2)/25)*Calculateur!AQ202*Calculateur!AS202*VLOOKUP('Données projet'!$B$10,Paramètres!$A$1:$I$89,3,0)*0.475*44/12</f>
        <v>5.3803406503792395E-2</v>
      </c>
      <c r="AW202" s="21">
        <f>EXP(-LN(2)/2)*AW201+(1-EXP(-LN(2)/2))/(LN(2)/2)*AQ202*AT202*VLOOKUP('Données projet'!$B$10,Paramètres!$A$1:$I$89,3,0)*0.475*44/12</f>
        <v>4.0592512924926253E-25</v>
      </c>
      <c r="AX202" s="21">
        <f t="shared" si="166"/>
        <v>0.15682092169555373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-6.7984728957526396E-14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250.93905519128998</v>
      </c>
      <c r="BJ202" s="59">
        <f t="shared" si="206"/>
        <v>222.32879462265032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4.5085697416188002E-2</v>
      </c>
      <c r="BQ202" s="21">
        <f>EXP(-LN(2)/25)*BQ201+(1-EXP(-LN(2)/25))/(LN(2)/25)*Calculateur!BL202*Calculateur!BN202*VLOOKUP('Données projet'!$B$11,Paramètres!$A$1:$I$89,3,0)*0.475*44/12</f>
        <v>0.10679401143554307</v>
      </c>
      <c r="BR202" s="21">
        <f>EXP(-LN(2)/2)*BR201+(1-EXP(-LN(2)/2))/(LN(2)/2)*BL202*BO202*VLOOKUP('Données projet'!$B$11,Paramètres!$A$1:$I$89,3,0)*0.475*44/12</f>
        <v>6.8996074361856054E-26</v>
      </c>
      <c r="BS202" s="22">
        <f t="shared" si="169"/>
        <v>0.15187970885173108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-2.8421709430404007E-13</v>
      </c>
      <c r="BZ202" s="13">
        <f>BY202*VLOOKUP('Données projet'!$B$12,Paramètres!$A$1:$I$89,3,0)*VLOOKUP('Données projet'!$B$12,Paramètres!$A$1:$I$89,5,0)</f>
        <v>-1.69961822393816E-13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179.32848817523677</v>
      </c>
      <c r="CE202" s="59">
        <f t="shared" si="207"/>
        <v>131.3292389103035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0.12160606227750162</v>
      </c>
      <c r="CM202" s="21">
        <f>EXP(-LN(2)/2)*CM201+(1-EXP(-LN(2)/2))/(LN(2)/2)*CG202*CJ202*VLOOKUP('Données projet'!$B$12,Paramètres!$A$1:$I$89,3,0)*0.475*44/12</f>
        <v>1.923924200295201E-25</v>
      </c>
      <c r="CN202" s="22">
        <f t="shared" si="172"/>
        <v>0.12160606227750162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-7.3896444519050419E-13</v>
      </c>
      <c r="CU202" s="17">
        <f>CT202*VLOOKUP('Données projet'!$B$13,Paramètres!$A$1:$I$89,3,0)*VLOOKUP('Données projet'!$B$13,Paramètres!$A$1:$I$89,5,0)</f>
        <v>-6.6861503000836817E-13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309.07357540707869</v>
      </c>
      <c r="CZ202" s="59">
        <f t="shared" si="208"/>
        <v>155.9593924683299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227.99999999999986</v>
      </c>
      <c r="DP202" s="17">
        <f>DO202*VLOOKUP('Données projet'!$B$14,Paramètres!$A$1:$I$89,3,0)*VLOOKUP('Données projet'!$B$14,Paramètres!$A$1:$I$89,5,0)</f>
        <v>199.18079999999992</v>
      </c>
      <c r="DQ202" s="13">
        <f t="shared" si="176"/>
        <v>49.564089376413683</v>
      </c>
      <c r="DR202" s="20">
        <f t="shared" si="177"/>
        <v>433.23068233058694</v>
      </c>
      <c r="DS202" s="59">
        <f t="shared" si="197"/>
        <v>726.56401566392026</v>
      </c>
      <c r="DT202" s="59">
        <f ca="1">AVERAGE(OFFSET($DS$3,0,0,'Données projet'!$E$14+1,1))-AVERAGE(OFFSET($H$3,0,0,'Données projet'!$E$14+1,1))</f>
        <v>210.07838338464626</v>
      </c>
      <c r="DU202" s="59">
        <f t="shared" si="209"/>
        <v>241.76003724236273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0.1865300828629157</v>
      </c>
      <c r="EB202" s="21">
        <f>EXP(-LN(2)/25)*EB201+(1-EXP(-LN(2)/25))/(LN(2)/25)*Calculateur!DW202*Calculateur!DY202*VLOOKUP('Données projet'!$B$14,Paramètres!$A$1:$I$89,3,0)*0.475*44/12</f>
        <v>0.12511055134793486</v>
      </c>
      <c r="EC202" s="21">
        <f>EXP(-LN(2)/2)*EC201+(1-EXP(-LN(2)/2))/(LN(2)/2)*DW202*DZ202*VLOOKUP('Données projet'!$B$14,Paramètres!$A$1:$I$89,3,0)*0.475*44/12</f>
        <v>5.8386039724848752E-25</v>
      </c>
      <c r="ED202" s="22">
        <f t="shared" si="178"/>
        <v>0.31164063421085053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6.2527760746888816E-13</v>
      </c>
      <c r="EK202" s="17">
        <f>EJ202*VLOOKUP('Données projet'!$B$15,Paramètres!$A$1:$I$89,3,0)*VLOOKUP('Données projet'!$B$15,Paramètres!$A$1:$I$89,5,0)</f>
        <v>3.9017322706058616E-13</v>
      </c>
      <c r="EL202" s="13">
        <f t="shared" si="179"/>
        <v>5.0025007393608908E-12</v>
      </c>
      <c r="EM202" s="20">
        <f t="shared" si="180"/>
        <v>9.3922404915174053E-12</v>
      </c>
      <c r="EN202" s="59">
        <f t="shared" si="198"/>
        <v>293.33333333334269</v>
      </c>
      <c r="EO202" s="59">
        <f ca="1">AVERAGE(OFFSET($EN$3,0,0,'Données projet'!$E$15+1,1))-AVERAGE(OFFSET($H$3,0,0,'Données projet'!$E$15+1,1))</f>
        <v>209.93608079129638</v>
      </c>
      <c r="EP202" s="59">
        <f t="shared" si="210"/>
        <v>240.15652428700969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0.24470756524872242</v>
      </c>
      <c r="EW202" s="21">
        <f>EXP(-LN(2)/25)*EW201+(1-EXP(-LN(2)/25))/(LN(2)/25)*Calculateur!ER202*Calculateur!ET202*VLOOKUP('Données projet'!$B$15,Paramètres!$A$1:$I$89,3,0)*0.475*44/12</f>
        <v>0.19179974480608586</v>
      </c>
      <c r="EX202" s="21">
        <f>EXP(-LN(2)/2)*EX201+(1-EXP(-LN(2)/2))/(LN(2)/2)*ER202*EU202*VLOOKUP('Données projet'!$B$15,Paramètres!$A$1:$I$89,3,0)*0.475*44/12</f>
        <v>7.3810683463370735E-25</v>
      </c>
      <c r="EY202" s="22">
        <f t="shared" si="181"/>
        <v>0.43650731005480825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5.6843418860808015E-14</v>
      </c>
      <c r="O203" s="13">
        <f>N203*VLOOKUP('Données projet'!$B$9,Paramètres!$A$1:$I$89,3,0)*VLOOKUP('Données projet'!$B$9,Paramètres!$A$1:$I$89,5,0)</f>
        <v>4.5224624045658861E-14</v>
      </c>
      <c r="P203" s="13">
        <f t="shared" si="203"/>
        <v>7.4514601661523691E-13</v>
      </c>
      <c r="Q203" s="20">
        <f t="shared" si="162"/>
        <v>1.3765621991510601E-12</v>
      </c>
      <c r="R203" s="59">
        <f t="shared" si="191"/>
        <v>293.33333333333468</v>
      </c>
      <c r="S203" s="59">
        <f ca="1">AVERAGE(OFFSET($R$3,0,0,'Données projet'!$E$9+1,1))-AVERAGE(OFFSET($H$3,0,0,'Données projet'!$E$9+1,1))</f>
        <v>199.58763537752952</v>
      </c>
      <c r="T203" s="59">
        <f t="shared" si="204"/>
        <v>242.62852778451929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</v>
      </c>
      <c r="AA203" s="21">
        <f>EXP(-LN(2)/25)*AA202+(1-EXP(-LN(2)/25))/(LN(2)/25)*Calculateur!V203*Calculateur!X203*VLOOKUP('Données projet'!$B$9,Paramètres!$A$1:$I$89,3,0)*0.475*44/12</f>
        <v>9.2281548085051443E-2</v>
      </c>
      <c r="AB203" s="21">
        <f>EXP(-LN(2)/2)*AB202+(1-EXP(-LN(2)/2))/(LN(2)/2)*V203*Y203*VLOOKUP('Données projet'!$B$9,Paramètres!$A$1:$I$89,3,0)*0.475*44/12</f>
        <v>2.7817976449153368E-25</v>
      </c>
      <c r="AC203" s="22">
        <f t="shared" si="163"/>
        <v>9.2281548085051443E-2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566</v>
      </c>
      <c r="AJ203" s="13">
        <f>AI203*VLOOKUP('Données projet'!$B$10,Paramètres!$A$1:$I$89,3,0)*VLOOKUP('Données projet'!$B$10,Paramètres!$A$1:$I$89,5,0)</f>
        <v>338.46800000000002</v>
      </c>
      <c r="AK203" s="13">
        <f t="shared" si="164"/>
        <v>79.183342377469998</v>
      </c>
      <c r="AL203" s="20">
        <f t="shared" si="165"/>
        <v>727.4094213074269</v>
      </c>
      <c r="AM203" s="59">
        <f t="shared" si="193"/>
        <v>1020.7427546407603</v>
      </c>
      <c r="AN203" s="59">
        <f ca="1">AVERAGE(OFFSET($AM$3,0,0,'Données projet'!$E$10+1,1))-AVERAGE(OFFSET($H$3,0,0,'Données projet'!$E$10+1,1))</f>
        <v>287.78657453117694</v>
      </c>
      <c r="AO203" s="59">
        <f t="shared" si="205"/>
        <v>153.31562485362252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0.10099740455333077</v>
      </c>
      <c r="AV203" s="21">
        <f>EXP(-LN(2)/25)*AV202+(1-EXP(-LN(2)/25))/(LN(2)/25)*Calculateur!AQ203*Calculateur!AS203*VLOOKUP('Données projet'!$B$10,Paramètres!$A$1:$I$89,3,0)*0.475*44/12</f>
        <v>5.2332149523548012E-2</v>
      </c>
      <c r="AW203" s="21">
        <f>EXP(-LN(2)/2)*AW202+(1-EXP(-LN(2)/2))/(LN(2)/2)*AQ203*AT203*VLOOKUP('Données projet'!$B$10,Paramètres!$A$1:$I$89,3,0)*0.475*44/12</f>
        <v>2.8703241154617934E-25</v>
      </c>
      <c r="AX203" s="21">
        <f t="shared" si="166"/>
        <v>0.15332955407687879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-6.7984728957526396E-14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250.93905519128998</v>
      </c>
      <c r="BJ203" s="59">
        <f t="shared" si="206"/>
        <v>222.32879462265032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4.4201594389416621E-2</v>
      </c>
      <c r="BQ203" s="21">
        <f>EXP(-LN(2)/25)*BQ202+(1-EXP(-LN(2)/25))/(LN(2)/25)*Calculateur!BL203*Calculateur!BN203*VLOOKUP('Données projet'!$B$11,Paramètres!$A$1:$I$89,3,0)*0.475*44/12</f>
        <v>0.10387372357678516</v>
      </c>
      <c r="BR203" s="21">
        <f>EXP(-LN(2)/2)*BR202+(1-EXP(-LN(2)/2))/(LN(2)/2)*BL203*BO203*VLOOKUP('Données projet'!$B$11,Paramètres!$A$1:$I$89,3,0)*0.475*44/12</f>
        <v>4.8787592056519711E-26</v>
      </c>
      <c r="BS203" s="22">
        <f t="shared" si="169"/>
        <v>0.14807531796620177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-2.8421709430404007E-13</v>
      </c>
      <c r="BZ203" s="13">
        <f>BY203*VLOOKUP('Données projet'!$B$12,Paramètres!$A$1:$I$89,3,0)*VLOOKUP('Données projet'!$B$12,Paramètres!$A$1:$I$89,5,0)</f>
        <v>-1.69961822393816E-13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179.32848817523677</v>
      </c>
      <c r="CE203" s="59">
        <f t="shared" si="207"/>
        <v>131.3292389103035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0.11828073810953846</v>
      </c>
      <c r="CM203" s="21">
        <f>EXP(-LN(2)/2)*CM202+(1-EXP(-LN(2)/2))/(LN(2)/2)*CG203*CJ203*VLOOKUP('Données projet'!$B$12,Paramètres!$A$1:$I$89,3,0)*0.475*44/12</f>
        <v>1.3604198485176421E-25</v>
      </c>
      <c r="CN203" s="22">
        <f t="shared" si="172"/>
        <v>0.11828073810953846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-7.3896444519050419E-13</v>
      </c>
      <c r="CU203" s="17">
        <f>CT203*VLOOKUP('Données projet'!$B$13,Paramètres!$A$1:$I$89,3,0)*VLOOKUP('Données projet'!$B$13,Paramètres!$A$1:$I$89,5,0)</f>
        <v>-6.6861503000836817E-13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309.07357540707869</v>
      </c>
      <c r="CZ203" s="59">
        <f t="shared" si="208"/>
        <v>155.9593924683299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227.99999999999986</v>
      </c>
      <c r="DP203" s="17">
        <f>DO203*VLOOKUP('Données projet'!$B$14,Paramètres!$A$1:$I$89,3,0)*VLOOKUP('Données projet'!$B$14,Paramètres!$A$1:$I$89,5,0)</f>
        <v>199.18079999999992</v>
      </c>
      <c r="DQ203" s="13">
        <f t="shared" si="176"/>
        <v>49.564089376413683</v>
      </c>
      <c r="DR203" s="20">
        <f t="shared" si="177"/>
        <v>433.23068233058694</v>
      </c>
      <c r="DS203" s="59">
        <f t="shared" si="197"/>
        <v>726.56401566392026</v>
      </c>
      <c r="DT203" s="59">
        <f ca="1">AVERAGE(OFFSET($DS$3,0,0,'Données projet'!$E$14+1,1))-AVERAGE(OFFSET($H$3,0,0,'Données projet'!$E$14+1,1))</f>
        <v>210.07838338464626</v>
      </c>
      <c r="DU203" s="59">
        <f t="shared" si="209"/>
        <v>241.76003724236273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0.1828723417100904</v>
      </c>
      <c r="EB203" s="21">
        <f>EXP(-LN(2)/25)*EB202+(1-EXP(-LN(2)/25))/(LN(2)/25)*Calculateur!DW203*Calculateur!DY203*VLOOKUP('Données projet'!$B$14,Paramètres!$A$1:$I$89,3,0)*0.475*44/12</f>
        <v>0.12168939674204764</v>
      </c>
      <c r="EC203" s="21">
        <f>EXP(-LN(2)/2)*EC202+(1-EXP(-LN(2)/2))/(LN(2)/2)*DW203*DZ203*VLOOKUP('Données projet'!$B$14,Paramètres!$A$1:$I$89,3,0)*0.475*44/12</f>
        <v>4.1285164616067702E-25</v>
      </c>
      <c r="ED203" s="22">
        <f t="shared" si="178"/>
        <v>0.30456173845213802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6.2527760746888816E-13</v>
      </c>
      <c r="EK203" s="17">
        <f>EJ203*VLOOKUP('Données projet'!$B$15,Paramètres!$A$1:$I$89,3,0)*VLOOKUP('Données projet'!$B$15,Paramètres!$A$1:$I$89,5,0)</f>
        <v>3.9017322706058616E-13</v>
      </c>
      <c r="EL203" s="13">
        <f t="shared" si="179"/>
        <v>5.0025007393608908E-12</v>
      </c>
      <c r="EM203" s="20">
        <f t="shared" si="180"/>
        <v>9.3922404915174053E-12</v>
      </c>
      <c r="EN203" s="59">
        <f t="shared" si="198"/>
        <v>293.33333333334269</v>
      </c>
      <c r="EO203" s="59">
        <f ca="1">AVERAGE(OFFSET($EN$3,0,0,'Données projet'!$E$15+1,1))-AVERAGE(OFFSET($H$3,0,0,'Données projet'!$E$15+1,1))</f>
        <v>209.93608079129638</v>
      </c>
      <c r="EP203" s="59">
        <f t="shared" si="210"/>
        <v>240.15652428700969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0.23990899915107189</v>
      </c>
      <c r="EW203" s="21">
        <f>EXP(-LN(2)/25)*EW202+(1-EXP(-LN(2)/25))/(LN(2)/25)*Calculateur!ER203*Calculateur!ET203*VLOOKUP('Données projet'!$B$15,Paramètres!$A$1:$I$89,3,0)*0.475*44/12</f>
        <v>0.18655497069805321</v>
      </c>
      <c r="EX203" s="21">
        <f>EXP(-LN(2)/2)*EX202+(1-EXP(-LN(2)/2))/(LN(2)/2)*ER203*EU203*VLOOKUP('Données projet'!$B$15,Paramètres!$A$1:$I$89,3,0)*0.475*44/12</f>
        <v>5.2192034800963212E-25</v>
      </c>
      <c r="EY203" s="22">
        <f t="shared" si="181"/>
        <v>0.4264639698491251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1.2557008269631629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1.2281926434669694</v>
      </c>
      <c r="BA205" s="82">
        <f>EXP(LN('Données projet'!B88)/'Données projet'!A88)</f>
        <v>1.3136742413466562</v>
      </c>
      <c r="BV205" s="82">
        <f>EXP(LN('Données projet'!B114)/'Données projet'!A114)</f>
        <v>1.2691631451226497</v>
      </c>
      <c r="CQ205" s="82">
        <f>EXP(LN('Données projet'!B140)/'Données projet'!A140)</f>
        <v>1.1690615875970631</v>
      </c>
      <c r="DL205" s="82">
        <f>EXP(LN('Données projet'!B166)/'Données projet'!A166)</f>
        <v>1.3682730833261529</v>
      </c>
      <c r="EG205" s="82">
        <f>EXP(LN('Données projet'!B192)/'Données projet'!A192)</f>
        <v>1.2693871579679339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17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Erable sycomore</v>
      </c>
      <c r="B6" s="146">
        <f>'Données projet'!D9</f>
        <v>1.1942999999999999</v>
      </c>
      <c r="C6" s="147">
        <f ca="1">IF(OR('Données projet'!B9="",'Données projet'!C9="",'Données projet'!C9=0%),0,Calculateur!S3)</f>
        <v>199.58763537752952</v>
      </c>
      <c r="D6" s="147">
        <f>IF(OR('Données projet'!B9="",'Données projet'!C9="",'Données projet'!C9=0%),0,Calculateur!T3)</f>
        <v>242.62852778451929</v>
      </c>
      <c r="E6" s="147">
        <f ca="1">MIN(C6,D6)</f>
        <v>199.58763537752952</v>
      </c>
      <c r="F6" s="147">
        <f ca="1">E6*B6</f>
        <v>238.36751293138349</v>
      </c>
      <c r="G6" s="147">
        <f ca="1">F6*(100%-'Données projet'!$C$24)*(100%-'Données projet'!$C$25)*(100%-'Données projet'!$C$26)*(100%-'Données projet'!$C$27)</f>
        <v>214.53076163824514</v>
      </c>
      <c r="H6" s="148">
        <f>IF(OR('Données projet'!B9="",'Données projet'!C9="",'Données projet'!C9=0%),0,AVERAGE(Calculateur!$AC$3:$AC$33)*B6)</f>
        <v>3.5418062358038491</v>
      </c>
      <c r="I6" s="149">
        <f>H6*(100%-'Données projet'!$C$24)*(100%-'Données projet'!$C$25)*(100%-'Données projet'!$C$26)*(100%-'Données projet'!$C$27)</f>
        <v>3.1876256122234641</v>
      </c>
      <c r="J6" s="150">
        <f>IF(OR('Données projet'!B9="",'Données projet'!C9="",'Données projet'!C9=0%),0,SUM(Calculateur!$V$3:$V$33)*VLOOKUP('Données projet'!$B$9,Paramètres!$A$1:$I$89,9,0)*B6)</f>
        <v>29.558924999999999</v>
      </c>
      <c r="K6" s="151">
        <f>J6*(100%-'Données projet'!$C$24)*(100%-'Données projet'!$C$25)*(100%-'Données projet'!$C$26)*(100%-'Données projet'!$C$27)</f>
        <v>26.603032499999998</v>
      </c>
      <c r="L6" s="152">
        <f ca="1">G6+I6+K6</f>
        <v>244.32141975046858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Pin de Salzmann</v>
      </c>
      <c r="B7" s="154">
        <f>'Données projet'!D10</f>
        <v>2.1231999999999998</v>
      </c>
      <c r="C7" s="147">
        <f ca="1">IF(OR('Données projet'!B10="",'Données projet'!C10="",'Données projet'!C10=0%),0,Calculateur!AN3)</f>
        <v>287.78657453117694</v>
      </c>
      <c r="D7" s="147">
        <f>IF(OR('Données projet'!B10="",'Données projet'!C10="",'Données projet'!C10=0%),0,Calculateur!AO3)</f>
        <v>153.31562485362252</v>
      </c>
      <c r="E7" s="147">
        <f t="shared" ref="E7:E15" ca="1" si="0">MIN(C7,D7)</f>
        <v>153.31562485362252</v>
      </c>
      <c r="F7" s="147">
        <f t="shared" ref="F7:F15" ca="1" si="1">E7*B7</f>
        <v>325.5197346892113</v>
      </c>
      <c r="G7" s="147">
        <f ca="1">F7*(100%-'Données projet'!$C$24)*(100%-'Données projet'!$C$25)*(100%-'Données projet'!$C$26)*(100%-'Données projet'!$C$27)</f>
        <v>292.96776122029019</v>
      </c>
      <c r="H7" s="155">
        <f>IF(OR('Données projet'!B10="",'Données projet'!C10="",'Données projet'!C10=0%),0,AVERAGE(Calculateur!$AX$3:$AX$33)*B7)</f>
        <v>1.3603991944740579</v>
      </c>
      <c r="I7" s="149">
        <f>H7*(100%-'Données projet'!$C$24)*(100%-'Données projet'!$C$25)*(100%-'Données projet'!$C$26)*(100%-'Données projet'!$C$27)</f>
        <v>1.2243592750266521</v>
      </c>
      <c r="J7" s="150">
        <f>IF(OR('Données projet'!B10="",'Données projet'!C10="",'Données projet'!C10=0%),0,SUM(Calculateur!$AQ$3:$AQ$33)*VLOOKUP('Données projet'!$B$10,Paramètres!$A$1:$I$89,9,0)*B7)</f>
        <v>37.43201599999999</v>
      </c>
      <c r="K7" s="151">
        <f>J7*(100%-'Données projet'!$C$24)*(100%-'Données projet'!$C$25)*(100%-'Données projet'!$C$26)*(100%-'Données projet'!$C$27)</f>
        <v>33.688814399999991</v>
      </c>
      <c r="L7" s="152">
        <f t="shared" ref="L7:L15" ca="1" si="2">G7+I7+K7</f>
        <v>327.88093489531684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Pin laricio</v>
      </c>
      <c r="B8" s="154">
        <f>'Données projet'!D11</f>
        <v>2.1231999999999998</v>
      </c>
      <c r="C8" s="147">
        <f ca="1">IF(OR('Données projet'!B11="",'Données projet'!C11="",'Données projet'!C11=0%),0,Calculateur!BI3)</f>
        <v>250.93905519128998</v>
      </c>
      <c r="D8" s="147">
        <f>IF(OR('Données projet'!B11="",'Données projet'!C11="",'Données projet'!C11=0%),0,Calculateur!BJ3)</f>
        <v>222.32879462265032</v>
      </c>
      <c r="E8" s="147">
        <f t="shared" ca="1" si="0"/>
        <v>222.32879462265032</v>
      </c>
      <c r="F8" s="147">
        <f t="shared" ca="1" si="1"/>
        <v>472.0484967428111</v>
      </c>
      <c r="G8" s="147">
        <f ca="1">F8*(100%-'Données projet'!$C$24)*(100%-'Données projet'!$C$25)*(100%-'Données projet'!$C$26)*(100%-'Données projet'!$C$27)</f>
        <v>424.84364706853</v>
      </c>
      <c r="H8" s="155">
        <f>IF(OR('Données projet'!B11="",'Données projet'!C11="",'Données projet'!C11=0%),0,AVERAGE(Calculateur!$BS$3:$BS$33)*B8)</f>
        <v>15.626394013933838</v>
      </c>
      <c r="I8" s="149">
        <f>H8*(100%-'Données projet'!$C$24)*(100%-'Données projet'!$C$25)*(100%-'Données projet'!$C$26)*(100%-'Données projet'!$C$27)</f>
        <v>14.063754612540455</v>
      </c>
      <c r="J8" s="150">
        <f>IF(OR('Données projet'!B11="",'Données projet'!C11="",'Données projet'!C11=0%),0,SUM(Calculateur!$BL$3:$BL$33)*VLOOKUP('Données projet'!$B$11,Paramètres!$A$1:$I$89,9,0)*B8)</f>
        <v>130.39404147692304</v>
      </c>
      <c r="K8" s="151">
        <f>J8*(100%-'Données projet'!$C$24)*(100%-'Données projet'!$C$25)*(100%-'Données projet'!$C$26)*(100%-'Données projet'!$C$27)</f>
        <v>117.35463732923074</v>
      </c>
      <c r="L8" s="152">
        <f t="shared" ca="1" si="2"/>
        <v>556.26203901030112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Pin laricio</v>
      </c>
      <c r="B9" s="154">
        <f>'Données projet'!D12</f>
        <v>2.5213000000000001</v>
      </c>
      <c r="C9" s="147">
        <f ca="1">IF(OR('Données projet'!B12="",'Données projet'!C12="",'Données projet'!C12=0%),0,Calculateur!CD3)</f>
        <v>179.32848817523677</v>
      </c>
      <c r="D9" s="147">
        <f>IF(OR('Données projet'!B12="",'Données projet'!C12="",'Données projet'!C12=0%),0,Calculateur!CE3)</f>
        <v>131.3292389103035</v>
      </c>
      <c r="E9" s="147">
        <f t="shared" ca="1" si="0"/>
        <v>131.3292389103035</v>
      </c>
      <c r="F9" s="147">
        <f t="shared" ca="1" si="1"/>
        <v>331.12041006454825</v>
      </c>
      <c r="G9" s="147">
        <f ca="1">F9*(100%-'Données projet'!$C$24)*(100%-'Données projet'!$C$25)*(100%-'Données projet'!$C$26)*(100%-'Données projet'!$C$27)</f>
        <v>298.00836905809342</v>
      </c>
      <c r="H9" s="155">
        <f>IF(OR('Données projet'!B12="",'Données projet'!C12="",'Données projet'!C12=0%),0,AVERAGE(Calculateur!$CN$3:$CN$33)*B9)</f>
        <v>15.264757487956741</v>
      </c>
      <c r="I9" s="149">
        <f>H9*(100%-'Données projet'!$C$24)*(100%-'Données projet'!$C$25)*(100%-'Données projet'!$C$26)*(100%-'Données projet'!$C$27)</f>
        <v>13.738281739161067</v>
      </c>
      <c r="J9" s="150">
        <f>IF(OR('Données projet'!B12="",'Données projet'!C12="",'Données projet'!C12=0%),0,SUM(Calculateur!$CG$3:$CG$33)*VLOOKUP('Données projet'!$B$12,Paramètres!$A$1:$I$89,9,0)*B9)</f>
        <v>94.747156915384593</v>
      </c>
      <c r="K9" s="151">
        <f>J9*(100%-'Données projet'!$C$24)*(100%-'Données projet'!$C$25)*(100%-'Données projet'!$C$26)*(100%-'Données projet'!$C$27)</f>
        <v>85.27244122384613</v>
      </c>
      <c r="L9" s="152">
        <f t="shared" ca="1" si="2"/>
        <v>397.01909202110062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Chêne sessile</v>
      </c>
      <c r="B10" s="154">
        <f>'Données projet'!D13</f>
        <v>3.8482999999999996</v>
      </c>
      <c r="C10" s="147">
        <f ca="1">IF(OR('Données projet'!B13="",'Données projet'!C13="",'Données projet'!C13=0%),0,Calculateur!CY3)</f>
        <v>309.07357540707869</v>
      </c>
      <c r="D10" s="147">
        <f>IF(OR('Données projet'!B13="",'Données projet'!C13="",'Données projet'!C13=0%),0,Calculateur!CZ3)</f>
        <v>155.9593924683299</v>
      </c>
      <c r="E10" s="147">
        <f t="shared" ca="1" si="0"/>
        <v>155.9593924683299</v>
      </c>
      <c r="F10" s="147">
        <f t="shared" ca="1" si="1"/>
        <v>600.17853003587391</v>
      </c>
      <c r="G10" s="147">
        <f ca="1">F10*(100%-'Données projet'!$C$24)*(100%-'Données projet'!$C$25)*(100%-'Données projet'!$C$26)*(100%-'Données projet'!$C$27)</f>
        <v>540.16067703228657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540.16067703228657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Chêne rouge d'Amérique</v>
      </c>
      <c r="B11" s="154">
        <f>'Données projet'!D14</f>
        <v>0.66349999999999998</v>
      </c>
      <c r="C11" s="147">
        <f ca="1">IF(OR('Données projet'!B14="",'Données projet'!C14="",'Données projet'!C14=0%),0,Calculateur!DT3)</f>
        <v>210.07838338464626</v>
      </c>
      <c r="D11" s="147">
        <f>IF(OR('Données projet'!B14="",'Données projet'!C14="",'Données projet'!C14=0%),0,Calculateur!DU3)</f>
        <v>241.76003724236273</v>
      </c>
      <c r="E11" s="147">
        <f t="shared" ca="1" si="0"/>
        <v>210.07838338464626</v>
      </c>
      <c r="F11" s="147">
        <f t="shared" ca="1" si="1"/>
        <v>139.38700737571278</v>
      </c>
      <c r="G11" s="147">
        <f ca="1">F11*(100%-'Données projet'!$C$24)*(100%-'Données projet'!$C$25)*(100%-'Données projet'!$C$26)*(100%-'Données projet'!$C$27)</f>
        <v>125.4483066381415</v>
      </c>
      <c r="H11" s="155">
        <f>IF(OR('Données projet'!B14="",'Données projet'!C14="",'Données projet'!C14=0%),0,AVERAGE(Calculateur!$ED$3:$ED$33)*B11)</f>
        <v>3.6023399061063119</v>
      </c>
      <c r="I11" s="149">
        <f>H11*(100%-'Données projet'!$C$24)*(100%-'Données projet'!$C$25)*(100%-'Données projet'!$C$26)*(100%-'Données projet'!$C$27)</f>
        <v>3.2421059154956806</v>
      </c>
      <c r="J11" s="150">
        <f>IF(OR('Données projet'!B14="",'Données projet'!C14="",'Données projet'!C14=0%),0,SUM(Calculateur!$DW$3:$DW$33)*VLOOKUP('Données projet'!$B$14,Paramètres!$A$1:$I$89,9,0)*B11)</f>
        <v>14.597</v>
      </c>
      <c r="K11" s="151">
        <f>J11*(100%-'Données projet'!$C$24)*(100%-'Données projet'!$C$25)*(100%-'Données projet'!$C$26)*(100%-'Données projet'!$C$27)</f>
        <v>13.1373</v>
      </c>
      <c r="L11" s="152">
        <f t="shared" ca="1" si="2"/>
        <v>141.82771255363718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Mélèze d'Europe</v>
      </c>
      <c r="B12" s="154">
        <f>'Données projet'!D15</f>
        <v>0.79619999999999991</v>
      </c>
      <c r="C12" s="147">
        <f ca="1">IF(OR('Données projet'!B15="",'Données projet'!C15="",'Données projet'!C15=0%),0,Calculateur!EO3)</f>
        <v>209.93608079129638</v>
      </c>
      <c r="D12" s="147">
        <f>IF(OR('Données projet'!B15="",'Données projet'!C15="",'Données projet'!C15=0%),0,Calculateur!EP3)</f>
        <v>240.15652428700969</v>
      </c>
      <c r="E12" s="147">
        <f t="shared" ca="1" si="0"/>
        <v>209.93608079129638</v>
      </c>
      <c r="F12" s="147">
        <f t="shared" ca="1" si="1"/>
        <v>167.15110752603016</v>
      </c>
      <c r="G12" s="147">
        <f ca="1">F12*(100%-'Données projet'!$C$24)*(100%-'Données projet'!$C$25)*(100%-'Données projet'!$C$26)*(100%-'Données projet'!$C$27)</f>
        <v>150.43599677342715</v>
      </c>
      <c r="H12" s="155">
        <f>IF(OR('Données projet'!B15="",'Données projet'!C15="",'Données projet'!C15=0%),0,AVERAGE(Calculateur!$EY$3:$EY$33)*B12)</f>
        <v>4.4229051895584712</v>
      </c>
      <c r="I12" s="149">
        <f>H12*(100%-'Données projet'!$C$24)*(100%-'Données projet'!$C$25)*(100%-'Données projet'!$C$26)*(100%-'Données projet'!$C$27)</f>
        <v>3.9806146706026242</v>
      </c>
      <c r="J12" s="150">
        <f>IF(OR('Données projet'!B15="",'Données projet'!C15="",'Données projet'!C15=0%),0,SUM(Calculateur!$ER$3:$ER$33)*VLOOKUP('Données projet'!$B$15,Paramètres!$A$1:$I$89,9,0)*B12)</f>
        <v>36.633161999999992</v>
      </c>
      <c r="K12" s="151">
        <f>J12*(100%-'Données projet'!$C$24)*(100%-'Données projet'!$C$25)*(100%-'Données projet'!$C$26)*(100%-'Données projet'!$C$27)</f>
        <v>32.969845799999995</v>
      </c>
      <c r="L12" s="152">
        <f t="shared" ca="1" si="2"/>
        <v>187.38645724402977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2273.7727993655708</v>
      </c>
      <c r="G16" s="166">
        <f t="shared" ca="1" si="3"/>
        <v>2046.395519429014</v>
      </c>
      <c r="H16" s="167">
        <f t="shared" si="3"/>
        <v>43.818602027833265</v>
      </c>
      <c r="I16" s="167">
        <f t="shared" si="3"/>
        <v>39.436741825049943</v>
      </c>
      <c r="J16" s="168">
        <f t="shared" si="3"/>
        <v>343.36230139230759</v>
      </c>
      <c r="K16" s="168">
        <f t="shared" si="3"/>
        <v>309.02607125307685</v>
      </c>
      <c r="L16" s="169">
        <f t="shared" ca="1" si="3"/>
        <v>2394.8583325071404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Erable sycomore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Pin de Salzmann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Chêne sessile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Chêne rouge d'Amérique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Mélèze d'Europe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F1" zoomScale="80" zoomScaleNormal="8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Erable sycomore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-1122.9326188908854</v>
      </c>
      <c r="U10" s="178">
        <f>'Données projet'!D9</f>
        <v>1.1942999999999999</v>
      </c>
      <c r="V10" s="177">
        <f>U10*T10</f>
        <v>-1341.1184267413844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de Salzmann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-1358.460980578001</v>
      </c>
      <c r="U11" s="178">
        <f>'Données projet'!D10</f>
        <v>2.1231999999999998</v>
      </c>
      <c r="V11" s="177">
        <f t="shared" ref="V11" si="0">U11*T11</f>
        <v>-2884.2843539632113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2107.229443963628</v>
      </c>
      <c r="U12" s="178">
        <f>'Données projet'!D11</f>
        <v>2.1231999999999998</v>
      </c>
      <c r="V12" s="177">
        <f t="shared" ref="V12:V19" si="1">U12*T12</f>
        <v>4474.0695554235745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956.45611612224116</v>
      </c>
      <c r="U13" s="178">
        <f>'Données projet'!D12</f>
        <v>2.5213000000000001</v>
      </c>
      <c r="V13" s="177">
        <f t="shared" si="1"/>
        <v>2411.5128055790069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Erable sycomore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sessile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-1646.3581426148635</v>
      </c>
      <c r="U14" s="178">
        <f>'Données projet'!D13</f>
        <v>3.8482999999999996</v>
      </c>
      <c r="V14" s="177">
        <f t="shared" si="1"/>
        <v>-6335.6800402247782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rouge d'Amérique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-1201.3153277403628</v>
      </c>
      <c r="U15" s="178">
        <f>'Données projet'!D14</f>
        <v>0.66349999999999998</v>
      </c>
      <c r="V15" s="177">
        <f t="shared" si="1"/>
        <v>-797.07271995573069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>Mélèze d'Europe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-362.76821831707468</v>
      </c>
      <c r="U16" s="178">
        <f>'Données projet'!D15</f>
        <v>0.79619999999999991</v>
      </c>
      <c r="V16" s="177">
        <f t="shared" si="1"/>
        <v>-288.83605542405485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2541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916.8+1013.63+686.89</f>
        <v>2617.3199999999997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1000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20</v>
      </c>
      <c r="B23" s="181">
        <f>'Données projet'!D36</f>
        <v>43</v>
      </c>
      <c r="C23" s="193">
        <v>10</v>
      </c>
      <c r="D23" s="182">
        <f>B23*C23</f>
        <v>430</v>
      </c>
      <c r="E23" s="193"/>
      <c r="F23" s="230"/>
      <c r="H23" s="190">
        <v>3</v>
      </c>
      <c r="I23" s="191">
        <v>450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-64496.926015321354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30</v>
      </c>
      <c r="B24" s="181">
        <f>'Données projet'!D37</f>
        <v>56</v>
      </c>
      <c r="C24" s="193">
        <v>15</v>
      </c>
      <c r="D24" s="182">
        <f t="shared" ref="D24:D42" si="2">B24*C24</f>
        <v>840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941.4102635481737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40</v>
      </c>
      <c r="B25" s="181">
        <f>'Données projet'!D38</f>
        <v>56</v>
      </c>
      <c r="C25" s="193">
        <v>20</v>
      </c>
      <c r="D25" s="182">
        <f t="shared" si="2"/>
        <v>1120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-65438.33627886953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50</v>
      </c>
      <c r="B26" s="181">
        <f>'Données projet'!D39</f>
        <v>39</v>
      </c>
      <c r="C26" s="193">
        <v>30</v>
      </c>
      <c r="D26" s="182">
        <f t="shared" si="2"/>
        <v>1170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60</v>
      </c>
      <c r="B27" s="181">
        <f>'Données projet'!D40</f>
        <v>25</v>
      </c>
      <c r="C27" s="193">
        <v>35</v>
      </c>
      <c r="D27" s="182">
        <f t="shared" si="2"/>
        <v>875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70</v>
      </c>
      <c r="B28" s="181">
        <f>'Données projet'!D41</f>
        <v>21</v>
      </c>
      <c r="C28" s="193">
        <v>45</v>
      </c>
      <c r="D28" s="182">
        <f t="shared" si="2"/>
        <v>945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80</v>
      </c>
      <c r="B29" s="181">
        <f>'Données projet'!D42</f>
        <v>284</v>
      </c>
      <c r="C29" s="193">
        <v>70</v>
      </c>
      <c r="D29" s="182">
        <f t="shared" si="2"/>
        <v>19880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Pin de Salzmann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2363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41</v>
      </c>
      <c r="C55" s="191">
        <v>10</v>
      </c>
      <c r="D55" s="179">
        <f t="shared" ref="D55:D73" si="4">B55*C55</f>
        <v>410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56</v>
      </c>
      <c r="C56" s="191">
        <v>15</v>
      </c>
      <c r="D56" s="179">
        <f t="shared" si="4"/>
        <v>840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72</v>
      </c>
      <c r="C57" s="191">
        <v>25</v>
      </c>
      <c r="D57" s="179">
        <f t="shared" si="4"/>
        <v>1800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84</v>
      </c>
      <c r="C58" s="191">
        <v>35</v>
      </c>
      <c r="D58" s="179">
        <f t="shared" si="4"/>
        <v>2940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91</v>
      </c>
      <c r="C59" s="191">
        <v>40</v>
      </c>
      <c r="D59" s="179">
        <f t="shared" si="4"/>
        <v>3640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94</v>
      </c>
      <c r="C60" s="191">
        <v>50</v>
      </c>
      <c r="D60" s="179">
        <f t="shared" si="4"/>
        <v>4700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94</v>
      </c>
      <c r="C61" s="191">
        <v>50</v>
      </c>
      <c r="D61" s="179">
        <f t="shared" si="4"/>
        <v>4700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91</v>
      </c>
      <c r="C62" s="191">
        <v>50</v>
      </c>
      <c r="D62" s="179">
        <f t="shared" si="4"/>
        <v>4550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1799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15</v>
      </c>
      <c r="B85" s="181">
        <f>'Données projet'!D88</f>
        <v>0</v>
      </c>
      <c r="C85" s="191">
        <v>10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19</v>
      </c>
      <c r="B86" s="181">
        <f>'Données projet'!D89</f>
        <v>46.53846153846154</v>
      </c>
      <c r="C86" s="191">
        <v>15</v>
      </c>
      <c r="D86" s="179">
        <f t="shared" ref="D86:D104" si="6">B86*C86</f>
        <v>698.07692307692309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24</v>
      </c>
      <c r="B87" s="181">
        <f>'Données projet'!D90</f>
        <v>40.41538461538461</v>
      </c>
      <c r="C87" s="191">
        <v>25</v>
      </c>
      <c r="D87" s="179">
        <f t="shared" si="6"/>
        <v>1010.3846153846152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30</v>
      </c>
      <c r="B88" s="181">
        <f>'Données projet'!D91</f>
        <v>55.869230769230761</v>
      </c>
      <c r="C88" s="191">
        <v>35</v>
      </c>
      <c r="D88" s="179">
        <f t="shared" si="6"/>
        <v>1955.4230769230767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37</v>
      </c>
      <c r="B89" s="181">
        <f>'Données projet'!D92</f>
        <v>43.623076923076923</v>
      </c>
      <c r="C89" s="191">
        <v>40</v>
      </c>
      <c r="D89" s="179">
        <f t="shared" si="6"/>
        <v>1744.9230769230769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46</v>
      </c>
      <c r="B90" s="181">
        <f>'Données projet'!D93</f>
        <v>72.561538461538461</v>
      </c>
      <c r="C90" s="191">
        <v>50</v>
      </c>
      <c r="D90" s="179">
        <f t="shared" si="6"/>
        <v>3628.0769230769229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56</v>
      </c>
      <c r="B91" s="181">
        <f>'Données projet'!D94</f>
        <v>60.092307692307692</v>
      </c>
      <c r="C91" s="191">
        <v>50</v>
      </c>
      <c r="D91" s="179">
        <f t="shared" si="6"/>
        <v>3004.6153846153848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66</v>
      </c>
      <c r="B92" s="181">
        <f>'Données projet'!D95</f>
        <v>68.146153846153851</v>
      </c>
      <c r="C92" s="191">
        <v>50</v>
      </c>
      <c r="D92" s="179">
        <f t="shared" si="6"/>
        <v>3407.3076923076924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76</v>
      </c>
      <c r="B93" s="181">
        <f>'Données projet'!D96</f>
        <v>520.22307692307686</v>
      </c>
      <c r="C93" s="191">
        <v>80</v>
      </c>
      <c r="D93" s="179">
        <f t="shared" si="6"/>
        <v>41617.846153846149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1799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str">
        <f>IF(O109+1&lt;=MIN('Données projet'!$E$9:$E$18),O109+1,"STOP")</f>
        <v>STOP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15</v>
      </c>
      <c r="B116" s="181">
        <f>'Données projet'!D114</f>
        <v>0</v>
      </c>
      <c r="C116" s="191">
        <v>10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22</v>
      </c>
      <c r="B117" s="181">
        <f>'Données projet'!D115</f>
        <v>52.746153846153838</v>
      </c>
      <c r="C117" s="191">
        <v>15</v>
      </c>
      <c r="D117" s="179">
        <f t="shared" ref="D117:D135" si="8">B117*C117</f>
        <v>791.19230769230762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27</v>
      </c>
      <c r="B118" s="181">
        <f>'Données projet'!D116</f>
        <v>34.646153846153844</v>
      </c>
      <c r="C118" s="191">
        <v>25</v>
      </c>
      <c r="D118" s="179">
        <f t="shared" si="8"/>
        <v>866.15384615384608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33</v>
      </c>
      <c r="B119" s="181">
        <f>'Données projet'!D117</f>
        <v>43.007692307692302</v>
      </c>
      <c r="C119" s="191">
        <v>35</v>
      </c>
      <c r="D119" s="179">
        <f t="shared" si="8"/>
        <v>1505.2692307692305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41</v>
      </c>
      <c r="B120" s="181">
        <f>'Données projet'!D118</f>
        <v>58.484615384615381</v>
      </c>
      <c r="C120" s="191">
        <v>40</v>
      </c>
      <c r="D120" s="179">
        <f t="shared" si="8"/>
        <v>2339.3846153846152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50</v>
      </c>
      <c r="B121" s="181">
        <f>'Données projet'!D119</f>
        <v>55.292307692307688</v>
      </c>
      <c r="C121" s="191">
        <v>50</v>
      </c>
      <c r="D121" s="179">
        <f t="shared" si="8"/>
        <v>2764.6153846153843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60</v>
      </c>
      <c r="B122" s="181">
        <f>'Données projet'!D120</f>
        <v>54.261538461538464</v>
      </c>
      <c r="C122" s="191">
        <v>50</v>
      </c>
      <c r="D122" s="179">
        <f t="shared" si="8"/>
        <v>2713.0769230769233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70</v>
      </c>
      <c r="B123" s="181">
        <f>'Données projet'!D121</f>
        <v>52.669230769230765</v>
      </c>
      <c r="C123" s="191">
        <v>50</v>
      </c>
      <c r="D123" s="179">
        <f t="shared" si="8"/>
        <v>2633.4615384615381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80</v>
      </c>
      <c r="B124" s="181">
        <f>'Données projet'!D122</f>
        <v>402.90769230769229</v>
      </c>
      <c r="C124" s="191">
        <v>70</v>
      </c>
      <c r="D124" s="179">
        <f t="shared" si="8"/>
        <v>28203.538461538461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Chêne sessile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3049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30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34</v>
      </c>
      <c r="B148" s="175">
        <f>'Données projet'!D141</f>
        <v>31.615384615384613</v>
      </c>
      <c r="C148" s="191">
        <v>12</v>
      </c>
      <c r="D148" s="182">
        <f t="shared" ref="D148:D166" si="10">B148*C148</f>
        <v>379.38461538461536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42</v>
      </c>
      <c r="B149" s="175">
        <f>'Données projet'!D142</f>
        <v>45.198717948717949</v>
      </c>
      <c r="C149" s="191">
        <v>35</v>
      </c>
      <c r="D149" s="182">
        <f t="shared" si="10"/>
        <v>1581.9551282051282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50</v>
      </c>
      <c r="B150" s="175">
        <f>'Données projet'!D143</f>
        <v>52.282051282051285</v>
      </c>
      <c r="C150" s="191">
        <v>45</v>
      </c>
      <c r="D150" s="182">
        <f t="shared" si="10"/>
        <v>2352.6923076923076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58</v>
      </c>
      <c r="B151" s="175">
        <f>'Données projet'!D144</f>
        <v>47.467948717948715</v>
      </c>
      <c r="C151" s="191">
        <v>50</v>
      </c>
      <c r="D151" s="182">
        <f t="shared" si="10"/>
        <v>2373.3974358974356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66</v>
      </c>
      <c r="B152" s="175">
        <f>'Données projet'!D145</f>
        <v>54.141025641025635</v>
      </c>
      <c r="C152" s="191">
        <v>55</v>
      </c>
      <c r="D152" s="182">
        <f t="shared" si="10"/>
        <v>2977.7564102564102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74</v>
      </c>
      <c r="B153" s="175">
        <f>'Données projet'!D146</f>
        <v>52.737179487179482</v>
      </c>
      <c r="C153" s="191">
        <v>60</v>
      </c>
      <c r="D153" s="182">
        <f t="shared" si="10"/>
        <v>3164.2307692307691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82</v>
      </c>
      <c r="B154" s="175">
        <f>'Données projet'!D147</f>
        <v>40.371794871794869</v>
      </c>
      <c r="C154" s="191">
        <v>80</v>
      </c>
      <c r="D154" s="182">
        <f t="shared" si="10"/>
        <v>3229.7435897435894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90</v>
      </c>
      <c r="B155" s="175">
        <f>'Données projet'!D148</f>
        <v>47.307692307692307</v>
      </c>
      <c r="C155" s="191">
        <v>80</v>
      </c>
      <c r="D155" s="182">
        <f t="shared" si="10"/>
        <v>3784.6153846153848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100</v>
      </c>
      <c r="B156" s="175">
        <f>'Données projet'!D149</f>
        <v>63.801282051282051</v>
      </c>
      <c r="C156" s="191">
        <v>80</v>
      </c>
      <c r="D156" s="182">
        <f t="shared" si="10"/>
        <v>5104.1025641025644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110</v>
      </c>
      <c r="B157" s="175">
        <f>'Données projet'!D150</f>
        <v>50.051282051282051</v>
      </c>
      <c r="C157" s="191">
        <v>80</v>
      </c>
      <c r="D157" s="182">
        <f t="shared" si="10"/>
        <v>4004.102564102564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120</v>
      </c>
      <c r="B158" s="175">
        <f>'Données projet'!D151</f>
        <v>44.929487179487182</v>
      </c>
      <c r="C158" s="191">
        <v>80</v>
      </c>
      <c r="D158" s="182">
        <f t="shared" si="10"/>
        <v>3594.3589743589746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130</v>
      </c>
      <c r="B159" s="175">
        <f>'Données projet'!D152</f>
        <v>51.378205128205131</v>
      </c>
      <c r="C159" s="191">
        <v>80</v>
      </c>
      <c r="D159" s="182">
        <f t="shared" si="10"/>
        <v>4110.2564102564102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140</v>
      </c>
      <c r="B160" s="175">
        <f>'Données projet'!D153</f>
        <v>50.467948717948715</v>
      </c>
      <c r="C160" s="191">
        <v>80</v>
      </c>
      <c r="D160" s="182">
        <f t="shared" si="10"/>
        <v>4037.4358974358975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150</v>
      </c>
      <c r="B161" s="175">
        <f>'Données projet'!D154</f>
        <v>178.72435897435898</v>
      </c>
      <c r="C161" s="191">
        <v>80</v>
      </c>
      <c r="D161" s="182">
        <f t="shared" si="10"/>
        <v>14297.948717948719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153</v>
      </c>
      <c r="B162" s="175">
        <f>'Données projet'!D155</f>
        <v>105.26282051282051</v>
      </c>
      <c r="C162" s="191">
        <v>80</v>
      </c>
      <c r="D162" s="182">
        <f t="shared" si="10"/>
        <v>8421.0256410256407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156</v>
      </c>
      <c r="B163" s="175">
        <f>'Données projet'!D156</f>
        <v>65.070512820512818</v>
      </c>
      <c r="C163" s="191">
        <v>80</v>
      </c>
      <c r="D163" s="182">
        <f t="shared" si="10"/>
        <v>5205.6410256410254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159</v>
      </c>
      <c r="B164" s="175">
        <f>'Données projet'!D157</f>
        <v>135.55128205128204</v>
      </c>
      <c r="C164" s="191">
        <v>80</v>
      </c>
      <c r="D164" s="182">
        <f t="shared" si="10"/>
        <v>10844.102564102563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Chêne rouge d'Amérique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2286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10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15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20</v>
      </c>
      <c r="B180" s="181">
        <f>'Données projet'!D168</f>
        <v>41</v>
      </c>
      <c r="C180" s="193">
        <v>10</v>
      </c>
      <c r="D180" s="179">
        <f t="shared" si="11"/>
        <v>410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30</v>
      </c>
      <c r="B181" s="181">
        <f>'Données projet'!D169</f>
        <v>47</v>
      </c>
      <c r="C181" s="193">
        <v>15</v>
      </c>
      <c r="D181" s="179">
        <f t="shared" si="11"/>
        <v>705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40</v>
      </c>
      <c r="B182" s="181">
        <f>'Données projet'!D170</f>
        <v>47</v>
      </c>
      <c r="C182" s="193">
        <v>30</v>
      </c>
      <c r="D182" s="179">
        <f t="shared" si="11"/>
        <v>1410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50</v>
      </c>
      <c r="B183" s="181">
        <f>'Données projet'!D171</f>
        <v>43</v>
      </c>
      <c r="C183" s="193">
        <v>35</v>
      </c>
      <c r="D183" s="179">
        <f t="shared" si="11"/>
        <v>1505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60</v>
      </c>
      <c r="B184" s="181">
        <f>'Données projet'!D172</f>
        <v>38</v>
      </c>
      <c r="C184" s="193">
        <v>50</v>
      </c>
      <c r="D184" s="179">
        <f t="shared" si="11"/>
        <v>1900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70</v>
      </c>
      <c r="B185" s="181">
        <f>'Données projet'!D173</f>
        <v>33</v>
      </c>
      <c r="C185" s="193">
        <v>60</v>
      </c>
      <c r="D185" s="179">
        <f t="shared" si="11"/>
        <v>1980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80</v>
      </c>
      <c r="B186" s="181">
        <f>'Données projet'!D174</f>
        <v>27</v>
      </c>
      <c r="C186" s="193">
        <v>60</v>
      </c>
      <c r="D186" s="179">
        <f t="shared" si="11"/>
        <v>1620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90</v>
      </c>
      <c r="B187" s="181">
        <f>'Données projet'!D175</f>
        <v>23</v>
      </c>
      <c r="C187" s="193">
        <v>60</v>
      </c>
      <c r="D187" s="179">
        <f t="shared" si="11"/>
        <v>1380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100</v>
      </c>
      <c r="B188" s="181">
        <f>'Données projet'!D176</f>
        <v>23</v>
      </c>
      <c r="C188" s="193">
        <v>60</v>
      </c>
      <c r="D188" s="179">
        <f t="shared" si="11"/>
        <v>1380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Mélèze d'Europe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2480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20</v>
      </c>
      <c r="B209" s="181">
        <f>'Données projet'!D192</f>
        <v>37</v>
      </c>
      <c r="C209" s="193">
        <v>10</v>
      </c>
      <c r="D209" s="179">
        <f>B209*C209</f>
        <v>370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30</v>
      </c>
      <c r="B210" s="181">
        <f>'Données projet'!D193</f>
        <v>70</v>
      </c>
      <c r="C210" s="193">
        <v>25</v>
      </c>
      <c r="D210" s="179">
        <f t="shared" ref="D210:D228" si="12">B210*C210</f>
        <v>1750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40</v>
      </c>
      <c r="B211" s="181">
        <f>'Données projet'!D194</f>
        <v>70</v>
      </c>
      <c r="C211" s="193">
        <v>30</v>
      </c>
      <c r="D211" s="179">
        <f t="shared" si="12"/>
        <v>2100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50</v>
      </c>
      <c r="B212" s="181">
        <f>'Données projet'!D195</f>
        <v>60</v>
      </c>
      <c r="C212" s="193">
        <v>35</v>
      </c>
      <c r="D212" s="179">
        <f t="shared" si="12"/>
        <v>2100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60</v>
      </c>
      <c r="B213" s="181">
        <f>'Données projet'!D196</f>
        <v>47</v>
      </c>
      <c r="C213" s="193">
        <v>40</v>
      </c>
      <c r="D213" s="179">
        <f t="shared" si="12"/>
        <v>1880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70</v>
      </c>
      <c r="B214" s="181">
        <f>'Données projet'!D197</f>
        <v>36</v>
      </c>
      <c r="C214" s="193">
        <v>50</v>
      </c>
      <c r="D214" s="179">
        <f t="shared" si="12"/>
        <v>1800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80</v>
      </c>
      <c r="B215" s="181">
        <f>'Données projet'!D198</f>
        <v>387</v>
      </c>
      <c r="C215" s="193">
        <v>60</v>
      </c>
      <c r="D215" s="179">
        <f t="shared" si="12"/>
        <v>23220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2025-09-26T07:16:29Z</dcterms:modified>
</cp:coreProperties>
</file>