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3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Evreux (Normandie)\CETON (61) - GF SOCIETE LES HOTELS YVON-swc-A10\Dossier déposé 07-07-2025\"/>
    </mc:Choice>
  </mc:AlternateContent>
  <xr:revisionPtr revIDLastSave="0" documentId="13_ncr:1_{19422D6D-8413-444D-8B6E-30C568D666A4}" xr6:coauthVersionLast="36" xr6:coauthVersionMax="36" xr10:uidLastSave="{00000000-0000-0000-0000-000000000000}"/>
  <bookViews>
    <workbookView xWindow="0" yWindow="0" windowWidth="21570" windowHeight="9330" tabRatio="866" activeTab="5" xr2:uid="{00000000-000D-0000-FFFF-FFFF00000000}"/>
  </bookViews>
  <sheets>
    <sheet name="Accueil" sheetId="5" r:id="rId1"/>
    <sheet name="Données projet" sheetId="1" r:id="rId2"/>
    <sheet name="Calculateur" sheetId="2" state="hidden" r:id="rId3"/>
    <sheet name="Paramètres" sheetId="3" state="hidden" r:id="rId4"/>
    <sheet name="Scénario référence" sheetId="7" r:id="rId5"/>
    <sheet name="REE" sheetId="4" r:id="rId6"/>
    <sheet name="VAN" sheetId="6" r:id="rId7"/>
    <sheet name="vérification" sheetId="8" state="hidden" r:id="rId8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6" l="1"/>
  <c r="M16" i="4"/>
  <c r="L9" i="8" l="1"/>
  <c r="K9" i="8"/>
  <c r="J9" i="8"/>
  <c r="I9" i="8"/>
  <c r="H9" i="8"/>
  <c r="G9" i="8"/>
  <c r="F9" i="8"/>
  <c r="E9" i="8"/>
  <c r="M7" i="8"/>
  <c r="M6" i="8"/>
  <c r="C3" i="8" l="1"/>
  <c r="L3" i="8"/>
  <c r="K3" i="8"/>
  <c r="J3" i="8"/>
  <c r="I3" i="8"/>
  <c r="H3" i="8"/>
  <c r="G3" i="8"/>
  <c r="F3" i="8"/>
  <c r="E3" i="8"/>
  <c r="D3" i="8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4" i="8" s="1"/>
  <c r="D11" i="1"/>
  <c r="E4" i="8" s="1"/>
  <c r="C4" i="8" l="1"/>
  <c r="I37" i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F4" i="8" s="1"/>
  <c r="D13" i="1"/>
  <c r="G4" i="8" s="1"/>
  <c r="D14" i="1"/>
  <c r="D15" i="1"/>
  <c r="D16" i="1"/>
  <c r="D17" i="1"/>
  <c r="D18" i="1"/>
  <c r="L4" i="8" s="1"/>
  <c r="U18" i="6" l="1"/>
  <c r="V18" i="6" s="1"/>
  <c r="K4" i="8"/>
  <c r="U17" i="6"/>
  <c r="V17" i="6" s="1"/>
  <c r="J4" i="8"/>
  <c r="U16" i="6"/>
  <c r="V16" i="6" s="1"/>
  <c r="I4" i="8"/>
  <c r="U15" i="6"/>
  <c r="V15" i="6" s="1"/>
  <c r="H4" i="8"/>
  <c r="M4" i="8" s="1"/>
  <c r="P66" i="6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EC4" i="2" l="1"/>
  <c r="BR4" i="2"/>
  <c r="BQ4" i="2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A18" i="2" l="1"/>
  <c r="EV18" i="2"/>
  <c r="EW18" i="2"/>
  <c r="EX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HI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C22" i="2" l="1"/>
  <c r="HG22" i="2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C28" i="2" l="1"/>
  <c r="EB28" i="2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B30" i="2"/>
  <c r="EV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EX38" i="2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EW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X45" i="2" l="1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V57" i="2" l="1"/>
  <c r="EB57" i="2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EA59" i="2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EW60" i="2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A61" i="2"/>
  <c r="EX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X63" i="2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EV64" i="2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W70" i="2" l="1"/>
  <c r="EB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EX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W74" i="2" l="1"/>
  <c r="FS74" i="2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W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C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EB95" i="2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FS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A105" i="2" l="1"/>
  <c r="EV105" i="2"/>
  <c r="EB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EX112" i="2"/>
  <c r="EB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X113" i="2" l="1"/>
  <c r="EC113" i="2"/>
  <c r="EB113" i="2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HG116" i="2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I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EC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W122" i="2" l="1"/>
  <c r="EC122" i="2"/>
  <c r="HH122" i="2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V128" i="2" l="1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HI130" i="2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A135" i="2" l="1"/>
  <c r="EX135" i="2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A139" i="2" l="1"/>
  <c r="EW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HG141" i="2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EC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X144" i="2" l="1"/>
  <c r="EB144" i="2"/>
  <c r="FR144" i="2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B145" i="2" l="1"/>
  <c r="EA145" i="2"/>
  <c r="EX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EX153" i="2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EB154" i="2" l="1"/>
  <c r="AB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EX155" i="2" l="1"/>
  <c r="EY154" i="2"/>
  <c r="ED154" i="2"/>
  <c r="EA155" i="2"/>
  <c r="DI154" i="2"/>
  <c r="AC154" i="2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EX156" i="2" l="1"/>
  <c r="EY155" i="2"/>
  <c r="ED155" i="2"/>
  <c r="EB156" i="2"/>
  <c r="DH156" i="2"/>
  <c r="AB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CN156" i="2"/>
  <c r="EB157" i="2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D157" i="2" l="1"/>
  <c r="EC158" i="2"/>
  <c r="HG158" i="2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EC159" i="2"/>
  <c r="HI159" i="2"/>
  <c r="ED158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D159" i="2" l="1"/>
  <c r="EY159" i="2"/>
  <c r="EC160" i="2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X161" i="2" l="1"/>
  <c r="ED160" i="2"/>
  <c r="EB161" i="2"/>
  <c r="EA161" i="2"/>
  <c r="AB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Y161" i="2" l="1"/>
  <c r="ED161" i="2"/>
  <c r="EC162" i="2"/>
  <c r="DI161" i="2"/>
  <c r="EW162" i="2"/>
  <c r="EB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Y162" i="2" l="1"/>
  <c r="ED162" i="2"/>
  <c r="EB163" i="2"/>
  <c r="EA163" i="2"/>
  <c r="EV163" i="2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 l="1"/>
  <c r="ED163" i="2"/>
  <c r="EA164" i="2"/>
  <c r="EX164" i="2"/>
  <c r="DI163" i="2"/>
  <c r="DH164" i="2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EB165" i="2"/>
  <c r="EA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C166" i="2" l="1"/>
  <c r="ED165" i="2"/>
  <c r="CN165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A167" i="2" l="1"/>
  <c r="EY166" i="2"/>
  <c r="DG167" i="2"/>
  <c r="EB167" i="2"/>
  <c r="EX167" i="2"/>
  <c r="EC167" i="2"/>
  <c r="HI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C168" i="2"/>
  <c r="DI167" i="2"/>
  <c r="EV168" i="2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Y168" i="2" l="1"/>
  <c r="EX169" i="2"/>
  <c r="EA169" i="2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V172" i="2" l="1"/>
  <c r="EY171" i="2"/>
  <c r="EA172" i="2"/>
  <c r="ED171" i="2"/>
  <c r="EB172" i="2"/>
  <c r="HG172" i="2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D172" i="2" l="1"/>
  <c r="EX173" i="2"/>
  <c r="EW173" i="2"/>
  <c r="HJ172" i="2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Y173" i="2" l="1"/>
  <c r="EC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ED174" i="2" l="1"/>
  <c r="EB175" i="2"/>
  <c r="AA175" i="2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Y175" i="2" l="1"/>
  <c r="EB176" i="2"/>
  <c r="EC176" i="2"/>
  <c r="HH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EW177" i="2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W178" i="2" l="1"/>
  <c r="ED177" i="2"/>
  <c r="EB178" i="2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 l="1"/>
  <c r="HH179" i="2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Y179" i="2" l="1"/>
  <c r="ED179" i="2"/>
  <c r="EX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EX182" i="2"/>
  <c r="DG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 l="1"/>
  <c r="ED182" i="2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Y184" i="2" l="1"/>
  <c r="EA185" i="2"/>
  <c r="ED184" i="2"/>
  <c r="EV185" i="2"/>
  <c r="EW185" i="2"/>
  <c r="EB185" i="2"/>
  <c r="HH185" i="2"/>
  <c r="HG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W186" i="2" l="1"/>
  <c r="ED185" i="2"/>
  <c r="EB186" i="2"/>
  <c r="HH186" i="2"/>
  <c r="FR186" i="2"/>
  <c r="EA186" i="2"/>
  <c r="HG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Y186" i="2" l="1"/>
  <c r="EB187" i="2"/>
  <c r="EC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D187" i="2" l="1"/>
  <c r="HG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V189" i="2" l="1"/>
  <c r="EY188" i="2"/>
  <c r="AA189" i="2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Y189" i="2" l="1"/>
  <c r="ED189" i="2"/>
  <c r="EB190" i="2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W191" i="2" l="1"/>
  <c r="ED190" i="2"/>
  <c r="HH191" i="2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Y191" i="2" l="1"/>
  <c r="EW192" i="2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Y192" i="2" l="1"/>
  <c r="ED192" i="2"/>
  <c r="EA193" i="2"/>
  <c r="DI192" i="2"/>
  <c r="EX193" i="2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A194" i="2" l="1"/>
  <c r="ED193" i="2"/>
  <c r="EB194" i="2"/>
  <c r="CN193" i="2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ED194" i="2" l="1"/>
  <c r="EA195" i="2"/>
  <c r="EY194" i="2"/>
  <c r="DH195" i="2"/>
  <c r="AA195" i="2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EY195" i="2"/>
  <c r="HH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EW197" i="2" l="1"/>
  <c r="EY196" i="2"/>
  <c r="AA197" i="2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 l="1"/>
  <c r="EV199" i="2"/>
  <c r="EB199" i="2"/>
  <c r="EW199" i="2"/>
  <c r="EA199" i="2"/>
  <c r="HG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EX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 l="1"/>
  <c r="DI200" i="2"/>
  <c r="EB201" i="2"/>
  <c r="ED200" i="2"/>
  <c r="EA201" i="2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X202" i="2" l="1"/>
  <c r="EY201" i="2"/>
  <c r="ED201" i="2"/>
  <c r="FZ6" i="2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82" i="2" a="1"/>
  <c r="BC82" i="2" s="1"/>
  <c r="BC114" i="2" a="1"/>
  <c r="BC114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DN155" i="2" a="1"/>
  <c r="DN155" i="2" s="1"/>
  <c r="CS66" i="2" a="1"/>
  <c r="CS66" i="2" s="1"/>
  <c r="DN124" i="2" a="1"/>
  <c r="DN124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DN123" i="2" a="1"/>
  <c r="DN123" i="2" s="1"/>
  <c r="CS137" i="2" a="1"/>
  <c r="CS137" i="2" s="1"/>
  <c r="DN103" i="2" a="1"/>
  <c r="DN103" i="2" s="1"/>
  <c r="DN114" i="2" a="1"/>
  <c r="DN114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16" i="2" a="1"/>
  <c r="EI16" i="2" s="1"/>
  <c r="EI37" i="2" a="1"/>
  <c r="EI37" i="2" s="1"/>
  <c r="DN168" i="2" a="1"/>
  <c r="DN168" i="2" s="1"/>
  <c r="CS185" i="2" a="1"/>
  <c r="CS185" i="2" s="1"/>
  <c r="DN80" i="2" a="1"/>
  <c r="DN80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DN45" i="2" a="1"/>
  <c r="DN45" i="2" s="1"/>
  <c r="CS72" i="2" a="1"/>
  <c r="CS72" i="2" s="1"/>
  <c r="FD82" i="2" a="1"/>
  <c r="FD82" i="2" s="1"/>
  <c r="DN187" i="2" a="1"/>
  <c r="DN187" i="2" s="1"/>
  <c r="HJ202" i="2"/>
  <c r="AX200" i="2"/>
  <c r="CS116" i="2" l="1" a="1"/>
  <c r="CS116" i="2" s="1"/>
  <c r="CS52" i="2" a="1"/>
  <c r="CS52" i="2" s="1"/>
  <c r="BC38" i="2" a="1"/>
  <c r="BC38" i="2" s="1"/>
  <c r="BC55" i="2" a="1"/>
  <c r="BC55" i="2" s="1"/>
  <c r="BC130" i="2" a="1"/>
  <c r="BC130" i="2" s="1"/>
  <c r="BC117" i="2" a="1"/>
  <c r="BC117" i="2" s="1"/>
  <c r="BC181" i="2" a="1"/>
  <c r="BC181" i="2" s="1"/>
  <c r="BC65" i="2" a="1"/>
  <c r="BC65" i="2" s="1"/>
  <c r="BC18" i="2" a="1"/>
  <c r="BC18" i="2" s="1"/>
  <c r="BC83" i="2" a="1"/>
  <c r="BC83" i="2" s="1"/>
  <c r="BC7" i="2" a="1"/>
  <c r="BC7" i="2" s="1"/>
  <c r="BC47" i="2" a="1"/>
  <c r="BC47" i="2" s="1"/>
  <c r="BC31" i="2" a="1"/>
  <c r="BC31" i="2" s="1"/>
  <c r="BC32" i="2" a="1"/>
  <c r="BC32" i="2" s="1"/>
  <c r="BC151" i="2" a="1"/>
  <c r="BC151" i="2" s="1"/>
  <c r="BC185" i="2" a="1"/>
  <c r="BC185" i="2" s="1"/>
  <c r="BC143" i="2" a="1"/>
  <c r="BC143" i="2" s="1"/>
  <c r="BC84" i="2" a="1"/>
  <c r="BC84" i="2" s="1"/>
  <c r="BC164" i="2" a="1"/>
  <c r="BC164" i="2" s="1"/>
  <c r="BC192" i="2" a="1"/>
  <c r="BC192" i="2" s="1"/>
  <c r="EI34" i="2" a="1"/>
  <c r="EI34" i="2" s="1"/>
  <c r="EY202" i="2"/>
  <c r="EI170" i="2" a="1"/>
  <c r="EI170" i="2" s="1"/>
  <c r="EI57" i="2" a="1"/>
  <c r="EI57" i="2" s="1"/>
  <c r="EI38" i="2" a="1"/>
  <c r="EI38" i="2" s="1"/>
  <c r="EI178" i="2" a="1"/>
  <c r="EI178" i="2" s="1"/>
  <c r="EI150" i="2" a="1"/>
  <c r="EI150" i="2" s="1"/>
  <c r="EI113" i="2" a="1"/>
  <c r="EI113" i="2" s="1"/>
  <c r="EI128" i="2" a="1"/>
  <c r="EI128" i="2" s="1"/>
  <c r="EI195" i="2" a="1"/>
  <c r="EI195" i="2" s="1"/>
  <c r="EI20" i="2" a="1"/>
  <c r="EI20" i="2" s="1"/>
  <c r="EI142" i="2" a="1"/>
  <c r="EI142" i="2" s="1"/>
  <c r="EI165" i="2" a="1"/>
  <c r="EI165" i="2" s="1"/>
  <c r="EI145" i="2" a="1"/>
  <c r="EI145" i="2" s="1"/>
  <c r="EI71" i="2" a="1"/>
  <c r="EI71" i="2" s="1"/>
  <c r="EI162" i="2" a="1"/>
  <c r="EI162" i="2" s="1"/>
  <c r="EI35" i="2" a="1"/>
  <c r="EI35" i="2" s="1"/>
  <c r="EI36" i="2" a="1"/>
  <c r="EI36" i="2" s="1"/>
  <c r="EI29" i="2" a="1"/>
  <c r="EI29" i="2" s="1"/>
  <c r="EI139" i="2" a="1"/>
  <c r="EI139" i="2" s="1"/>
  <c r="EI87" i="2" a="1"/>
  <c r="EI87" i="2" s="1"/>
  <c r="EI106" i="2" a="1"/>
  <c r="EI106" i="2" s="1"/>
  <c r="EI67" i="2" a="1"/>
  <c r="EI67" i="2" s="1"/>
  <c r="EI109" i="2" a="1"/>
  <c r="EI109" i="2" s="1"/>
  <c r="EI198" i="2" a="1"/>
  <c r="EI198" i="2" s="1"/>
  <c r="EI153" i="2" a="1"/>
  <c r="EI153" i="2" s="1"/>
  <c r="EI166" i="2" a="1"/>
  <c r="EI166" i="2" s="1"/>
  <c r="DN170" i="2" a="1"/>
  <c r="DN170" i="2" s="1"/>
  <c r="CS134" i="2" a="1"/>
  <c r="CS134" i="2" s="1"/>
  <c r="CS24" i="2" a="1"/>
  <c r="CS24" i="2" s="1"/>
  <c r="CS38" i="2" a="1"/>
  <c r="CS38" i="2" s="1"/>
  <c r="CS105" i="2" a="1"/>
  <c r="CS105" i="2" s="1"/>
  <c r="CS77" i="2" a="1"/>
  <c r="CS77" i="2" s="1"/>
  <c r="CS114" i="2" a="1"/>
  <c r="CS114" i="2" s="1"/>
  <c r="CS120" i="2" a="1"/>
  <c r="CS120" i="2" s="1"/>
  <c r="CS56" i="2" a="1"/>
  <c r="CS56" i="2" s="1"/>
  <c r="CS161" i="2" a="1"/>
  <c r="CS161" i="2" s="1"/>
  <c r="CS129" i="2" a="1"/>
  <c r="CS129" i="2" s="1"/>
  <c r="BX107" i="2" a="1"/>
  <c r="BX107" i="2" s="1"/>
  <c r="BC58" i="2" a="1"/>
  <c r="BC58" i="2" s="1"/>
  <c r="AH90" i="2" a="1"/>
  <c r="AH90" i="2" s="1"/>
  <c r="AH62" i="2" a="1"/>
  <c r="AH62" i="2" s="1"/>
  <c r="BC126" i="2" a="1"/>
  <c r="BC126" i="2" s="1"/>
  <c r="BC68" i="2" a="1"/>
  <c r="BC68" i="2" s="1"/>
  <c r="BC34" i="2" a="1"/>
  <c r="BC34" i="2" s="1"/>
  <c r="AH19" i="2" a="1"/>
  <c r="AH19" i="2" s="1"/>
  <c r="AH151" i="2" a="1"/>
  <c r="AH151" i="2" s="1"/>
  <c r="AH199" i="2" a="1"/>
  <c r="AH199" i="2" s="1"/>
  <c r="AH166" i="2" a="1"/>
  <c r="AH166" i="2" s="1"/>
  <c r="AH92" i="2" a="1"/>
  <c r="AH92" i="2" s="1"/>
  <c r="AH163" i="2" a="1"/>
  <c r="AH163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EY203" i="2" l="1"/>
  <c r="ED203" i="2"/>
  <c r="DI203" i="2"/>
  <c r="CN203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CD12" i="2" l="1"/>
  <c r="CD126" i="2"/>
  <c r="CD188" i="2"/>
  <c r="CD7" i="2"/>
  <c r="CD93" i="2"/>
  <c r="CD161" i="2"/>
  <c r="CD194" i="2"/>
  <c r="CD112" i="2"/>
  <c r="CD122" i="2"/>
  <c r="CD96" i="2"/>
  <c r="CD67" i="2"/>
  <c r="CD32" i="2"/>
  <c r="CD156" i="2"/>
  <c r="CD61" i="2"/>
  <c r="CD113" i="2"/>
  <c r="CD190" i="2"/>
  <c r="CD117" i="2"/>
  <c r="CD127" i="2"/>
  <c r="CD199" i="2"/>
  <c r="CD55" i="2"/>
  <c r="CD45" i="2"/>
  <c r="CD153" i="2"/>
  <c r="CD109" i="2"/>
  <c r="CD84" i="2"/>
  <c r="CD43" i="2"/>
  <c r="CD152" i="2"/>
  <c r="CD25" i="2"/>
  <c r="CD86" i="2"/>
  <c r="CD29" i="2"/>
  <c r="CD187" i="2"/>
  <c r="CD157" i="2"/>
  <c r="CD150" i="2"/>
  <c r="CD35" i="2"/>
  <c r="CD76" i="2"/>
  <c r="CD68" i="2"/>
  <c r="CD14" i="2"/>
  <c r="CD41" i="2"/>
  <c r="CD198" i="2"/>
  <c r="CD88" i="2"/>
  <c r="CD80" i="2"/>
  <c r="CD139" i="2"/>
  <c r="CD182" i="2"/>
  <c r="CD33" i="2"/>
  <c r="CD23" i="2"/>
  <c r="CD160" i="2"/>
  <c r="CD129" i="2"/>
  <c r="CD13" i="2"/>
  <c r="CD151" i="2"/>
  <c r="CD191" i="2"/>
  <c r="CD60" i="2"/>
  <c r="CD3" i="2"/>
  <c r="C9" i="4" s="1"/>
  <c r="E9" i="4" s="1"/>
  <c r="F9" i="4" s="1"/>
  <c r="G9" i="4" s="1"/>
  <c r="L9" i="4" s="1"/>
  <c r="CD168" i="2"/>
  <c r="CD171" i="2"/>
  <c r="CD31" i="2"/>
  <c r="CD132" i="2"/>
  <c r="CD159" i="2"/>
  <c r="CD38" i="2"/>
  <c r="CD10" i="2"/>
  <c r="CD99" i="2"/>
  <c r="CD19" i="2"/>
  <c r="CD181" i="2"/>
  <c r="CD197" i="2"/>
  <c r="CD87" i="2"/>
  <c r="CD105" i="2"/>
  <c r="CD135" i="2"/>
  <c r="CD77" i="2"/>
  <c r="CD17" i="2"/>
  <c r="CD201" i="2"/>
  <c r="CD75" i="2"/>
  <c r="CD39" i="2"/>
  <c r="CD65" i="2"/>
  <c r="CD69" i="2"/>
  <c r="CD101" i="2"/>
  <c r="CD21" i="2"/>
  <c r="CD11" i="2"/>
  <c r="CD51" i="2"/>
  <c r="CD143" i="2"/>
  <c r="CD95" i="2"/>
  <c r="CD20" i="2"/>
  <c r="CD63" i="2"/>
  <c r="CD103" i="2"/>
  <c r="CD196" i="2"/>
  <c r="CD193" i="2"/>
  <c r="CD83" i="2"/>
  <c r="CD66" i="2"/>
  <c r="CD72" i="2"/>
  <c r="CD6" i="2"/>
  <c r="CD48" i="2"/>
  <c r="CD149" i="2"/>
  <c r="CD154" i="2"/>
  <c r="CD145" i="2"/>
  <c r="CD111" i="2"/>
  <c r="CD4" i="2"/>
  <c r="CD158" i="2"/>
  <c r="CD82" i="2"/>
  <c r="CD18" i="2"/>
  <c r="CD90" i="2"/>
  <c r="CD170" i="2"/>
  <c r="CD148" i="2"/>
  <c r="CD46" i="2"/>
  <c r="CD56" i="2"/>
  <c r="CD184" i="2"/>
  <c r="CD24" i="2"/>
  <c r="CD8" i="2"/>
  <c r="CD174" i="2"/>
  <c r="CD155" i="2"/>
  <c r="CD50" i="2"/>
  <c r="CD141" i="2"/>
  <c r="CD5" i="2"/>
  <c r="CD57" i="2"/>
  <c r="CD173" i="2"/>
  <c r="CD59" i="2"/>
  <c r="CD58" i="2"/>
  <c r="CD138" i="2"/>
  <c r="CD107" i="2"/>
  <c r="CD200" i="2"/>
  <c r="CD133" i="2"/>
  <c r="CD34" i="2"/>
  <c r="CD28" i="2"/>
  <c r="CD178" i="2"/>
  <c r="CD78" i="2"/>
  <c r="CD102" i="2"/>
  <c r="CD62" i="2"/>
  <c r="CD115" i="2"/>
  <c r="CD131" i="2"/>
  <c r="CD202" i="2"/>
  <c r="CD167" i="2"/>
  <c r="CD81" i="2"/>
  <c r="CD118" i="2"/>
  <c r="CD44" i="2"/>
  <c r="CD64" i="2"/>
  <c r="CD108" i="2"/>
  <c r="CD36" i="2"/>
  <c r="CD119" i="2"/>
  <c r="CD92" i="2"/>
  <c r="CD49" i="2"/>
  <c r="CD47" i="2"/>
  <c r="CD134" i="2"/>
  <c r="CD142" i="2"/>
  <c r="CD123" i="2"/>
  <c r="CD164" i="2"/>
  <c r="CD120" i="2"/>
  <c r="CD189" i="2"/>
  <c r="CD98" i="2"/>
  <c r="CD176" i="2"/>
  <c r="CD121" i="2"/>
  <c r="CD27" i="2"/>
  <c r="CD162" i="2"/>
  <c r="CD42" i="2"/>
  <c r="CD125" i="2"/>
  <c r="CD177" i="2"/>
  <c r="CD54" i="2"/>
  <c r="CD128" i="2"/>
  <c r="CD73" i="2"/>
  <c r="CD166" i="2"/>
  <c r="CD97" i="2"/>
  <c r="CD22" i="2"/>
  <c r="CD85" i="2"/>
  <c r="CD124" i="2"/>
  <c r="CD195" i="2"/>
  <c r="CD183" i="2"/>
  <c r="CD169" i="2"/>
  <c r="CD40" i="2"/>
  <c r="CD9" i="2"/>
  <c r="CD172" i="2"/>
  <c r="CD71" i="2"/>
  <c r="CD91" i="2"/>
  <c r="CD146" i="2"/>
  <c r="CD52" i="2"/>
  <c r="CD37" i="2"/>
  <c r="CD192" i="2"/>
  <c r="CD106" i="2"/>
  <c r="CD136" i="2"/>
  <c r="CD144" i="2"/>
  <c r="CD16" i="2"/>
  <c r="CD70" i="2"/>
  <c r="CD15" i="2"/>
  <c r="CD130" i="2"/>
  <c r="CD116" i="2"/>
  <c r="CD185" i="2"/>
  <c r="CD110" i="2"/>
  <c r="CD165" i="2"/>
  <c r="CD203" i="2"/>
  <c r="CD175" i="2"/>
  <c r="CD186" i="2"/>
  <c r="CD53" i="2"/>
  <c r="CD100" i="2"/>
  <c r="CD30" i="2"/>
  <c r="CD163" i="2"/>
  <c r="CD179" i="2"/>
  <c r="CD94" i="2"/>
  <c r="CD89" i="2"/>
  <c r="CD79" i="2"/>
  <c r="CD137" i="2"/>
  <c r="CD180" i="2"/>
  <c r="CD104" i="2"/>
  <c r="CD147" i="2"/>
  <c r="CD114" i="2"/>
  <c r="CD26" i="2"/>
  <c r="CD74" i="2"/>
  <c r="CD140" i="2"/>
  <c r="FE120" i="2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D9" i="8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I95" i="2" l="1"/>
  <c r="BI52" i="2"/>
  <c r="BI117" i="2"/>
  <c r="BI47" i="2"/>
  <c r="BI129" i="2"/>
  <c r="BI79" i="2"/>
  <c r="BI116" i="2"/>
  <c r="BI66" i="2"/>
  <c r="BI103" i="2"/>
  <c r="BI166" i="2"/>
  <c r="BI174" i="2"/>
  <c r="BI39" i="2"/>
  <c r="BI107" i="2"/>
  <c r="BI8" i="2"/>
  <c r="BI146" i="2"/>
  <c r="BI161" i="2"/>
  <c r="BI7" i="2"/>
  <c r="BI53" i="2"/>
  <c r="BI26" i="2"/>
  <c r="BI27" i="2"/>
  <c r="BI104" i="2"/>
  <c r="BI151" i="2"/>
  <c r="BI17" i="2"/>
  <c r="BI40" i="2"/>
  <c r="BI134" i="2"/>
  <c r="BI185" i="2"/>
  <c r="BI180" i="2"/>
  <c r="BI168" i="2"/>
  <c r="BI87" i="2"/>
  <c r="BI114" i="2"/>
  <c r="BI75" i="2"/>
  <c r="BI13" i="2"/>
  <c r="BI177" i="2"/>
  <c r="BI65" i="2"/>
  <c r="BI135" i="2"/>
  <c r="BI19" i="2"/>
  <c r="BI70" i="2"/>
  <c r="BI41" i="2"/>
  <c r="BI120" i="2"/>
  <c r="BI31" i="2"/>
  <c r="BI83" i="2"/>
  <c r="BI145" i="2"/>
  <c r="BI51" i="2"/>
  <c r="BI14" i="2"/>
  <c r="BI63" i="2"/>
  <c r="BI186" i="2"/>
  <c r="BI62" i="2"/>
  <c r="BI123" i="2"/>
  <c r="BI3" i="2"/>
  <c r="C8" i="4" s="1"/>
  <c r="E8" i="4" s="1"/>
  <c r="F8" i="4" s="1"/>
  <c r="G8" i="4" s="1"/>
  <c r="L8" i="4" s="1"/>
  <c r="BI37" i="2"/>
  <c r="BI100" i="2"/>
  <c r="BI163" i="2"/>
  <c r="BI60" i="2"/>
  <c r="BI121" i="2"/>
  <c r="BI85" i="2"/>
  <c r="BI24" i="2"/>
  <c r="BI183" i="2"/>
  <c r="BI88" i="2"/>
  <c r="BI156" i="2"/>
  <c r="BI169" i="2"/>
  <c r="BI76" i="2"/>
  <c r="BI6" i="2"/>
  <c r="BI101" i="2"/>
  <c r="BI138" i="2"/>
  <c r="BI201" i="2"/>
  <c r="BI131" i="2"/>
  <c r="BI157" i="2"/>
  <c r="BI20" i="2"/>
  <c r="BI58" i="2"/>
  <c r="BI23" i="2"/>
  <c r="BI126" i="2"/>
  <c r="BI172" i="2"/>
  <c r="BI68" i="2"/>
  <c r="BI109" i="2"/>
  <c r="BI12" i="2"/>
  <c r="BI32" i="2"/>
  <c r="BI55" i="2"/>
  <c r="BI71" i="2"/>
  <c r="BI142" i="2"/>
  <c r="BI44" i="2"/>
  <c r="BI61" i="2"/>
  <c r="BI69" i="2"/>
  <c r="BI90" i="2"/>
  <c r="BI22" i="2"/>
  <c r="BI45" i="2"/>
  <c r="BI132" i="2"/>
  <c r="BI159" i="2"/>
  <c r="BI59" i="2"/>
  <c r="BI48" i="2"/>
  <c r="BI67" i="2"/>
  <c r="BI33" i="2"/>
  <c r="BI182" i="2"/>
  <c r="BI200" i="2"/>
  <c r="BI46" i="2"/>
  <c r="BI141" i="2"/>
  <c r="BI130" i="2"/>
  <c r="BI196" i="2"/>
  <c r="BI113" i="2"/>
  <c r="BI49" i="2"/>
  <c r="BI122" i="2"/>
  <c r="BI34" i="2"/>
  <c r="BI77" i="2"/>
  <c r="BI93" i="2"/>
  <c r="BI140" i="2"/>
  <c r="BI36" i="2"/>
  <c r="BI192" i="2"/>
  <c r="BI38" i="2"/>
  <c r="BI194" i="2"/>
  <c r="BI50" i="2"/>
  <c r="BI158" i="2"/>
  <c r="BI127" i="2"/>
  <c r="BI28" i="2"/>
  <c r="BI184" i="2"/>
  <c r="BI128" i="2"/>
  <c r="BI80" i="2"/>
  <c r="BI119" i="2"/>
  <c r="BI165" i="2"/>
  <c r="BI91" i="2"/>
  <c r="BI154" i="2"/>
  <c r="BI74" i="2"/>
  <c r="BI111" i="2"/>
  <c r="BI115" i="2"/>
  <c r="BI96" i="2"/>
  <c r="BI199" i="2"/>
  <c r="BI136" i="2"/>
  <c r="BI72" i="2"/>
  <c r="BI9" i="2"/>
  <c r="BI82" i="2"/>
  <c r="BI195" i="2"/>
  <c r="BI84" i="2"/>
  <c r="BI108" i="2"/>
  <c r="BI153" i="2"/>
  <c r="BI30" i="2"/>
  <c r="BI16" i="2"/>
  <c r="BI11" i="2"/>
  <c r="BI193" i="2"/>
  <c r="BI118" i="2"/>
  <c r="BI102" i="2"/>
  <c r="BI178" i="2"/>
  <c r="BI170" i="2"/>
  <c r="BI81" i="2"/>
  <c r="BI190" i="2"/>
  <c r="BI147" i="2"/>
  <c r="BI10" i="2"/>
  <c r="BI148" i="2"/>
  <c r="BI149" i="2"/>
  <c r="BI89" i="2"/>
  <c r="BI137" i="2"/>
  <c r="BI164" i="2"/>
  <c r="BI99" i="2"/>
  <c r="BI203" i="2"/>
  <c r="BI94" i="2"/>
  <c r="BI97" i="2"/>
  <c r="BI197" i="2"/>
  <c r="BI110" i="2"/>
  <c r="BI143" i="2"/>
  <c r="BI139" i="2"/>
  <c r="BI42" i="2"/>
  <c r="BI181" i="2"/>
  <c r="BI124" i="2"/>
  <c r="BI105" i="2"/>
  <c r="BI112" i="2"/>
  <c r="BI18" i="2"/>
  <c r="BI35" i="2"/>
  <c r="BI162" i="2"/>
  <c r="BI175" i="2"/>
  <c r="BI21" i="2"/>
  <c r="BI179" i="2"/>
  <c r="BI15" i="2"/>
  <c r="BI29" i="2"/>
  <c r="BI98" i="2"/>
  <c r="BI191" i="2"/>
  <c r="BI25" i="2"/>
  <c r="BI73" i="2"/>
  <c r="BI54" i="2"/>
  <c r="BI4" i="2"/>
  <c r="BI125" i="2"/>
  <c r="BI106" i="2"/>
  <c r="BI152" i="2"/>
  <c r="BI171" i="2"/>
  <c r="BI144" i="2"/>
  <c r="BI160" i="2"/>
  <c r="BI155" i="2"/>
  <c r="BI202" i="2"/>
  <c r="BI56" i="2"/>
  <c r="BI150" i="2"/>
  <c r="BI5" i="2"/>
  <c r="BI64" i="2"/>
  <c r="BI43" i="2"/>
  <c r="BI187" i="2"/>
  <c r="BI198" i="2"/>
  <c r="BI176" i="2"/>
  <c r="BI133" i="2"/>
  <c r="BI92" i="2"/>
  <c r="BI78" i="2"/>
  <c r="BI86" i="2"/>
  <c r="BI188" i="2"/>
  <c r="BI173" i="2"/>
  <c r="BI189" i="2"/>
  <c r="BI57" i="2"/>
  <c r="BI167" i="2"/>
  <c r="BF124" i="2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C9" i="8" s="1"/>
  <c r="F16" i="4"/>
  <c r="M9" i="8" l="1"/>
  <c r="BS161" i="2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<sst xmlns="http://schemas.openxmlformats.org/spreadsheetml/2006/main" count="1185" uniqueCount="332">
  <si>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</si>
  <si>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</si>
  <si>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</si>
  <si>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</si>
  <si>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</si>
  <si>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</si>
  <si>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</si>
  <si>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</si>
  <si>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</si>
  <si>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</si>
  <si>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</si>
  <si>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</si>
  <si>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</si>
  <si>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</si>
  <si>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</si>
  <si>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</si>
  <si>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</si>
  <si>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</si>
  <si>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</si>
  <si>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</si>
  <si>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</si>
  <si>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</si>
  <si>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</si>
  <si>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</si>
  <si>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</si>
  <si>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</si>
  <si>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</si>
  <si>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</si>
  <si>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</si>
  <si>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</si>
  <si>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</si>
  <si>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</si>
  <si>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</si>
  <si>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</si>
  <si>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</si>
  <si>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</si>
  <si>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</si>
  <si>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</si>
  <si>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</si>
  <si>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</si>
  <si>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</si>
  <si>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</si>
  <si>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</si>
  <si>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</si>
  <si>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</si>
  <si>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</si>
  <si>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</si>
  <si>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</si>
  <si>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</si>
  <si>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</si>
  <si>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</si>
  <si>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</si>
  <si>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</si>
  <si>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</si>
  <si>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</si>
  <si>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</si>
  <si>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</si>
  <si>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</si>
  <si>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</si>
  <si>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</si>
  <si>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</si>
  <si>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</si>
  <si>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</si>
  <si>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</si>
  <si>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</si>
  <si>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</si>
  <si>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</si>
  <si>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</si>
  <si>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</si>
  <si>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</si>
  <si>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</si>
  <si>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</si>
  <si>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</si>
  <si>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</si>
  <si>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</si>
  <si>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</si>
  <si>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</si>
  <si>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</si>
  <si>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</si>
  <si>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</si>
  <si>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</si>
  <si>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</si>
  <si>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</si>
  <si>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</si>
  <si>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</si>
  <si>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</si>
  <si>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</si>
  <si>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</si>
  <si>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</si>
  <si>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</si>
  <si>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</si>
  <si>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</si>
  <si>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</si>
  <si>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</si>
  <si>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</si>
  <si>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</si>
  <si>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</si>
  <si>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</si>
  <si>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</si>
  <si>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</si>
  <si>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</si>
  <si>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</si>
  <si>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</si>
  <si>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</si>
  <si>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</si>
  <si>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</si>
  <si>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</si>
  <si>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</si>
  <si>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</si>
  <si>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</si>
  <si>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</si>
  <si>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</si>
  <si>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</si>
  <si>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</si>
  <si>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</si>
  <si>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</si>
  <si>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</si>
  <si>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</si>
  <si>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</si>
  <si>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</si>
  <si>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</si>
  <si>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</si>
  <si>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</si>
  <si>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</si>
  <si>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</si>
  <si>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</si>
  <si>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</si>
  <si>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</si>
  <si>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</si>
  <si>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</si>
  <si>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</si>
  <si>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</si>
  <si>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</si>
  <si>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</si>
  <si>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</si>
  <si>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</si>
  <si>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</si>
  <si>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</si>
  <si>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</si>
  <si>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</si>
  <si>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</si>
  <si>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</si>
  <si>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</si>
  <si>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</si>
  <si>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</si>
  <si>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</si>
  <si>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</si>
  <si>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</si>
  <si>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</si>
  <si>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</si>
  <si>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</si>
  <si>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</si>
  <si>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</si>
  <si>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</si>
  <si>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</si>
  <si>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</si>
  <si>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</si>
  <si>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</si>
  <si>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</si>
  <si>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</si>
  <si>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</si>
  <si>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</si>
  <si>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</si>
  <si>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</si>
  <si>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</si>
  <si>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</si>
  <si>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</si>
  <si>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</si>
  <si>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</si>
  <si>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</si>
  <si>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</si>
  <si>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</si>
  <si>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</si>
  <si>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</si>
  <si>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</si>
  <si>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</si>
  <si>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</si>
  <si>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</si>
  <si>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</si>
  <si>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</si>
  <si>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</si>
  <si>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</si>
  <si>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</si>
  <si>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</si>
  <si>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</si>
  <si>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</si>
  <si>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</si>
  <si>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</si>
  <si>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</si>
  <si>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</si>
  <si>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</si>
  <si>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</si>
  <si>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</si>
  <si>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</si>
  <si>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</si>
  <si>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</si>
  <si>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</si>
  <si>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</si>
  <si>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</si>
  <si>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</si>
  <si>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</si>
  <si>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</si>
  <si>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</si>
  <si>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</si>
  <si>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</si>
  <si>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</si>
  <si>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</si>
  <si>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</si>
  <si>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</si>
  <si>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</si>
  <si>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</si>
  <si>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</si>
  <si>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</si>
  <si>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</si>
  <si>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</si>
  <si>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</si>
  <si>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</si>
  <si>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</si>
  <si>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</si>
  <si>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</si>
  <si>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</si>
  <si>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</si>
  <si>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</si>
  <si>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</si>
  <si>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</si>
  <si>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</si>
  <si>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</si>
  <si>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</si>
  <si>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</si>
  <si>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</si>
  <si>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</si>
  <si>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</si>
  <si>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</si>
  <si>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</si>
  <si>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</si>
  <si>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</si>
  <si>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</si>
  <si>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</si>
  <si>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</si>
  <si>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</si>
  <si>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</si>
  <si>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</si>
  <si>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</si>
  <si>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</si>
  <si>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</si>
  <si>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</si>
  <si>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</si>
  <si>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</si>
  <si>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</si>
  <si>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</si>
  <si>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</si>
  <si>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</si>
  <si>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</si>
  <si>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</si>
  <si>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</si>
  <si>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</si>
  <si>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</si>
  <si>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</si>
  <si>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</si>
  <si>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</si>
  <si>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</si>
  <si>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</si>
  <si>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</si>
  <si>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</si>
  <si>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</si>
  <si>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</si>
  <si>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</si>
  <si>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</si>
  <si>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</si>
  <si>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</si>
  <si>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</si>
  <si>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</si>
  <si>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</si>
  <si>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</si>
  <si>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</si>
  <si>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</si>
  <si>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</si>
  <si>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</si>
  <si>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</si>
  <si>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</si>
  <si>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</si>
  <si>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</si>
  <si>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</si>
  <si>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</si>
  <si>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</si>
  <si>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</si>
  <si>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</si>
  <si>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</si>
  <si>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</si>
  <si>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</si>
  <si>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</si>
  <si>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</si>
  <si>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</si>
  <si>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</si>
  <si>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</si>
  <si>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</si>
  <si>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</si>
  <si>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</si>
  <si>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</si>
  <si>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</si>
  <si>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</si>
  <si>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</si>
  <si>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</si>
  <si>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</si>
  <si>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</si>
  <si>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</si>
  <si>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</si>
  <si>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</si>
  <si>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</si>
  <si>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</si>
  <si>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</si>
  <si>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</si>
  <si>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</si>
  <si>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</si>
  <si>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</si>
  <si>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</si>
  <si>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</si>
  <si>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</si>
  <si>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</si>
  <si>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</si>
  <si>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</si>
  <si>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</si>
  <si>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</si>
  <si>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</si>
  <si>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Répartition de essences</t>
  </si>
  <si>
    <t>Essences prévues</t>
  </si>
  <si>
    <t>Surfaces doc 8</t>
  </si>
  <si>
    <t>Essence planté</t>
  </si>
  <si>
    <t>Total</t>
  </si>
  <si>
    <t>Nombre de plants</t>
  </si>
  <si>
    <t>Densité essence objectif</t>
  </si>
  <si>
    <t>écart REE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</si>
</sst>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\ _€_-;\-* #,##0.00\ _€_-;_-* &quot;-&quot;??\ _€_-;_-@_-"/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  <numFmt numFmtId="169" formatCode="0&quot; plants/ha&quot;"/>
  </numFmts>
  <fonts count="3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sz val="11"/>
      <color rgb="FFFF0000"/>
      <name val="Calibri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</borders>
  <cellStyleXfs count="4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366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43" fontId="10" fillId="21" borderId="1" xfId="3" applyFont="1" applyFill="1" applyBorder="1" applyAlignment="1">
      <alignment horizontal="center" vertical="center"/>
    </xf>
    <xf numFmtId="0" fontId="10" fillId="21" borderId="1" xfId="0" applyFont="1" applyFill="1" applyBorder="1" applyAlignment="1">
      <alignment horizontal="center" vertical="center"/>
    </xf>
    <xf numFmtId="169" fontId="0" fillId="0" borderId="1" xfId="0" applyNumberFormat="1" applyBorder="1" applyAlignment="1">
      <alignment horizontal="center" vertical="center"/>
    </xf>
    <xf numFmtId="43" fontId="10" fillId="21" borderId="4" xfId="3" applyFont="1" applyFill="1" applyBorder="1" applyAlignment="1">
      <alignment horizontal="center" vertical="center"/>
    </xf>
    <xf numFmtId="0" fontId="10" fillId="21" borderId="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0" fillId="21" borderId="54" xfId="0" applyFont="1" applyFill="1" applyBorder="1" applyAlignment="1">
      <alignment horizontal="center" vertical="center"/>
    </xf>
    <xf numFmtId="2" fontId="10" fillId="21" borderId="46" xfId="0" applyNumberFormat="1" applyFont="1" applyFill="1" applyBorder="1" applyAlignment="1">
      <alignment horizontal="center" vertical="center"/>
    </xf>
    <xf numFmtId="2" fontId="0" fillId="5" borderId="1" xfId="0" applyNumberFormat="1" applyFill="1" applyBorder="1" applyAlignment="1">
      <alignment horizontal="center" vertical="center"/>
    </xf>
    <xf numFmtId="2" fontId="0" fillId="5" borderId="18" xfId="0" applyNumberFormat="1" applyFill="1" applyBorder="1" applyAlignment="1">
      <alignment horizontal="center" vertical="center"/>
    </xf>
    <xf numFmtId="0" fontId="0" fillId="22" borderId="0" xfId="0" applyFill="1"/>
    <xf numFmtId="2" fontId="0" fillId="22" borderId="0" xfId="0" applyNumberFormat="1" applyFill="1"/>
    <xf numFmtId="2" fontId="11" fillId="5" borderId="55" xfId="0" applyNumberFormat="1" applyFont="1" applyFill="1" applyBorder="1" applyAlignment="1">
      <alignment horizontal="center" vertical="center"/>
    </xf>
    <xf numFmtId="1" fontId="10" fillId="23" borderId="55" xfId="0" applyNumberFormat="1" applyFont="1" applyFill="1" applyBorder="1" applyAlignment="1">
      <alignment horizontal="center" vertical="center"/>
    </xf>
    <xf numFmtId="2" fontId="10" fillId="23" borderId="55" xfId="0" applyNumberFormat="1" applyFont="1" applyFill="1" applyBorder="1" applyAlignment="1">
      <alignment horizontal="center" vertical="center"/>
    </xf>
    <xf numFmtId="0" fontId="10" fillId="21" borderId="56" xfId="0" applyFont="1" applyFill="1" applyBorder="1" applyAlignment="1">
      <alignment horizontal="center" vertical="center"/>
    </xf>
    <xf numFmtId="0" fontId="10" fillId="21" borderId="55" xfId="0" applyFont="1" applyFill="1" applyBorder="1" applyAlignment="1">
      <alignment horizontal="center" vertical="center"/>
    </xf>
    <xf numFmtId="0" fontId="10" fillId="21" borderId="57" xfId="0" applyFont="1" applyFill="1" applyBorder="1" applyAlignment="1">
      <alignment horizontal="center" vertical="center"/>
    </xf>
    <xf numFmtId="43" fontId="32" fillId="5" borderId="1" xfId="3" applyFont="1" applyFill="1" applyBorder="1" applyAlignment="1">
      <alignment horizontal="center" vertical="center"/>
    </xf>
    <xf numFmtId="43" fontId="32" fillId="5" borderId="55" xfId="3" applyFont="1" applyFill="1" applyBorder="1" applyAlignment="1">
      <alignment horizontal="center" vertical="center"/>
    </xf>
    <xf numFmtId="0" fontId="9" fillId="14" borderId="1" xfId="1" applyNumberFormat="1" applyFont="1" applyFill="1" applyBorder="1" applyAlignment="1" applyProtection="1">
      <alignment horizont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22" fillId="0" borderId="42" xfId="0" applyFont="1" applyBorder="1" applyAlignment="1">
      <alignment horizontal="center" vertical="center"/>
    </xf>
    <xf numFmtId="0" fontId="22" fillId="0" borderId="43" xfId="0" applyFont="1" applyBorder="1" applyAlignment="1">
      <alignment horizontal="center" vertical="center"/>
    </xf>
    <xf numFmtId="0" fontId="22" fillId="0" borderId="44" xfId="0" applyFont="1" applyBorder="1" applyAlignment="1">
      <alignment horizontal="center" vertical="center"/>
    </xf>
  </cellXfs>
  <cellStyles count="4">
    <cellStyle name="Lien hypertexte" xfId="2" builtinId="8"/>
    <cellStyle name="Milliers" xfId="3" builtinId="3"/>
    <cellStyle name="Normal" xfId="0" builtinId="0"/>
    <cellStyle name="Pourcentage" xfId="1" builtinId="5"/>
  </cellStyles>
  <dxfs count="1">
    <dxf>
      <font>
        <color theme="4" tint="-0.24994659260841701"/>
      </font>
    </dxf>
  </dxfs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1.4510163117544339</c:v>
                </c:pt>
                <c:pt idx="2">
                  <c:v>1.7182720127011295</c:v>
                </c:pt>
                <c:pt idx="3">
                  <c:v>2.0349393412568815</c:v>
                </c:pt>
                <c:pt idx="4">
                  <c:v>2.4101865717740352</c:v>
                </c:pt>
                <c:pt idx="5">
                  <c:v>2.8548888689670626</c:v>
                </c:pt>
                <c:pt idx="6">
                  <c:v>3.3819470622862799</c:v>
                </c:pt>
                <c:pt idx="7">
                  <c:v>4.0066661265715924</c:v>
                </c:pt>
                <c:pt idx="8">
                  <c:v>4.7472045818179396</c:v>
                </c:pt>
                <c:pt idx="9">
                  <c:v>5.6251081358022832</c:v>
                </c:pt>
                <c:pt idx="10">
                  <c:v>6.66594340252517</c:v>
                </c:pt>
                <c:pt idx="11">
                  <c:v>7.9000505122077564</c:v>
                </c:pt>
                <c:pt idx="12">
                  <c:v>9.3634369745195816</c:v>
                </c:pt>
                <c:pt idx="13">
                  <c:v>11.098839372322871</c:v>
                </c:pt>
                <c:pt idx="14">
                  <c:v>13.156984475223274</c:v>
                </c:pt>
                <c:pt idx="15">
                  <c:v>15.598087321351393</c:v>
                </c:pt>
                <c:pt idx="16">
                  <c:v>18.493630901380524</c:v>
                </c:pt>
                <c:pt idx="17">
                  <c:v>21.928480504136356</c:v>
                </c:pt>
                <c:pt idx="18">
                  <c:v>26.003395802062048</c:v>
                </c:pt>
                <c:pt idx="19">
                  <c:v>30.838015669207337</c:v>
                </c:pt>
                <c:pt idx="20">
                  <c:v>36.574404893556029</c:v>
                </c:pt>
                <c:pt idx="21">
                  <c:v>43.381268796828387</c:v>
                </c:pt>
                <c:pt idx="22">
                  <c:v>51.458961816982743</c:v>
                </c:pt>
                <c:pt idx="23">
                  <c:v>61.045439946672957</c:v>
                </c:pt>
                <c:pt idx="24">
                  <c:v>72.423335275022851</c:v>
                </c:pt>
                <c:pt idx="25">
                  <c:v>85.928364607203278</c:v>
                </c:pt>
                <c:pt idx="26">
                  <c:v>101.95932425623626</c:v>
                </c:pt>
                <c:pt idx="27">
                  <c:v>120.98997082782786</c:v>
                </c:pt>
                <c:pt idx="28">
                  <c:v>143.58314459619342</c:v>
                </c:pt>
                <c:pt idx="29">
                  <c:v>170.40755961577079</c:v>
                </c:pt>
                <c:pt idx="30">
                  <c:v>202.25776507632233</c:v>
                </c:pt>
                <c:pt idx="31">
                  <c:v>219.43455992571219</c:v>
                </c:pt>
                <c:pt idx="32">
                  <c:v>236.58047440215805</c:v>
                </c:pt>
                <c:pt idx="33">
                  <c:v>253.69806161385125</c:v>
                </c:pt>
                <c:pt idx="34">
                  <c:v>270.78950182200458</c:v>
                </c:pt>
                <c:pt idx="35">
                  <c:v>287.85667749117107</c:v>
                </c:pt>
                <c:pt idx="36">
                  <c:v>307.47751968587681</c:v>
                </c:pt>
                <c:pt idx="37">
                  <c:v>327.07055190951706</c:v>
                </c:pt>
                <c:pt idx="38">
                  <c:v>346.63767379575575</c:v>
                </c:pt>
                <c:pt idx="39">
                  <c:v>366.18055305066923</c:v>
                </c:pt>
                <c:pt idx="40">
                  <c:v>385.70066489261848</c:v>
                </c:pt>
                <c:pt idx="41">
                  <c:v>405.19932308802726</c:v>
                </c:pt>
                <c:pt idx="42">
                  <c:v>424.67770470015256</c:v>
                </c:pt>
                <c:pt idx="43">
                  <c:v>263.75488986167073</c:v>
                </c:pt>
                <c:pt idx="44">
                  <c:v>281.33374857482306</c:v>
                </c:pt>
                <c:pt idx="45">
                  <c:v>298.88799440275955</c:v>
                </c:pt>
                <c:pt idx="46">
                  <c:v>316.41927606814937</c:v>
                </c:pt>
                <c:pt idx="47">
                  <c:v>333.92904467751265</c:v>
                </c:pt>
                <c:pt idx="48">
                  <c:v>351.41858674477544</c:v>
                </c:pt>
                <c:pt idx="49">
                  <c:v>368.88905029363542</c:v>
                </c:pt>
                <c:pt idx="50">
                  <c:v>285.84997848413349</c:v>
                </c:pt>
                <c:pt idx="51">
                  <c:v>302.89711380319778</c:v>
                </c:pt>
                <c:pt idx="52">
                  <c:v>319.92290747907685</c:v>
                </c:pt>
                <c:pt idx="53">
                  <c:v>336.92865492077641</c:v>
                </c:pt>
                <c:pt idx="54">
                  <c:v>353.91551010384433</c:v>
                </c:pt>
                <c:pt idx="55">
                  <c:v>370.8845072011041</c:v>
                </c:pt>
                <c:pt idx="56">
                  <c:v>387.83657804664409</c:v>
                </c:pt>
                <c:pt idx="57">
                  <c:v>323.92601839985667</c:v>
                </c:pt>
                <c:pt idx="58">
                  <c:v>340.5940472434072</c:v>
                </c:pt>
                <c:pt idx="59">
                  <c:v>357.24414130207191</c:v>
                </c:pt>
                <c:pt idx="60">
                  <c:v>373.87725393504792</c:v>
                </c:pt>
                <c:pt idx="61">
                  <c:v>390.49424676672476</c:v>
                </c:pt>
                <c:pt idx="62">
                  <c:v>407.09590212284866</c:v>
                </c:pt>
                <c:pt idx="63">
                  <c:v>423.68293333202695</c:v>
                </c:pt>
                <c:pt idx="64">
                  <c:v>360.90485169292782</c:v>
                </c:pt>
                <c:pt idx="65">
                  <c:v>377.01195254107012</c:v>
                </c:pt>
                <c:pt idx="66">
                  <c:v>393.10407505348206</c:v>
                </c:pt>
                <c:pt idx="67">
                  <c:v>409.18191855919605</c:v>
                </c:pt>
                <c:pt idx="68">
                  <c:v>425.24612295883844</c:v>
                </c:pt>
                <c:pt idx="69">
                  <c:v>441.29727587562394</c:v>
                </c:pt>
                <c:pt idx="70">
                  <c:v>457.33591871178055</c:v>
                </c:pt>
                <c:pt idx="71">
                  <c:v>473.36255181121805</c:v>
                </c:pt>
                <c:pt idx="72">
                  <c:v>397.80082102983096</c:v>
                </c:pt>
                <c:pt idx="73">
                  <c:v>412.87929311615432</c:v>
                </c:pt>
                <c:pt idx="74">
                  <c:v>427.9458868443873</c:v>
                </c:pt>
                <c:pt idx="75">
                  <c:v>443.00107921654762</c:v>
                </c:pt>
                <c:pt idx="76">
                  <c:v>458.04531217587032</c:v>
                </c:pt>
                <c:pt idx="77">
                  <c:v>473.07899627438695</c:v>
                </c:pt>
                <c:pt idx="78">
                  <c:v>488.10251385009468</c:v>
                </c:pt>
                <c:pt idx="79">
                  <c:v>503.11622179266891</c:v>
                </c:pt>
                <c:pt idx="80">
                  <c:v>430.64528450788265</c:v>
                </c:pt>
                <c:pt idx="81">
                  <c:v>444.70474213522584</c:v>
                </c:pt>
                <c:pt idx="82">
                  <c:v>458.75468217404813</c:v>
                </c:pt>
                <c:pt idx="83">
                  <c:v>472.79543711904148</c:v>
                </c:pt>
                <c:pt idx="84">
                  <c:v>486.82731810980704</c:v>
                </c:pt>
                <c:pt idx="85">
                  <c:v>500.85061689127627</c:v>
                </c:pt>
                <c:pt idx="86">
                  <c:v>514.86560754318418</c:v>
                </c:pt>
                <c:pt idx="87">
                  <c:v>528.87254801147901</c:v>
                </c:pt>
                <c:pt idx="88">
                  <c:v>454.4981093621966</c:v>
                </c:pt>
                <c:pt idx="89">
                  <c:v>467.40712233198633</c:v>
                </c:pt>
                <c:pt idx="90">
                  <c:v>480.30853891265838</c:v>
                </c:pt>
                <c:pt idx="91">
                  <c:v>493.20259187340326</c:v>
                </c:pt>
                <c:pt idx="92">
                  <c:v>506.08950082174624</c:v>
                </c:pt>
                <c:pt idx="93">
                  <c:v>518.96947327099576</c:v>
                </c:pt>
                <c:pt idx="94">
                  <c:v>531.84270559622928</c:v>
                </c:pt>
                <c:pt idx="95">
                  <c:v>544.70938389292303</c:v>
                </c:pt>
                <c:pt idx="96">
                  <c:v>287.85667749117147</c:v>
                </c:pt>
                <c:pt idx="97">
                  <c:v>296.43738794697089</c:v>
                </c:pt>
                <c:pt idx="98">
                  <c:v>305.01256073997416</c:v>
                </c:pt>
                <c:pt idx="99">
                  <c:v>313.58237364476804</c:v>
                </c:pt>
                <c:pt idx="100">
                  <c:v>322.14699391797217</c:v>
                </c:pt>
                <c:pt idx="101">
                  <c:v>330.70657918974769</c:v>
                </c:pt>
                <c:pt idx="102">
                  <c:v>339.2612782581262</c:v>
                </c:pt>
                <c:pt idx="103">
                  <c:v>347.81123179898628</c:v>
                </c:pt>
                <c:pt idx="104">
                  <c:v>356.35657300253342</c:v>
                </c:pt>
                <c:pt idx="105">
                  <c:v>364.89742814550806</c:v>
                </c:pt>
                <c:pt idx="106">
                  <c:v>4.2330868906469593E-12</c:v>
                </c:pt>
                <c:pt idx="107">
                  <c:v>4.2330868906469593E-12</c:v>
                </c:pt>
                <c:pt idx="108">
                  <c:v>4.2330868906469593E-12</c:v>
                </c:pt>
                <c:pt idx="109">
                  <c:v>4.2330868906469593E-12</c:v>
                </c:pt>
                <c:pt idx="110">
                  <c:v>4.2330868906469593E-12</c:v>
                </c:pt>
                <c:pt idx="111">
                  <c:v>4.2330868906469593E-12</c:v>
                </c:pt>
                <c:pt idx="112">
                  <c:v>4.2330868906469593E-12</c:v>
                </c:pt>
                <c:pt idx="113">
                  <c:v>4.2330868906469593E-12</c:v>
                </c:pt>
                <c:pt idx="114">
                  <c:v>4.2330868906469593E-12</c:v>
                </c:pt>
                <c:pt idx="115">
                  <c:v>4.2330868906469593E-12</c:v>
                </c:pt>
                <c:pt idx="116">
                  <c:v>4.2330868906469593E-12</c:v>
                </c:pt>
                <c:pt idx="117">
                  <c:v>4.2330868906469593E-12</c:v>
                </c:pt>
                <c:pt idx="118">
                  <c:v>4.2330868906469593E-12</c:v>
                </c:pt>
                <c:pt idx="119">
                  <c:v>4.2330868906469593E-12</c:v>
                </c:pt>
                <c:pt idx="120">
                  <c:v>4.2330868906469593E-12</c:v>
                </c:pt>
                <c:pt idx="121">
                  <c:v>4.2330868906469593E-12</c:v>
                </c:pt>
                <c:pt idx="122">
                  <c:v>4.2330868906469593E-12</c:v>
                </c:pt>
                <c:pt idx="123">
                  <c:v>4.2330868906469593E-12</c:v>
                </c:pt>
                <c:pt idx="124">
                  <c:v>4.2330868906469593E-12</c:v>
                </c:pt>
                <c:pt idx="125">
                  <c:v>4.2330868906469593E-12</c:v>
                </c:pt>
                <c:pt idx="126">
                  <c:v>4.2330868906469593E-12</c:v>
                </c:pt>
                <c:pt idx="127">
                  <c:v>4.2330868906469593E-12</c:v>
                </c:pt>
                <c:pt idx="128">
                  <c:v>4.2330868906469593E-12</c:v>
                </c:pt>
                <c:pt idx="129">
                  <c:v>4.2330868906469593E-12</c:v>
                </c:pt>
                <c:pt idx="130">
                  <c:v>4.2330868906469593E-12</c:v>
                </c:pt>
                <c:pt idx="131">
                  <c:v>4.2330868906469593E-12</c:v>
                </c:pt>
                <c:pt idx="132">
                  <c:v>4.2330868906469593E-12</c:v>
                </c:pt>
                <c:pt idx="133">
                  <c:v>4.2330868906469593E-12</c:v>
                </c:pt>
                <c:pt idx="134">
                  <c:v>4.2330868906469593E-12</c:v>
                </c:pt>
                <c:pt idx="135">
                  <c:v>4.2330868906469593E-12</c:v>
                </c:pt>
                <c:pt idx="136">
                  <c:v>4.2330868906469593E-12</c:v>
                </c:pt>
                <c:pt idx="137">
                  <c:v>4.2330868906469593E-12</c:v>
                </c:pt>
                <c:pt idx="138">
                  <c:v>4.2330868906469593E-12</c:v>
                </c:pt>
                <c:pt idx="139">
                  <c:v>4.2330868906469593E-12</c:v>
                </c:pt>
                <c:pt idx="140">
                  <c:v>4.2330868906469593E-12</c:v>
                </c:pt>
                <c:pt idx="141">
                  <c:v>4.2330868906469593E-12</c:v>
                </c:pt>
                <c:pt idx="142">
                  <c:v>4.2330868906469593E-12</c:v>
                </c:pt>
                <c:pt idx="143">
                  <c:v>4.2330868906469593E-12</c:v>
                </c:pt>
                <c:pt idx="144">
                  <c:v>4.2330868906469593E-12</c:v>
                </c:pt>
                <c:pt idx="145">
                  <c:v>4.2330868906469593E-12</c:v>
                </c:pt>
                <c:pt idx="146">
                  <c:v>4.2330868906469593E-12</c:v>
                </c:pt>
                <c:pt idx="147">
                  <c:v>4.2330868906469593E-12</c:v>
                </c:pt>
                <c:pt idx="148">
                  <c:v>4.2330868906469593E-12</c:v>
                </c:pt>
                <c:pt idx="149">
                  <c:v>4.2330868906469593E-12</c:v>
                </c:pt>
                <c:pt idx="150">
                  <c:v>4.2330868906469593E-12</c:v>
                </c:pt>
                <c:pt idx="151">
                  <c:v>4.2330868906469593E-12</c:v>
                </c:pt>
                <c:pt idx="152">
                  <c:v>4.2330868906469593E-12</c:v>
                </c:pt>
                <c:pt idx="153">
                  <c:v>4.2330868906469593E-12</c:v>
                </c:pt>
                <c:pt idx="154">
                  <c:v>4.2330868906469593E-12</c:v>
                </c:pt>
                <c:pt idx="155">
                  <c:v>4.2330868906469593E-12</c:v>
                </c:pt>
                <c:pt idx="156">
                  <c:v>4.2330868906469593E-12</c:v>
                </c:pt>
                <c:pt idx="157">
                  <c:v>4.2330868906469593E-12</c:v>
                </c:pt>
                <c:pt idx="158">
                  <c:v>4.2330868906469593E-12</c:v>
                </c:pt>
                <c:pt idx="159">
                  <c:v>4.2330868906469593E-12</c:v>
                </c:pt>
                <c:pt idx="160">
                  <c:v>4.2330868906469593E-12</c:v>
                </c:pt>
                <c:pt idx="161">
                  <c:v>4.2330868906469593E-12</c:v>
                </c:pt>
                <c:pt idx="162">
                  <c:v>4.2330868906469593E-12</c:v>
                </c:pt>
                <c:pt idx="163">
                  <c:v>4.2330868906469593E-12</c:v>
                </c:pt>
                <c:pt idx="164">
                  <c:v>4.2330868906469593E-12</c:v>
                </c:pt>
                <c:pt idx="165">
                  <c:v>4.2330868906469593E-12</c:v>
                </c:pt>
                <c:pt idx="166">
                  <c:v>4.2330868906469593E-12</c:v>
                </c:pt>
                <c:pt idx="167">
                  <c:v>4.2330868906469593E-12</c:v>
                </c:pt>
                <c:pt idx="168">
                  <c:v>4.2330868906469593E-12</c:v>
                </c:pt>
                <c:pt idx="169">
                  <c:v>4.2330868906469593E-12</c:v>
                </c:pt>
                <c:pt idx="170">
                  <c:v>4.2330868906469593E-12</c:v>
                </c:pt>
                <c:pt idx="171">
                  <c:v>4.2330868906469593E-12</c:v>
                </c:pt>
                <c:pt idx="172">
                  <c:v>4.2330868906469593E-12</c:v>
                </c:pt>
                <c:pt idx="173">
                  <c:v>4.2330868906469593E-12</c:v>
                </c:pt>
                <c:pt idx="174">
                  <c:v>4.2330868906469593E-12</c:v>
                </c:pt>
                <c:pt idx="175">
                  <c:v>4.2330868906469593E-12</c:v>
                </c:pt>
                <c:pt idx="176">
                  <c:v>4.2330868906469593E-12</c:v>
                </c:pt>
                <c:pt idx="177">
                  <c:v>4.2330868906469593E-12</c:v>
                </c:pt>
                <c:pt idx="178">
                  <c:v>4.2330868906469593E-12</c:v>
                </c:pt>
                <c:pt idx="179">
                  <c:v>4.2330868906469593E-12</c:v>
                </c:pt>
                <c:pt idx="180">
                  <c:v>4.2330868906469593E-12</c:v>
                </c:pt>
                <c:pt idx="181">
                  <c:v>4.2330868906469593E-12</c:v>
                </c:pt>
                <c:pt idx="182">
                  <c:v>4.2330868906469593E-12</c:v>
                </c:pt>
                <c:pt idx="183">
                  <c:v>4.2330868906469593E-12</c:v>
                </c:pt>
                <c:pt idx="184">
                  <c:v>4.2330868906469593E-12</c:v>
                </c:pt>
                <c:pt idx="185">
                  <c:v>4.2330868906469593E-12</c:v>
                </c:pt>
                <c:pt idx="186">
                  <c:v>4.2330868906469593E-12</c:v>
                </c:pt>
                <c:pt idx="187">
                  <c:v>4.2330868906469593E-12</c:v>
                </c:pt>
                <c:pt idx="188">
                  <c:v>4.2330868906469593E-12</c:v>
                </c:pt>
                <c:pt idx="189">
                  <c:v>4.2330868906469593E-12</c:v>
                </c:pt>
                <c:pt idx="190">
                  <c:v>4.2330868906469593E-12</c:v>
                </c:pt>
                <c:pt idx="191">
                  <c:v>4.2330868906469593E-12</c:v>
                </c:pt>
                <c:pt idx="192">
                  <c:v>4.2330868906469593E-12</c:v>
                </c:pt>
                <c:pt idx="193">
                  <c:v>4.2330868906469593E-12</c:v>
                </c:pt>
                <c:pt idx="194">
                  <c:v>4.2330868906469593E-12</c:v>
                </c:pt>
                <c:pt idx="195">
                  <c:v>4.2330868906469593E-12</c:v>
                </c:pt>
                <c:pt idx="196">
                  <c:v>4.2330868906469593E-12</c:v>
                </c:pt>
                <c:pt idx="197">
                  <c:v>4.2330868906469593E-12</c:v>
                </c:pt>
                <c:pt idx="198">
                  <c:v>4.2330868906469593E-12</c:v>
                </c:pt>
                <c:pt idx="199">
                  <c:v>4.2330868906469593E-12</c:v>
                </c:pt>
                <c:pt idx="200">
                  <c:v>4.2330868906469593E-12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vérification!$C$6</c:f>
              <c:strCache>
                <c:ptCount val="1"/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95C9-4A71-BA1D-3592B0F3DB1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95C9-4A71-BA1D-3592B0F3DB1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95C9-4A71-BA1D-3592B0F3DB1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95C9-4A71-BA1D-3592B0F3DB1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95C9-4A71-BA1D-3592B0F3DB18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95C9-4A71-BA1D-3592B0F3DB18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D-95C9-4A71-BA1D-3592B0F3DB18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F-95C9-4A71-BA1D-3592B0F3DB18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1-95C9-4A71-BA1D-3592B0F3DB1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numRef>
              <c:f>vérification!$D$5:$L$5</c:f>
              <c:numCache>
                <c:formatCode>General</c:formatCode>
                <c:ptCount val="9"/>
              </c:numCache>
            </c:numRef>
          </c:cat>
          <c:val>
            <c:numRef>
              <c:f>vérification!$D$6:$L$6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0-2028-42E2-A353-9C643656EFD9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2.8260430950859945</c:v>
                </c:pt>
                <c:pt idx="2">
                  <c:v>3.5759003231497637</c:v>
                </c:pt>
                <c:pt idx="3">
                  <c:v>4.5255002995239044</c:v>
                </c:pt>
                <c:pt idx="4">
                  <c:v>5.7282443202658717</c:v>
                </c:pt>
                <c:pt idx="5">
                  <c:v>7.2518592604219156</c:v>
                </c:pt>
                <c:pt idx="6">
                  <c:v>9.1822527263091143</c:v>
                </c:pt>
                <c:pt idx="7">
                  <c:v>11.628408677722552</c:v>
                </c:pt>
                <c:pt idx="8">
                  <c:v>14.728605078174702</c:v>
                </c:pt>
                <c:pt idx="9">
                  <c:v>18.658311506525539</c:v>
                </c:pt>
                <c:pt idx="10">
                  <c:v>23.640221801315761</c:v>
                </c:pt>
                <c:pt idx="11">
                  <c:v>29.957000365231504</c:v>
                </c:pt>
                <c:pt idx="12">
                  <c:v>37.967477930050322</c:v>
                </c:pt>
                <c:pt idx="13">
                  <c:v>48.127232535715684</c:v>
                </c:pt>
                <c:pt idx="14">
                  <c:v>61.014745876532061</c:v>
                </c:pt>
                <c:pt idx="15">
                  <c:v>77.364648864854644</c:v>
                </c:pt>
                <c:pt idx="16">
                  <c:v>98.109982167961064</c:v>
                </c:pt>
                <c:pt idx="17">
                  <c:v>124.4359216651272</c:v>
                </c:pt>
                <c:pt idx="18">
                  <c:v>157.84808591007513</c:v>
                </c:pt>
                <c:pt idx="19">
                  <c:v>200.25939181447754</c:v>
                </c:pt>
                <c:pt idx="20">
                  <c:v>254.10050561748861</c:v>
                </c:pt>
                <c:pt idx="21">
                  <c:v>182.85768498984825</c:v>
                </c:pt>
                <c:pt idx="22">
                  <c:v>205.9114029973158</c:v>
                </c:pt>
                <c:pt idx="23">
                  <c:v>228.90543935922889</c:v>
                </c:pt>
                <c:pt idx="24">
                  <c:v>251.84663251620748</c:v>
                </c:pt>
                <c:pt idx="25">
                  <c:v>274.74047191396772</c:v>
                </c:pt>
                <c:pt idx="26">
                  <c:v>226.64617327952342</c:v>
                </c:pt>
                <c:pt idx="27">
                  <c:v>248.08915865906408</c:v>
                </c:pt>
                <c:pt idx="28">
                  <c:v>269.49008678800777</c:v>
                </c:pt>
                <c:pt idx="29">
                  <c:v>290.85276623666175</c:v>
                </c:pt>
                <c:pt idx="30">
                  <c:v>312.18040027213078</c:v>
                </c:pt>
                <c:pt idx="31">
                  <c:v>262.7361980255701</c:v>
                </c:pt>
                <c:pt idx="32">
                  <c:v>282.61183805625041</c:v>
                </c:pt>
                <c:pt idx="33">
                  <c:v>302.45616879398887</c:v>
                </c:pt>
                <c:pt idx="34">
                  <c:v>322.27153269112591</c:v>
                </c:pt>
                <c:pt idx="35">
                  <c:v>342.05996063814399</c:v>
                </c:pt>
                <c:pt idx="36">
                  <c:v>292.72497100977256</c:v>
                </c:pt>
                <c:pt idx="37">
                  <c:v>310.68480797043964</c:v>
                </c:pt>
                <c:pt idx="38">
                  <c:v>328.62160871118186</c:v>
                </c:pt>
                <c:pt idx="39">
                  <c:v>346.53680717558655</c:v>
                </c:pt>
                <c:pt idx="40">
                  <c:v>364.43167696167421</c:v>
                </c:pt>
                <c:pt idx="41">
                  <c:v>318.90861058050911</c:v>
                </c:pt>
                <c:pt idx="42">
                  <c:v>334.96897652893739</c:v>
                </c:pt>
                <c:pt idx="43">
                  <c:v>351.01238382795628</c:v>
                </c:pt>
                <c:pt idx="44">
                  <c:v>367.03971658708974</c:v>
                </c:pt>
                <c:pt idx="45">
                  <c:v>383.05177541071203</c:v>
                </c:pt>
                <c:pt idx="46">
                  <c:v>339.82105523856922</c:v>
                </c:pt>
                <c:pt idx="47">
                  <c:v>354.36824410252279</c:v>
                </c:pt>
                <c:pt idx="48">
                  <c:v>368.90235411823818</c:v>
                </c:pt>
                <c:pt idx="49">
                  <c:v>383.42397311131032</c:v>
                </c:pt>
                <c:pt idx="50">
                  <c:v>397.93364074958498</c:v>
                </c:pt>
                <c:pt idx="51">
                  <c:v>358.46890629665108</c:v>
                </c:pt>
                <c:pt idx="52">
                  <c:v>371.1372483365563</c:v>
                </c:pt>
                <c:pt idx="53">
                  <c:v>383.79616295666915</c:v>
                </c:pt>
                <c:pt idx="54">
                  <c:v>396.44600495131112</c:v>
                </c:pt>
                <c:pt idx="55">
                  <c:v>409.08710462349336</c:v>
                </c:pt>
                <c:pt idx="56">
                  <c:v>373.74425409046017</c:v>
                </c:pt>
                <c:pt idx="57">
                  <c:v>384.91268544829819</c:v>
                </c:pt>
                <c:pt idx="58">
                  <c:v>396.07407711953482</c:v>
                </c:pt>
                <c:pt idx="59">
                  <c:v>407.22865549260922</c:v>
                </c:pt>
                <c:pt idx="60">
                  <c:v>418.37663353903241</c:v>
                </c:pt>
                <c:pt idx="61">
                  <c:v>387.145519509954</c:v>
                </c:pt>
                <c:pt idx="62">
                  <c:v>396.81792522211191</c:v>
                </c:pt>
                <c:pt idx="63">
                  <c:v>406.48522456571504</c:v>
                </c:pt>
                <c:pt idx="64">
                  <c:v>416.14755615430454</c:v>
                </c:pt>
                <c:pt idx="65">
                  <c:v>425.80505163704908</c:v>
                </c:pt>
                <c:pt idx="66">
                  <c:v>397.18983794003793</c:v>
                </c:pt>
                <c:pt idx="67">
                  <c:v>405.74176424723129</c:v>
                </c:pt>
                <c:pt idx="68">
                  <c:v>414.28979501974965</c:v>
                </c:pt>
                <c:pt idx="69">
                  <c:v>422.83402201018413</c:v>
                </c:pt>
                <c:pt idx="70">
                  <c:v>431.37453295867726</c:v>
                </c:pt>
                <c:pt idx="71">
                  <c:v>407.22865549260905</c:v>
                </c:pt>
                <c:pt idx="72">
                  <c:v>414.66136159701688</c:v>
                </c:pt>
                <c:pt idx="73">
                  <c:v>422.091194503304</c:v>
                </c:pt>
                <c:pt idx="74">
                  <c:v>429.51821195249204</c:v>
                </c:pt>
                <c:pt idx="75">
                  <c:v>436.94246952460418</c:v>
                </c:pt>
                <c:pt idx="76">
                  <c:v>415.77601826307938</c:v>
                </c:pt>
                <c:pt idx="77">
                  <c:v>422.46261177230502</c:v>
                </c:pt>
                <c:pt idx="78">
                  <c:v>429.14692708065189</c:v>
                </c:pt>
                <c:pt idx="79">
                  <c:v>435.82900470393224</c:v>
                </c:pt>
                <c:pt idx="80">
                  <c:v>442.5088838133741</c:v>
                </c:pt>
                <c:pt idx="81">
                  <c:v>423.9482106076087</c:v>
                </c:pt>
                <c:pt idx="82">
                  <c:v>429.51821195249204</c:v>
                </c:pt>
                <c:pt idx="83">
                  <c:v>435.0866609084182</c:v>
                </c:pt>
                <c:pt idx="84">
                  <c:v>440.65358016358778</c:v>
                </c:pt>
                <c:pt idx="85">
                  <c:v>446.21899178570357</c:v>
                </c:pt>
                <c:pt idx="86">
                  <c:v>428.77563530272073</c:v>
                </c:pt>
                <c:pt idx="87">
                  <c:v>433.60189168293056</c:v>
                </c:pt>
                <c:pt idx="88">
                  <c:v>438.42699459967213</c:v>
                </c:pt>
                <c:pt idx="89">
                  <c:v>443.25095855050739</c:v>
                </c:pt>
                <c:pt idx="90">
                  <c:v>448.07379769140431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3.1707548346542</c:v>
                </c:pt>
                <c:pt idx="2">
                  <c:v>3.8994070069335893</c:v>
                </c:pt>
                <c:pt idx="3">
                  <c:v>4.7961395743139903</c:v>
                </c:pt>
                <c:pt idx="4">
                  <c:v>5.8998617479716442</c:v>
                </c:pt>
                <c:pt idx="5">
                  <c:v>7.2585196858425398</c:v>
                </c:pt>
                <c:pt idx="6">
                  <c:v>8.9312018151497536</c:v>
                </c:pt>
                <c:pt idx="7">
                  <c:v>10.990736010102614</c:v>
                </c:pt>
                <c:pt idx="8">
                  <c:v>13.526893830411311</c:v>
                </c:pt>
                <c:pt idx="9">
                  <c:v>16.650344073811482</c:v>
                </c:pt>
                <c:pt idx="10">
                  <c:v>20.497531306964643</c:v>
                </c:pt>
                <c:pt idx="11">
                  <c:v>25.23669631396508</c:v>
                </c:pt>
                <c:pt idx="12">
                  <c:v>31.075306394532003</c:v>
                </c:pt>
                <c:pt idx="13">
                  <c:v>38.269226447074438</c:v>
                </c:pt>
                <c:pt idx="14">
                  <c:v>47.134039619059727</c:v>
                </c:pt>
                <c:pt idx="15">
                  <c:v>58.059022502120392</c:v>
                </c:pt>
                <c:pt idx="16">
                  <c:v>71.524398723990075</c:v>
                </c:pt>
                <c:pt idx="17">
                  <c:v>88.122641699910204</c:v>
                </c:pt>
                <c:pt idx="18">
                  <c:v>108.58477887574996</c:v>
                </c:pt>
                <c:pt idx="19">
                  <c:v>133.81287421387319</c:v>
                </c:pt>
                <c:pt idx="20">
                  <c:v>164.92014306911736</c:v>
                </c:pt>
                <c:pt idx="21">
                  <c:v>167.56178150748116</c:v>
                </c:pt>
                <c:pt idx="22">
                  <c:v>183.39157071786599</c:v>
                </c:pt>
                <c:pt idx="23">
                  <c:v>199.18941693696172</c:v>
                </c:pt>
                <c:pt idx="24">
                  <c:v>214.95821110174333</c:v>
                </c:pt>
                <c:pt idx="25">
                  <c:v>230.70038494007636</c:v>
                </c:pt>
                <c:pt idx="26">
                  <c:v>189.53880266603645</c:v>
                </c:pt>
                <c:pt idx="27">
                  <c:v>209.70501606431188</c:v>
                </c:pt>
                <c:pt idx="28">
                  <c:v>229.82648145953826</c:v>
                </c:pt>
                <c:pt idx="29">
                  <c:v>249.9076676355476</c:v>
                </c:pt>
                <c:pt idx="30">
                  <c:v>269.95226599480003</c:v>
                </c:pt>
                <c:pt idx="31">
                  <c:v>232.44796515158808</c:v>
                </c:pt>
                <c:pt idx="32">
                  <c:v>256.01191793762854</c:v>
                </c:pt>
                <c:pt idx="33">
                  <c:v>279.52680294324563</c:v>
                </c:pt>
                <c:pt idx="34">
                  <c:v>302.99732658461176</c:v>
                </c:pt>
                <c:pt idx="35">
                  <c:v>326.42740643086182</c:v>
                </c:pt>
                <c:pt idx="36">
                  <c:v>289.96337472940422</c:v>
                </c:pt>
                <c:pt idx="37">
                  <c:v>314.28330815365302</c:v>
                </c:pt>
                <c:pt idx="38">
                  <c:v>338.56152844098665</c:v>
                </c:pt>
                <c:pt idx="39">
                  <c:v>362.80144525672227</c:v>
                </c:pt>
                <c:pt idx="40">
                  <c:v>387.0059755941316</c:v>
                </c:pt>
                <c:pt idx="41">
                  <c:v>351.11892985232771</c:v>
                </c:pt>
                <c:pt idx="42">
                  <c:v>375.77238986983883</c:v>
                </c:pt>
                <c:pt idx="43">
                  <c:v>400.3906327370201</c:v>
                </c:pt>
                <c:pt idx="44">
                  <c:v>424.97612632602949</c:v>
                </c:pt>
                <c:pt idx="45">
                  <c:v>449.53102985794379</c:v>
                </c:pt>
                <c:pt idx="46">
                  <c:v>412.90299192267599</c:v>
                </c:pt>
                <c:pt idx="47">
                  <c:v>436.61108755732994</c:v>
                </c:pt>
                <c:pt idx="48">
                  <c:v>460.29157019967312</c:v>
                </c:pt>
                <c:pt idx="49">
                  <c:v>483.94605890429256</c:v>
                </c:pt>
                <c:pt idx="50">
                  <c:v>507.57600167435953</c:v>
                </c:pt>
                <c:pt idx="51">
                  <c:v>469.3262695994801</c:v>
                </c:pt>
                <c:pt idx="52">
                  <c:v>491.25241699045142</c:v>
                </c:pt>
                <c:pt idx="53">
                  <c:v>513.15781891487757</c:v>
                </c:pt>
                <c:pt idx="54">
                  <c:v>535.04348473955281</c:v>
                </c:pt>
                <c:pt idx="55">
                  <c:v>556.91033459423954</c:v>
                </c:pt>
                <c:pt idx="56">
                  <c:v>517.02140203717238</c:v>
                </c:pt>
                <c:pt idx="57">
                  <c:v>537.18811127897277</c:v>
                </c:pt>
                <c:pt idx="58">
                  <c:v>557.33891405416773</c:v>
                </c:pt>
                <c:pt idx="59">
                  <c:v>577.47446592353515</c:v>
                </c:pt>
                <c:pt idx="60">
                  <c:v>597.59537304263779</c:v>
                </c:pt>
                <c:pt idx="61">
                  <c:v>556.48174822611588</c:v>
                </c:pt>
                <c:pt idx="62">
                  <c:v>575.33309228627434</c:v>
                </c:pt>
                <c:pt idx="63">
                  <c:v>594.17154727265404</c:v>
                </c:pt>
                <c:pt idx="64">
                  <c:v>612.99757903900309</c:v>
                </c:pt>
                <c:pt idx="65">
                  <c:v>631.81162251582646</c:v>
                </c:pt>
                <c:pt idx="66">
                  <c:v>589.46311584770126</c:v>
                </c:pt>
                <c:pt idx="67">
                  <c:v>607.00879854794766</c:v>
                </c:pt>
                <c:pt idx="68">
                  <c:v>624.54395486132705</c:v>
                </c:pt>
                <c:pt idx="69">
                  <c:v>642.06892172602977</c:v>
                </c:pt>
                <c:pt idx="70">
                  <c:v>659.58401620212555</c:v>
                </c:pt>
                <c:pt idx="71">
                  <c:v>615.99151338618674</c:v>
                </c:pt>
                <c:pt idx="72">
                  <c:v>632.23907832556176</c:v>
                </c:pt>
                <c:pt idx="73">
                  <c:v>648.4780121795651</c:v>
                </c:pt>
                <c:pt idx="74">
                  <c:v>664.70856137271755</c:v>
                </c:pt>
                <c:pt idx="75">
                  <c:v>680.93095932318113</c:v>
                </c:pt>
                <c:pt idx="76">
                  <c:v>636.51330847982445</c:v>
                </c:pt>
                <c:pt idx="77">
                  <c:v>651.89565867529132</c:v>
                </c:pt>
                <c:pt idx="78">
                  <c:v>667.27052872062916</c:v>
                </c:pt>
                <c:pt idx="79">
                  <c:v>682.63811513058772</c:v>
                </c:pt>
                <c:pt idx="80">
                  <c:v>697.99860485695501</c:v>
                </c:pt>
                <c:pt idx="81">
                  <c:v>652.75001250200114</c:v>
                </c:pt>
                <c:pt idx="82">
                  <c:v>667.27052872062916</c:v>
                </c:pt>
                <c:pt idx="83">
                  <c:v>681.78454819307183</c:v>
                </c:pt>
                <c:pt idx="84">
                  <c:v>696.29222861974176</c:v>
                </c:pt>
                <c:pt idx="85">
                  <c:v>710.79372059813113</c:v>
                </c:pt>
                <c:pt idx="86">
                  <c:v>664.70856137271755</c:v>
                </c:pt>
                <c:pt idx="87">
                  <c:v>678.37006080489357</c:v>
                </c:pt>
                <c:pt idx="88">
                  <c:v>692.0259128007566</c:v>
                </c:pt>
                <c:pt idx="89">
                  <c:v>705.67624443748446</c:v>
                </c:pt>
                <c:pt idx="90">
                  <c:v>719.32117747825203</c:v>
                </c:pt>
                <c:pt idx="91">
                  <c:v>672.39385739452007</c:v>
                </c:pt>
                <c:pt idx="92">
                  <c:v>685.19868466154992</c:v>
                </c:pt>
                <c:pt idx="93">
                  <c:v>697.99860485695478</c:v>
                </c:pt>
                <c:pt idx="94">
                  <c:v>710.79372059813079</c:v>
                </c:pt>
                <c:pt idx="95">
                  <c:v>723.58413050890977</c:v>
                </c:pt>
                <c:pt idx="96">
                  <c:v>676.23582709036771</c:v>
                </c:pt>
                <c:pt idx="97">
                  <c:v>688.61247220601751</c:v>
                </c:pt>
                <c:pt idx="98">
                  <c:v>700.98455790524156</c:v>
                </c:pt>
                <c:pt idx="99">
                  <c:v>713.3521759584537</c:v>
                </c:pt>
                <c:pt idx="100">
                  <c:v>725.71541469625208</c:v>
                </c:pt>
                <c:pt idx="101">
                  <c:v>679.6505348264443</c:v>
                </c:pt>
                <c:pt idx="102">
                  <c:v>691.17258507143549</c:v>
                </c:pt>
                <c:pt idx="103">
                  <c:v>702.69069984530972</c:v>
                </c:pt>
                <c:pt idx="104">
                  <c:v>714.20495271831226</c:v>
                </c:pt>
                <c:pt idx="105">
                  <c:v>725.71541469625174</c:v>
                </c:pt>
                <c:pt idx="106">
                  <c:v>680.93095932318067</c:v>
                </c:pt>
                <c:pt idx="107">
                  <c:v>691.59925163326625</c:v>
                </c:pt>
                <c:pt idx="108">
                  <c:v>702.26417231534106</c:v>
                </c:pt>
                <c:pt idx="109">
                  <c:v>712.92577976987479</c:v>
                </c:pt>
                <c:pt idx="110">
                  <c:v>723.58413050890942</c:v>
                </c:pt>
                <c:pt idx="111">
                  <c:v>680.07734848952111</c:v>
                </c:pt>
                <c:pt idx="112">
                  <c:v>689.89255298185071</c:v>
                </c:pt>
                <c:pt idx="113">
                  <c:v>699.70489568745631</c:v>
                </c:pt>
                <c:pt idx="114">
                  <c:v>709.51442238342361</c:v>
                </c:pt>
                <c:pt idx="115">
                  <c:v>719.32117747825214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2.8409897721730037</c:v>
                </c:pt>
                <c:pt idx="2">
                  <c:v>3.4936137767656628</c:v>
                </c:pt>
                <c:pt idx="3">
                  <c:v>4.2967268910058536</c:v>
                </c:pt>
                <c:pt idx="4">
                  <c:v>5.2851544779514645</c:v>
                </c:pt>
                <c:pt idx="5">
                  <c:v>6.5018078390654601</c:v>
                </c:pt>
                <c:pt idx="6">
                  <c:v>7.9995674433027766</c:v>
                </c:pt>
                <c:pt idx="7">
                  <c:v>9.8436060094228282</c:v>
                </c:pt>
                <c:pt idx="8">
                  <c:v>12.11425444224588</c:v>
                </c:pt>
                <c:pt idx="9">
                  <c:v>14.910537800434229</c:v>
                </c:pt>
                <c:pt idx="10">
                  <c:v>18.354538337341264</c:v>
                </c:pt>
                <c:pt idx="11">
                  <c:v>22.596779547894098</c:v>
                </c:pt>
                <c:pt idx="12">
                  <c:v>27.822870730174767</c:v>
                </c:pt>
                <c:pt idx="13">
                  <c:v>34.261707878436859</c:v>
                </c:pt>
                <c:pt idx="14">
                  <c:v>42.195596296668306</c:v>
                </c:pt>
                <c:pt idx="15">
                  <c:v>51.972746288714539</c:v>
                </c:pt>
                <c:pt idx="16">
                  <c:v>64.022699512524582</c:v>
                </c:pt>
                <c:pt idx="17">
                  <c:v>78.875374867413711</c:v>
                </c:pt>
                <c:pt idx="18">
                  <c:v>97.184585031159045</c:v>
                </c:pt>
                <c:pt idx="19">
                  <c:v>119.75707529474329</c:v>
                </c:pt>
                <c:pt idx="20">
                  <c:v>147.58838420434714</c:v>
                </c:pt>
                <c:pt idx="21">
                  <c:v>149.95176191502506</c:v>
                </c:pt>
                <c:pt idx="22">
                  <c:v>164.11390630042692</c:v>
                </c:pt>
                <c:pt idx="23">
                  <c:v>178.24716715271646</c:v>
                </c:pt>
                <c:pt idx="24">
                  <c:v>192.35415851868379</c:v>
                </c:pt>
                <c:pt idx="25">
                  <c:v>206.43707921846078</c:v>
                </c:pt>
                <c:pt idx="26">
                  <c:v>169.613452288893</c:v>
                </c:pt>
                <c:pt idx="27">
                  <c:v>187.65460373716556</c:v>
                </c:pt>
                <c:pt idx="28">
                  <c:v>205.65529308794461</c:v>
                </c:pt>
                <c:pt idx="29">
                  <c:v>223.61956111075639</c:v>
                </c:pt>
                <c:pt idx="30">
                  <c:v>241.55074565033269</c:v>
                </c:pt>
                <c:pt idx="31">
                  <c:v>208.00044644770739</c:v>
                </c:pt>
                <c:pt idx="32">
                  <c:v>229.08024217931529</c:v>
                </c:pt>
                <c:pt idx="33">
                  <c:v>250.11566977871598</c:v>
                </c:pt>
                <c:pt idx="34">
                  <c:v>271.11098488765998</c:v>
                </c:pt>
                <c:pt idx="35">
                  <c:v>292.06972985560316</c:v>
                </c:pt>
                <c:pt idx="36">
                  <c:v>259.45164815796994</c:v>
                </c:pt>
                <c:pt idx="37">
                  <c:v>281.20660167429202</c:v>
                </c:pt>
                <c:pt idx="38">
                  <c:v>302.9238372837217</c:v>
                </c:pt>
                <c:pt idx="39">
                  <c:v>324.60643807826506</c:v>
                </c:pt>
                <c:pt idx="40">
                  <c:v>346.25704166537031</c:v>
                </c:pt>
                <c:pt idx="41">
                  <c:v>314.15647495690467</c:v>
                </c:pt>
                <c:pt idx="42">
                  <c:v>336.20880231759617</c:v>
                </c:pt>
                <c:pt idx="43">
                  <c:v>358.22928558083089</c:v>
                </c:pt>
                <c:pt idx="44">
                  <c:v>380.22015624917964</c:v>
                </c:pt>
                <c:pt idx="45">
                  <c:v>402.18336673633218</c:v>
                </c:pt>
                <c:pt idx="46">
                  <c:v>369.42119511414558</c:v>
                </c:pt>
                <c:pt idx="47">
                  <c:v>390.62711987431999</c:v>
                </c:pt>
                <c:pt idx="48">
                  <c:v>411.80807637868764</c:v>
                </c:pt>
                <c:pt idx="49">
                  <c:v>432.96552861089231</c:v>
                </c:pt>
                <c:pt idx="50">
                  <c:v>454.10078588624395</c:v>
                </c:pt>
                <c:pt idx="51">
                  <c:v>419.88907590240791</c:v>
                </c:pt>
                <c:pt idx="52">
                  <c:v>439.50055712660469</c:v>
                </c:pt>
                <c:pt idx="53">
                  <c:v>459.09327985807062</c:v>
                </c:pt>
                <c:pt idx="54">
                  <c:v>478.66815678776129</c:v>
                </c:pt>
                <c:pt idx="55">
                  <c:v>498.22601991660639</c:v>
                </c:pt>
                <c:pt idx="56">
                  <c:v>462.54894196327677</c:v>
                </c:pt>
                <c:pt idx="57">
                  <c:v>480.58633375842032</c:v>
                </c:pt>
                <c:pt idx="58">
                  <c:v>498.60934258765002</c:v>
                </c:pt>
                <c:pt idx="59">
                  <c:v>516.61856122298457</c:v>
                </c:pt>
                <c:pt idx="60">
                  <c:v>534.61453776319524</c:v>
                </c:pt>
                <c:pt idx="61">
                  <c:v>497.84269099902531</c:v>
                </c:pt>
                <c:pt idx="62">
                  <c:v>514.70332559574479</c:v>
                </c:pt>
                <c:pt idx="63">
                  <c:v>531.55230561741564</c:v>
                </c:pt>
                <c:pt idx="64">
                  <c:v>548.39005229891859</c:v>
                </c:pt>
                <c:pt idx="65">
                  <c:v>565.21695891368086</c:v>
                </c:pt>
                <c:pt idx="66">
                  <c:v>527.34112969241028</c:v>
                </c:pt>
                <c:pt idx="67">
                  <c:v>543.03378149300659</c:v>
                </c:pt>
                <c:pt idx="68">
                  <c:v>558.71691511038489</c:v>
                </c:pt>
                <c:pt idx="69">
                  <c:v>574.39083521123348</c:v>
                </c:pt>
                <c:pt idx="70">
                  <c:v>590.05582848802067</c:v>
                </c:pt>
                <c:pt idx="71">
                  <c:v>551.067775468881</c:v>
                </c:pt>
                <c:pt idx="72">
                  <c:v>565.5992655562859</c:v>
                </c:pt>
                <c:pt idx="73">
                  <c:v>580.12295123245474</c:v>
                </c:pt>
                <c:pt idx="74">
                  <c:v>594.63905531968851</c:v>
                </c:pt>
                <c:pt idx="75">
                  <c:v>609.14778887966054</c:v>
                </c:pt>
                <c:pt idx="76">
                  <c:v>569.42203544921165</c:v>
                </c:pt>
                <c:pt idx="77">
                  <c:v>583.17959594683214</c:v>
                </c:pt>
                <c:pt idx="78">
                  <c:v>596.93039273337797</c:v>
                </c:pt>
                <c:pt idx="79">
                  <c:v>610.67460350167164</c:v>
                </c:pt>
                <c:pt idx="80">
                  <c:v>624.41239729750225</c:v>
                </c:pt>
                <c:pt idx="81">
                  <c:v>583.94370486394735</c:v>
                </c:pt>
                <c:pt idx="82">
                  <c:v>596.93039273337797</c:v>
                </c:pt>
                <c:pt idx="83">
                  <c:v>609.91120610652649</c:v>
                </c:pt>
                <c:pt idx="84">
                  <c:v>622.88628757946492</c:v>
                </c:pt>
                <c:pt idx="85">
                  <c:v>635.85577332565333</c:v>
                </c:pt>
                <c:pt idx="86">
                  <c:v>594.63905531968851</c:v>
                </c:pt>
                <c:pt idx="87">
                  <c:v>606.85741792448357</c:v>
                </c:pt>
                <c:pt idx="88">
                  <c:v>619.07067399707296</c:v>
                </c:pt>
                <c:pt idx="89">
                  <c:v>631.27893844334869</c:v>
                </c:pt>
                <c:pt idx="90">
                  <c:v>643.48232136416652</c:v>
                </c:pt>
                <c:pt idx="91">
                  <c:v>601.51251958281716</c:v>
                </c:pt>
                <c:pt idx="92">
                  <c:v>612.96467697950186</c:v>
                </c:pt>
                <c:pt idx="93">
                  <c:v>624.41239729750214</c:v>
                </c:pt>
                <c:pt idx="94">
                  <c:v>635.85577332565333</c:v>
                </c:pt>
                <c:pt idx="95">
                  <c:v>647.29489424172459</c:v>
                </c:pt>
                <c:pt idx="96">
                  <c:v>604.94863836746197</c:v>
                </c:pt>
                <c:pt idx="97">
                  <c:v>616.01783234795482</c:v>
                </c:pt>
                <c:pt idx="98">
                  <c:v>627.08290360699959</c:v>
                </c:pt>
                <c:pt idx="99">
                  <c:v>638.14393512535923</c:v>
                </c:pt>
                <c:pt idx="100">
                  <c:v>649.2010067734418</c:v>
                </c:pt>
                <c:pt idx="101">
                  <c:v>608.00262579276773</c:v>
                </c:pt>
                <c:pt idx="102">
                  <c:v>618.30749289907283</c:v>
                </c:pt>
                <c:pt idx="103">
                  <c:v>628.60880146856778</c:v>
                </c:pt>
                <c:pt idx="104">
                  <c:v>638.90661802503598</c:v>
                </c:pt>
                <c:pt idx="105">
                  <c:v>649.20100677344158</c:v>
                </c:pt>
                <c:pt idx="106">
                  <c:v>609.14778887966042</c:v>
                </c:pt>
                <c:pt idx="107">
                  <c:v>618.68908588691181</c:v>
                </c:pt>
                <c:pt idx="108">
                  <c:v>628.22733419630015</c:v>
                </c:pt>
                <c:pt idx="109">
                  <c:v>637.76258661477357</c:v>
                </c:pt>
                <c:pt idx="110">
                  <c:v>647.29489424172459</c:v>
                </c:pt>
                <c:pt idx="111">
                  <c:v>608.38435179268674</c:v>
                </c:pt>
                <c:pt idx="112">
                  <c:v>617.16268463508527</c:v>
                </c:pt>
                <c:pt idx="113">
                  <c:v>625.93842978897146</c:v>
                </c:pt>
                <c:pt idx="114">
                  <c:v>634.71162864696146</c:v>
                </c:pt>
                <c:pt idx="115">
                  <c:v>643.48232136416652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2.3771589152136832</c:v>
                </c:pt>
                <c:pt idx="2">
                  <c:v>2.9949424842304286</c:v>
                </c:pt>
                <c:pt idx="3">
                  <c:v>3.7739077794462492</c:v>
                </c:pt>
                <c:pt idx="4">
                  <c:v>4.7562627052095419</c:v>
                </c:pt>
                <c:pt idx="5">
                  <c:v>5.9953059624826457</c:v>
                </c:pt>
                <c:pt idx="6">
                  <c:v>7.5583506142245538</c:v>
                </c:pt>
                <c:pt idx="7">
                  <c:v>9.5304205700421178</c:v>
                </c:pt>
                <c:pt idx="8">
                  <c:v>12.018924879161736</c:v>
                </c:pt>
                <c:pt idx="9">
                  <c:v>15.159569166298086</c:v>
                </c:pt>
                <c:pt idx="10">
                  <c:v>19.123832490408656</c:v>
                </c:pt>
                <c:pt idx="11">
                  <c:v>37.129924657008708</c:v>
                </c:pt>
                <c:pt idx="12">
                  <c:v>54.88875090739392</c:v>
                </c:pt>
                <c:pt idx="13">
                  <c:v>72.494513498617124</c:v>
                </c:pt>
                <c:pt idx="14">
                  <c:v>89.990173613778268</c:v>
                </c:pt>
                <c:pt idx="15">
                  <c:v>107.40030981071855</c:v>
                </c:pt>
                <c:pt idx="16">
                  <c:v>77.688553841510227</c:v>
                </c:pt>
                <c:pt idx="17">
                  <c:v>99.671872945964807</c:v>
                </c:pt>
                <c:pt idx="18">
                  <c:v>121.53429599198023</c:v>
                </c:pt>
                <c:pt idx="19">
                  <c:v>143.30074516716834</c:v>
                </c:pt>
                <c:pt idx="20">
                  <c:v>164.98788980812969</c:v>
                </c:pt>
                <c:pt idx="21">
                  <c:v>132.74841047655565</c:v>
                </c:pt>
                <c:pt idx="22">
                  <c:v>156.3854681167081</c:v>
                </c:pt>
                <c:pt idx="23">
                  <c:v>179.93756030525927</c:v>
                </c:pt>
                <c:pt idx="24">
                  <c:v>203.41738632243269</c:v>
                </c:pt>
                <c:pt idx="25">
                  <c:v>226.83446508061596</c:v>
                </c:pt>
                <c:pt idx="26">
                  <c:v>193.90658129898392</c:v>
                </c:pt>
                <c:pt idx="27">
                  <c:v>216.39895226118747</c:v>
                </c:pt>
                <c:pt idx="28">
                  <c:v>238.83753816737965</c:v>
                </c:pt>
                <c:pt idx="29">
                  <c:v>261.22810222114174</c:v>
                </c:pt>
                <c:pt idx="30">
                  <c:v>283.57533816627659</c:v>
                </c:pt>
                <c:pt idx="31">
                  <c:v>248.93470217300001</c:v>
                </c:pt>
                <c:pt idx="32">
                  <c:v>269.41640439620915</c:v>
                </c:pt>
                <c:pt idx="33">
                  <c:v>289.86306359345826</c:v>
                </c:pt>
                <c:pt idx="34">
                  <c:v>310.27749848041276</c:v>
                </c:pt>
                <c:pt idx="35">
                  <c:v>330.66212656242277</c:v>
                </c:pt>
                <c:pt idx="36">
                  <c:v>293.63423101263379</c:v>
                </c:pt>
                <c:pt idx="37">
                  <c:v>311.53277495970787</c:v>
                </c:pt>
                <c:pt idx="38">
                  <c:v>329.40850810618275</c:v>
                </c:pt>
                <c:pt idx="39">
                  <c:v>347.26284215565835</c:v>
                </c:pt>
                <c:pt idx="40">
                  <c:v>365.09703181844537</c:v>
                </c:pt>
                <c:pt idx="41">
                  <c:v>325.64701898414177</c:v>
                </c:pt>
                <c:pt idx="42">
                  <c:v>341.00051892831272</c:v>
                </c:pt>
                <c:pt idx="43">
                  <c:v>356.33882114313155</c:v>
                </c:pt>
                <c:pt idx="44">
                  <c:v>371.66267184297823</c:v>
                </c:pt>
                <c:pt idx="45">
                  <c:v>386.97275069119178</c:v>
                </c:pt>
                <c:pt idx="46">
                  <c:v>362.59515964305297</c:v>
                </c:pt>
                <c:pt idx="47">
                  <c:v>375.72584517041173</c:v>
                </c:pt>
                <c:pt idx="48">
                  <c:v>388.84653859104043</c:v>
                </c:pt>
                <c:pt idx="49">
                  <c:v>401.95762458122357</c:v>
                </c:pt>
                <c:pt idx="50">
                  <c:v>415.05946067388413</c:v>
                </c:pt>
                <c:pt idx="51">
                  <c:v>396.96403469017787</c:v>
                </c:pt>
                <c:pt idx="52">
                  <c:v>408.50967750203745</c:v>
                </c:pt>
                <c:pt idx="53">
                  <c:v>420.04827352578377</c:v>
                </c:pt>
                <c:pt idx="54">
                  <c:v>431.5800436444527</c:v>
                </c:pt>
                <c:pt idx="55">
                  <c:v>443.10519597267603</c:v>
                </c:pt>
                <c:pt idx="56">
                  <c:v>428.1523799882828</c:v>
                </c:pt>
                <c:pt idx="57">
                  <c:v>438.12214558348154</c:v>
                </c:pt>
                <c:pt idx="58">
                  <c:v>448.08704571295783</c:v>
                </c:pt>
                <c:pt idx="59">
                  <c:v>458.04720386038417</c:v>
                </c:pt>
                <c:pt idx="60">
                  <c:v>468.00273769986552</c:v>
                </c:pt>
                <c:pt idx="61">
                  <c:v>454.31269266448356</c:v>
                </c:pt>
                <c:pt idx="62">
                  <c:v>462.40331218251168</c:v>
                </c:pt>
                <c:pt idx="63">
                  <c:v>470.49091188062221</c:v>
                </c:pt>
                <c:pt idx="64">
                  <c:v>478.57555101045619</c:v>
                </c:pt>
                <c:pt idx="65">
                  <c:v>486.65728665768989</c:v>
                </c:pt>
                <c:pt idx="66">
                  <c:v>473.28977290181297</c:v>
                </c:pt>
                <c:pt idx="67">
                  <c:v>480.12995470835148</c:v>
                </c:pt>
                <c:pt idx="68">
                  <c:v>486.96806541364276</c:v>
                </c:pt>
                <c:pt idx="69">
                  <c:v>493.80413821749539</c:v>
                </c:pt>
                <c:pt idx="70">
                  <c:v>500.63820532506901</c:v>
                </c:pt>
                <c:pt idx="71">
                  <c:v>486.96806541364259</c:v>
                </c:pt>
                <c:pt idx="72">
                  <c:v>493.49345138740449</c:v>
                </c:pt>
                <c:pt idx="73">
                  <c:v>500.01700854862014</c:v>
                </c:pt>
                <c:pt idx="74">
                  <c:v>506.53876413484659</c:v>
                </c:pt>
                <c:pt idx="75">
                  <c:v>513.05874462471149</c:v>
                </c:pt>
                <c:pt idx="76">
                  <c:v>500.01700854862014</c:v>
                </c:pt>
                <c:pt idx="77">
                  <c:v>505.60719405430768</c:v>
                </c:pt>
                <c:pt idx="78">
                  <c:v>511.19607267363199</c:v>
                </c:pt>
                <c:pt idx="79">
                  <c:v>516.78366071868209</c:v>
                </c:pt>
                <c:pt idx="80">
                  <c:v>522.36997411983293</c:v>
                </c:pt>
                <c:pt idx="81">
                  <c:v>505.29666263090093</c:v>
                </c:pt>
                <c:pt idx="82">
                  <c:v>505.29666263090093</c:v>
                </c:pt>
                <c:pt idx="83">
                  <c:v>505.29666263090093</c:v>
                </c:pt>
                <c:pt idx="84">
                  <c:v>505.29666263090093</c:v>
                </c:pt>
                <c:pt idx="85">
                  <c:v>505.29666263090093</c:v>
                </c:pt>
                <c:pt idx="86">
                  <c:v>505.29666263090093</c:v>
                </c:pt>
                <c:pt idx="87">
                  <c:v>505.29666263090093</c:v>
                </c:pt>
                <c:pt idx="88">
                  <c:v>505.29666263090093</c:v>
                </c:pt>
                <c:pt idx="89">
                  <c:v>505.29666263090093</c:v>
                </c:pt>
                <c:pt idx="90">
                  <c:v>505.29666263090093</c:v>
                </c:pt>
                <c:pt idx="91">
                  <c:v>505.29666263090093</c:v>
                </c:pt>
                <c:pt idx="92">
                  <c:v>505.29666263090093</c:v>
                </c:pt>
                <c:pt idx="93">
                  <c:v>505.29666263090093</c:v>
                </c:pt>
                <c:pt idx="94">
                  <c:v>505.29666263090093</c:v>
                </c:pt>
                <c:pt idx="95">
                  <c:v>505.29666263090093</c:v>
                </c:pt>
                <c:pt idx="96">
                  <c:v>505.29666263090093</c:v>
                </c:pt>
                <c:pt idx="97">
                  <c:v>505.29666263090093</c:v>
                </c:pt>
                <c:pt idx="98">
                  <c:v>505.29666263090093</c:v>
                </c:pt>
                <c:pt idx="99">
                  <c:v>505.29666263090093</c:v>
                </c:pt>
                <c:pt idx="100">
                  <c:v>505.29666263090093</c:v>
                </c:pt>
                <c:pt idx="101">
                  <c:v>505.29666263090093</c:v>
                </c:pt>
                <c:pt idx="102">
                  <c:v>505.29666263090093</c:v>
                </c:pt>
                <c:pt idx="103">
                  <c:v>505.29666263090093</c:v>
                </c:pt>
                <c:pt idx="104">
                  <c:v>505.29666263090093</c:v>
                </c:pt>
                <c:pt idx="105">
                  <c:v>505.29666263090093</c:v>
                </c:pt>
                <c:pt idx="106">
                  <c:v>505.29666263090093</c:v>
                </c:pt>
                <c:pt idx="107">
                  <c:v>505.29666263090093</c:v>
                </c:pt>
                <c:pt idx="108">
                  <c:v>505.29666263090093</c:v>
                </c:pt>
                <c:pt idx="109">
                  <c:v>505.29666263090093</c:v>
                </c:pt>
                <c:pt idx="110">
                  <c:v>505.29666263090093</c:v>
                </c:pt>
                <c:pt idx="111">
                  <c:v>505.29666263090093</c:v>
                </c:pt>
                <c:pt idx="112">
                  <c:v>505.29666263090093</c:v>
                </c:pt>
                <c:pt idx="113">
                  <c:v>505.29666263090093</c:v>
                </c:pt>
                <c:pt idx="114">
                  <c:v>505.29666263090093</c:v>
                </c:pt>
                <c:pt idx="115">
                  <c:v>505.29666263090093</c:v>
                </c:pt>
                <c:pt idx="116">
                  <c:v>505.29666263090093</c:v>
                </c:pt>
                <c:pt idx="117">
                  <c:v>505.29666263090093</c:v>
                </c:pt>
                <c:pt idx="118">
                  <c:v>505.29666263090093</c:v>
                </c:pt>
                <c:pt idx="119">
                  <c:v>505.29666263090093</c:v>
                </c:pt>
                <c:pt idx="120">
                  <c:v>505.29666263090093</c:v>
                </c:pt>
                <c:pt idx="121">
                  <c:v>505.29666263090093</c:v>
                </c:pt>
                <c:pt idx="122">
                  <c:v>505.29666263090093</c:v>
                </c:pt>
                <c:pt idx="123">
                  <c:v>505.29666263090093</c:v>
                </c:pt>
                <c:pt idx="124">
                  <c:v>505.29666263090093</c:v>
                </c:pt>
                <c:pt idx="125">
                  <c:v>505.29666263090093</c:v>
                </c:pt>
                <c:pt idx="126">
                  <c:v>505.29666263090093</c:v>
                </c:pt>
                <c:pt idx="127">
                  <c:v>505.29666263090093</c:v>
                </c:pt>
                <c:pt idx="128">
                  <c:v>505.29666263090093</c:v>
                </c:pt>
                <c:pt idx="129">
                  <c:v>505.29666263090093</c:v>
                </c:pt>
                <c:pt idx="130">
                  <c:v>505.29666263090093</c:v>
                </c:pt>
                <c:pt idx="131">
                  <c:v>505.29666263090093</c:v>
                </c:pt>
                <c:pt idx="132">
                  <c:v>505.29666263090093</c:v>
                </c:pt>
                <c:pt idx="133">
                  <c:v>505.29666263090093</c:v>
                </c:pt>
                <c:pt idx="134">
                  <c:v>505.29666263090093</c:v>
                </c:pt>
                <c:pt idx="135">
                  <c:v>505.29666263090093</c:v>
                </c:pt>
                <c:pt idx="136">
                  <c:v>505.29666263090093</c:v>
                </c:pt>
                <c:pt idx="137">
                  <c:v>505.29666263090093</c:v>
                </c:pt>
                <c:pt idx="138">
                  <c:v>505.29666263090093</c:v>
                </c:pt>
                <c:pt idx="139">
                  <c:v>505.29666263090093</c:v>
                </c:pt>
                <c:pt idx="140">
                  <c:v>505.29666263090093</c:v>
                </c:pt>
                <c:pt idx="141">
                  <c:v>505.29666263090093</c:v>
                </c:pt>
                <c:pt idx="142">
                  <c:v>505.29666263090093</c:v>
                </c:pt>
                <c:pt idx="143">
                  <c:v>505.29666263090093</c:v>
                </c:pt>
                <c:pt idx="144">
                  <c:v>505.29666263090093</c:v>
                </c:pt>
                <c:pt idx="145">
                  <c:v>505.29666263090093</c:v>
                </c:pt>
                <c:pt idx="146">
                  <c:v>505.29666263090093</c:v>
                </c:pt>
                <c:pt idx="147">
                  <c:v>505.29666263090093</c:v>
                </c:pt>
                <c:pt idx="148">
                  <c:v>505.29666263090093</c:v>
                </c:pt>
                <c:pt idx="149">
                  <c:v>505.29666263090093</c:v>
                </c:pt>
                <c:pt idx="150">
                  <c:v>505.29666263090093</c:v>
                </c:pt>
                <c:pt idx="151">
                  <c:v>505.29666263090093</c:v>
                </c:pt>
                <c:pt idx="152">
                  <c:v>505.29666263090093</c:v>
                </c:pt>
                <c:pt idx="153">
                  <c:v>505.29666263090093</c:v>
                </c:pt>
                <c:pt idx="154">
                  <c:v>505.29666263090093</c:v>
                </c:pt>
                <c:pt idx="155">
                  <c:v>505.29666263090093</c:v>
                </c:pt>
                <c:pt idx="156">
                  <c:v>505.29666263090093</c:v>
                </c:pt>
                <c:pt idx="157">
                  <c:v>505.29666263090093</c:v>
                </c:pt>
                <c:pt idx="158">
                  <c:v>505.29666263090093</c:v>
                </c:pt>
                <c:pt idx="159">
                  <c:v>505.29666263090093</c:v>
                </c:pt>
                <c:pt idx="160">
                  <c:v>505.29666263090093</c:v>
                </c:pt>
                <c:pt idx="161">
                  <c:v>505.29666263090093</c:v>
                </c:pt>
                <c:pt idx="162">
                  <c:v>505.29666263090093</c:v>
                </c:pt>
                <c:pt idx="163">
                  <c:v>505.29666263090093</c:v>
                </c:pt>
                <c:pt idx="164">
                  <c:v>505.29666263090093</c:v>
                </c:pt>
                <c:pt idx="165">
                  <c:v>505.29666263090093</c:v>
                </c:pt>
                <c:pt idx="166">
                  <c:v>505.29666263090093</c:v>
                </c:pt>
                <c:pt idx="167">
                  <c:v>505.29666263090093</c:v>
                </c:pt>
                <c:pt idx="168">
                  <c:v>505.29666263090093</c:v>
                </c:pt>
                <c:pt idx="169">
                  <c:v>505.29666263090093</c:v>
                </c:pt>
                <c:pt idx="170">
                  <c:v>505.29666263090093</c:v>
                </c:pt>
                <c:pt idx="171">
                  <c:v>505.29666263090093</c:v>
                </c:pt>
                <c:pt idx="172">
                  <c:v>505.29666263090093</c:v>
                </c:pt>
                <c:pt idx="173">
                  <c:v>505.29666263090093</c:v>
                </c:pt>
                <c:pt idx="174">
                  <c:v>505.29666263090093</c:v>
                </c:pt>
                <c:pt idx="175">
                  <c:v>505.29666263090093</c:v>
                </c:pt>
                <c:pt idx="176">
                  <c:v>505.29666263090093</c:v>
                </c:pt>
                <c:pt idx="177">
                  <c:v>505.29666263090093</c:v>
                </c:pt>
                <c:pt idx="178">
                  <c:v>505.29666263090093</c:v>
                </c:pt>
                <c:pt idx="179">
                  <c:v>505.29666263090093</c:v>
                </c:pt>
                <c:pt idx="180">
                  <c:v>505.29666263090093</c:v>
                </c:pt>
                <c:pt idx="181">
                  <c:v>505.29666263090093</c:v>
                </c:pt>
                <c:pt idx="182">
                  <c:v>505.29666263090093</c:v>
                </c:pt>
                <c:pt idx="183">
                  <c:v>505.29666263090093</c:v>
                </c:pt>
                <c:pt idx="184">
                  <c:v>505.29666263090093</c:v>
                </c:pt>
                <c:pt idx="185">
                  <c:v>505.29666263090093</c:v>
                </c:pt>
                <c:pt idx="186">
                  <c:v>505.29666263090093</c:v>
                </c:pt>
                <c:pt idx="187">
                  <c:v>505.29666263090093</c:v>
                </c:pt>
                <c:pt idx="188">
                  <c:v>505.29666263090093</c:v>
                </c:pt>
                <c:pt idx="189">
                  <c:v>505.29666263090093</c:v>
                </c:pt>
                <c:pt idx="190">
                  <c:v>505.29666263090093</c:v>
                </c:pt>
                <c:pt idx="191">
                  <c:v>505.29666263090093</c:v>
                </c:pt>
                <c:pt idx="192">
                  <c:v>505.29666263090093</c:v>
                </c:pt>
                <c:pt idx="193">
                  <c:v>505.29666263090093</c:v>
                </c:pt>
                <c:pt idx="194">
                  <c:v>505.29666263090093</c:v>
                </c:pt>
                <c:pt idx="195">
                  <c:v>505.29666263090093</c:v>
                </c:pt>
                <c:pt idx="196">
                  <c:v>505.29666263090093</c:v>
                </c:pt>
                <c:pt idx="197">
                  <c:v>505.29666263090093</c:v>
                </c:pt>
                <c:pt idx="198">
                  <c:v>505.29666263090093</c:v>
                </c:pt>
                <c:pt idx="199">
                  <c:v>505.29666263090093</c:v>
                </c:pt>
                <c:pt idx="200">
                  <c:v>505.29666263090093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2.0687461285585278</c:v>
                </c:pt>
                <c:pt idx="2">
                  <c:v>2.5273807004431039</c:v>
                </c:pt>
                <c:pt idx="3">
                  <c:v>3.088083905536346</c:v>
                </c:pt>
                <c:pt idx="4">
                  <c:v>3.7736531887146705</c:v>
                </c:pt>
                <c:pt idx="5">
                  <c:v>4.611995113094256</c:v>
                </c:pt>
                <c:pt idx="6">
                  <c:v>5.6372739543299604</c:v>
                </c:pt>
                <c:pt idx="7">
                  <c:v>6.8913192610201923</c:v>
                </c:pt>
                <c:pt idx="8">
                  <c:v>8.4253509236664215</c:v>
                </c:pt>
                <c:pt idx="9">
                  <c:v>10.302093560930972</c:v>
                </c:pt>
                <c:pt idx="10">
                  <c:v>12.598368311116799</c:v>
                </c:pt>
                <c:pt idx="11">
                  <c:v>18.958915754058154</c:v>
                </c:pt>
                <c:pt idx="12">
                  <c:v>26.748932982010359</c:v>
                </c:pt>
                <c:pt idx="13">
                  <c:v>34.474473376274702</c:v>
                </c:pt>
                <c:pt idx="14">
                  <c:v>42.152221036722416</c:v>
                </c:pt>
                <c:pt idx="15">
                  <c:v>49.792178795908704</c:v>
                </c:pt>
                <c:pt idx="16">
                  <c:v>58.569136899771898</c:v>
                </c:pt>
                <c:pt idx="17">
                  <c:v>71.671728804778667</c:v>
                </c:pt>
                <c:pt idx="18">
                  <c:v>84.712794136987995</c:v>
                </c:pt>
                <c:pt idx="19">
                  <c:v>97.703177946167628</c:v>
                </c:pt>
                <c:pt idx="20">
                  <c:v>110.65058636488233</c:v>
                </c:pt>
                <c:pt idx="21">
                  <c:v>106.91427257507337</c:v>
                </c:pt>
                <c:pt idx="22">
                  <c:v>116.1058106876856</c:v>
                </c:pt>
                <c:pt idx="23">
                  <c:v>125.27956120942127</c:v>
                </c:pt>
                <c:pt idx="24">
                  <c:v>134.43701222868222</c:v>
                </c:pt>
                <c:pt idx="25">
                  <c:v>143.57943211520902</c:v>
                </c:pt>
                <c:pt idx="26">
                  <c:v>128.42920528646454</c:v>
                </c:pt>
                <c:pt idx="27">
                  <c:v>139.01002906464356</c:v>
                </c:pt>
                <c:pt idx="28">
                  <c:v>149.57150865696971</c:v>
                </c:pt>
                <c:pt idx="29">
                  <c:v>160.1152040093327</c:v>
                </c:pt>
                <c:pt idx="30">
                  <c:v>170.64245249764218</c:v>
                </c:pt>
                <c:pt idx="31">
                  <c:v>152.13777377111367</c:v>
                </c:pt>
                <c:pt idx="32">
                  <c:v>162.10806960101658</c:v>
                </c:pt>
                <c:pt idx="33">
                  <c:v>172.06385728933955</c:v>
                </c:pt>
                <c:pt idx="34">
                  <c:v>182.00609551607829</c:v>
                </c:pt>
                <c:pt idx="35">
                  <c:v>191.93562952471493</c:v>
                </c:pt>
                <c:pt idx="36">
                  <c:v>171.7795985212783</c:v>
                </c:pt>
                <c:pt idx="37">
                  <c:v>181.43831740899432</c:v>
                </c:pt>
                <c:pt idx="38">
                  <c:v>191.08500506258932</c:v>
                </c:pt>
                <c:pt idx="39">
                  <c:v>200.7203551214528</c:v>
                </c:pt>
                <c:pt idx="40">
                  <c:v>210.34498910896312</c:v>
                </c:pt>
                <c:pt idx="41">
                  <c:v>188.24895048125146</c:v>
                </c:pt>
                <c:pt idx="42">
                  <c:v>197.32089757499622</c:v>
                </c:pt>
                <c:pt idx="43">
                  <c:v>206.38316513431232</c:v>
                </c:pt>
                <c:pt idx="44">
                  <c:v>215.43623857870298</c:v>
                </c:pt>
                <c:pt idx="45">
                  <c:v>224.48055915021396</c:v>
                </c:pt>
                <c:pt idx="46">
                  <c:v>201.85320984852066</c:v>
                </c:pt>
                <c:pt idx="47">
                  <c:v>210.34498910896318</c:v>
                </c:pt>
                <c:pt idx="48">
                  <c:v>218.82886210158509</c:v>
                </c:pt>
                <c:pt idx="49">
                  <c:v>227.30517892841024</c:v>
                </c:pt>
                <c:pt idx="50">
                  <c:v>235.77426141652742</c:v>
                </c:pt>
                <c:pt idx="51">
                  <c:v>214.3050917284946</c:v>
                </c:pt>
                <c:pt idx="52">
                  <c:v>222.50284096633993</c:v>
                </c:pt>
                <c:pt idx="53">
                  <c:v>230.69366289491563</c:v>
                </c:pt>
                <c:pt idx="54">
                  <c:v>238.87783844523832</c:v>
                </c:pt>
                <c:pt idx="55">
                  <c:v>247.05562770340705</c:v>
                </c:pt>
                <c:pt idx="56">
                  <c:v>226.17542809206512</c:v>
                </c:pt>
                <c:pt idx="57">
                  <c:v>233.51652959110729</c:v>
                </c:pt>
                <c:pt idx="58">
                  <c:v>240.85236284789337</c:v>
                </c:pt>
                <c:pt idx="59">
                  <c:v>248.18311116489954</c:v>
                </c:pt>
                <c:pt idx="60">
                  <c:v>255.50894611772148</c:v>
                </c:pt>
                <c:pt idx="61">
                  <c:v>235.77426141652742</c:v>
                </c:pt>
                <c:pt idx="62">
                  <c:v>242.82651873322871</c:v>
                </c:pt>
                <c:pt idx="63">
                  <c:v>249.87411853503883</c:v>
                </c:pt>
                <c:pt idx="64">
                  <c:v>256.91721089069495</c:v>
                </c:pt>
                <c:pt idx="65">
                  <c:v>263.95593695845798</c:v>
                </c:pt>
                <c:pt idx="66">
                  <c:v>245.08225003541111</c:v>
                </c:pt>
                <c:pt idx="67">
                  <c:v>251.56486631652959</c:v>
                </c:pt>
                <c:pt idx="68">
                  <c:v>258.04369692629399</c:v>
                </c:pt>
                <c:pt idx="69">
                  <c:v>264.51885045722287</c:v>
                </c:pt>
                <c:pt idx="70">
                  <c:v>270.99042974399362</c:v>
                </c:pt>
                <c:pt idx="71">
                  <c:v>252.97362594481334</c:v>
                </c:pt>
                <c:pt idx="72">
                  <c:v>258.88848844639887</c:v>
                </c:pt>
                <c:pt idx="73">
                  <c:v>264.80029706883352</c:v>
                </c:pt>
                <c:pt idx="74">
                  <c:v>270.70912971378709</c:v>
                </c:pt>
                <c:pt idx="75">
                  <c:v>276.61506059958828</c:v>
                </c:pt>
                <c:pt idx="76">
                  <c:v>259.73321764902875</c:v>
                </c:pt>
                <c:pt idx="77">
                  <c:v>265.36317005758792</c:v>
                </c:pt>
                <c:pt idx="78">
                  <c:v>270.99042974399345</c:v>
                </c:pt>
                <c:pt idx="79">
                  <c:v>276.61506059958828</c:v>
                </c:pt>
                <c:pt idx="80">
                  <c:v>282.23712370144091</c:v>
                </c:pt>
                <c:pt idx="81">
                  <c:v>266.48883532606999</c:v>
                </c:pt>
                <c:pt idx="82">
                  <c:v>271.83429043682327</c:v>
                </c:pt>
                <c:pt idx="83">
                  <c:v>277.17738147431243</c:v>
                </c:pt>
                <c:pt idx="84">
                  <c:v>282.51816051208363</c:v>
                </c:pt>
                <c:pt idx="85">
                  <c:v>287.85667749117118</c:v>
                </c:pt>
                <c:pt idx="86">
                  <c:v>273.24059406456826</c:v>
                </c:pt>
                <c:pt idx="87">
                  <c:v>278.30194643574617</c:v>
                </c:pt>
                <c:pt idx="88">
                  <c:v>283.36123337871362</c:v>
                </c:pt>
                <c:pt idx="89">
                  <c:v>288.41849703340995</c:v>
                </c:pt>
                <c:pt idx="90">
                  <c:v>293.47377793906509</c:v>
                </c:pt>
                <c:pt idx="91">
                  <c:v>1.1580684803728015E-12</c:v>
                </c:pt>
                <c:pt idx="92">
                  <c:v>1.1580684803728015E-12</c:v>
                </c:pt>
                <c:pt idx="93">
                  <c:v>1.1580684803728015E-12</c:v>
                </c:pt>
                <c:pt idx="94">
                  <c:v>1.1580684803728015E-12</c:v>
                </c:pt>
                <c:pt idx="95">
                  <c:v>1.1580684803728015E-12</c:v>
                </c:pt>
                <c:pt idx="96">
                  <c:v>1.1580684803728015E-12</c:v>
                </c:pt>
                <c:pt idx="97">
                  <c:v>1.1580684803728015E-12</c:v>
                </c:pt>
                <c:pt idx="98">
                  <c:v>1.1580684803728015E-12</c:v>
                </c:pt>
                <c:pt idx="99">
                  <c:v>1.1580684803728015E-12</c:v>
                </c:pt>
                <c:pt idx="100">
                  <c:v>1.1580684803728015E-12</c:v>
                </c:pt>
                <c:pt idx="101">
                  <c:v>1.1580684803728015E-12</c:v>
                </c:pt>
                <c:pt idx="102">
                  <c:v>1.1580684803728015E-12</c:v>
                </c:pt>
                <c:pt idx="103">
                  <c:v>1.1580684803728015E-12</c:v>
                </c:pt>
                <c:pt idx="104">
                  <c:v>1.1580684803728015E-12</c:v>
                </c:pt>
                <c:pt idx="105">
                  <c:v>1.1580684803728015E-12</c:v>
                </c:pt>
                <c:pt idx="106">
                  <c:v>1.1580684803728015E-12</c:v>
                </c:pt>
                <c:pt idx="107">
                  <c:v>1.1580684803728015E-12</c:v>
                </c:pt>
                <c:pt idx="108">
                  <c:v>1.1580684803728015E-12</c:v>
                </c:pt>
                <c:pt idx="109">
                  <c:v>1.1580684803728015E-12</c:v>
                </c:pt>
                <c:pt idx="110">
                  <c:v>1.1580684803728015E-12</c:v>
                </c:pt>
                <c:pt idx="111">
                  <c:v>1.1580684803728015E-12</c:v>
                </c:pt>
                <c:pt idx="112">
                  <c:v>1.1580684803728015E-12</c:v>
                </c:pt>
                <c:pt idx="113">
                  <c:v>1.1580684803728015E-12</c:v>
                </c:pt>
                <c:pt idx="114">
                  <c:v>1.1580684803728015E-12</c:v>
                </c:pt>
                <c:pt idx="115">
                  <c:v>1.1580684803728015E-12</c:v>
                </c:pt>
                <c:pt idx="116">
                  <c:v>1.1580684803728015E-12</c:v>
                </c:pt>
                <c:pt idx="117">
                  <c:v>1.1580684803728015E-12</c:v>
                </c:pt>
                <c:pt idx="118">
                  <c:v>1.1580684803728015E-12</c:v>
                </c:pt>
                <c:pt idx="119">
                  <c:v>1.1580684803728015E-12</c:v>
                </c:pt>
                <c:pt idx="120">
                  <c:v>1.1580684803728015E-12</c:v>
                </c:pt>
                <c:pt idx="121">
                  <c:v>1.1580684803728015E-12</c:v>
                </c:pt>
                <c:pt idx="122">
                  <c:v>1.1580684803728015E-12</c:v>
                </c:pt>
                <c:pt idx="123">
                  <c:v>1.1580684803728015E-12</c:v>
                </c:pt>
                <c:pt idx="124">
                  <c:v>1.1580684803728015E-12</c:v>
                </c:pt>
                <c:pt idx="125">
                  <c:v>1.1580684803728015E-12</c:v>
                </c:pt>
                <c:pt idx="126">
                  <c:v>1.1580684803728015E-12</c:v>
                </c:pt>
                <c:pt idx="127">
                  <c:v>1.1580684803728015E-12</c:v>
                </c:pt>
                <c:pt idx="128">
                  <c:v>1.1580684803728015E-12</c:v>
                </c:pt>
                <c:pt idx="129">
                  <c:v>1.1580684803728015E-12</c:v>
                </c:pt>
                <c:pt idx="130">
                  <c:v>1.1580684803728015E-12</c:v>
                </c:pt>
                <c:pt idx="131">
                  <c:v>1.1580684803728015E-12</c:v>
                </c:pt>
                <c:pt idx="132">
                  <c:v>1.1580684803728015E-12</c:v>
                </c:pt>
                <c:pt idx="133">
                  <c:v>1.1580684803728015E-12</c:v>
                </c:pt>
                <c:pt idx="134">
                  <c:v>1.1580684803728015E-12</c:v>
                </c:pt>
                <c:pt idx="135">
                  <c:v>1.1580684803728015E-12</c:v>
                </c:pt>
                <c:pt idx="136">
                  <c:v>1.1580684803728015E-12</c:v>
                </c:pt>
                <c:pt idx="137">
                  <c:v>1.1580684803728015E-12</c:v>
                </c:pt>
                <c:pt idx="138">
                  <c:v>1.1580684803728015E-12</c:v>
                </c:pt>
                <c:pt idx="139">
                  <c:v>1.1580684803728015E-12</c:v>
                </c:pt>
                <c:pt idx="140">
                  <c:v>1.1580684803728015E-12</c:v>
                </c:pt>
                <c:pt idx="141">
                  <c:v>1.1580684803728015E-12</c:v>
                </c:pt>
                <c:pt idx="142">
                  <c:v>1.1580684803728015E-12</c:v>
                </c:pt>
                <c:pt idx="143">
                  <c:v>1.1580684803728015E-12</c:v>
                </c:pt>
                <c:pt idx="144">
                  <c:v>1.1580684803728015E-12</c:v>
                </c:pt>
                <c:pt idx="145">
                  <c:v>1.1580684803728015E-12</c:v>
                </c:pt>
                <c:pt idx="146">
                  <c:v>1.1580684803728015E-12</c:v>
                </c:pt>
                <c:pt idx="147">
                  <c:v>1.1580684803728015E-12</c:v>
                </c:pt>
                <c:pt idx="148">
                  <c:v>1.1580684803728015E-12</c:v>
                </c:pt>
                <c:pt idx="149">
                  <c:v>1.1580684803728015E-12</c:v>
                </c:pt>
                <c:pt idx="150">
                  <c:v>1.1580684803728015E-12</c:v>
                </c:pt>
                <c:pt idx="151">
                  <c:v>1.1580684803728015E-12</c:v>
                </c:pt>
                <c:pt idx="152">
                  <c:v>1.1580684803728015E-12</c:v>
                </c:pt>
                <c:pt idx="153">
                  <c:v>1.1580684803728015E-12</c:v>
                </c:pt>
                <c:pt idx="154">
                  <c:v>1.1580684803728015E-12</c:v>
                </c:pt>
                <c:pt idx="155">
                  <c:v>1.1580684803728015E-12</c:v>
                </c:pt>
                <c:pt idx="156">
                  <c:v>1.1580684803728015E-12</c:v>
                </c:pt>
                <c:pt idx="157">
                  <c:v>1.1580684803728015E-12</c:v>
                </c:pt>
                <c:pt idx="158">
                  <c:v>1.1580684803728015E-12</c:v>
                </c:pt>
                <c:pt idx="159">
                  <c:v>1.1580684803728015E-12</c:v>
                </c:pt>
                <c:pt idx="160">
                  <c:v>1.1580684803728015E-12</c:v>
                </c:pt>
                <c:pt idx="161">
                  <c:v>1.1580684803728015E-12</c:v>
                </c:pt>
                <c:pt idx="162">
                  <c:v>1.1580684803728015E-12</c:v>
                </c:pt>
                <c:pt idx="163">
                  <c:v>1.1580684803728015E-12</c:v>
                </c:pt>
                <c:pt idx="164">
                  <c:v>1.1580684803728015E-12</c:v>
                </c:pt>
                <c:pt idx="165">
                  <c:v>1.1580684803728015E-12</c:v>
                </c:pt>
                <c:pt idx="166">
                  <c:v>1.1580684803728015E-12</c:v>
                </c:pt>
                <c:pt idx="167">
                  <c:v>1.1580684803728015E-12</c:v>
                </c:pt>
                <c:pt idx="168">
                  <c:v>1.1580684803728015E-12</c:v>
                </c:pt>
                <c:pt idx="169">
                  <c:v>1.1580684803728015E-12</c:v>
                </c:pt>
                <c:pt idx="170">
                  <c:v>1.1580684803728015E-12</c:v>
                </c:pt>
                <c:pt idx="171">
                  <c:v>1.1580684803728015E-12</c:v>
                </c:pt>
                <c:pt idx="172">
                  <c:v>1.1580684803728015E-12</c:v>
                </c:pt>
                <c:pt idx="173">
                  <c:v>1.1580684803728015E-12</c:v>
                </c:pt>
                <c:pt idx="174">
                  <c:v>1.1580684803728015E-12</c:v>
                </c:pt>
                <c:pt idx="175">
                  <c:v>1.1580684803728015E-12</c:v>
                </c:pt>
                <c:pt idx="176">
                  <c:v>1.1580684803728015E-12</c:v>
                </c:pt>
                <c:pt idx="177">
                  <c:v>1.1580684803728015E-12</c:v>
                </c:pt>
                <c:pt idx="178">
                  <c:v>1.1580684803728015E-12</c:v>
                </c:pt>
                <c:pt idx="179">
                  <c:v>1.1580684803728015E-12</c:v>
                </c:pt>
                <c:pt idx="180">
                  <c:v>1.1580684803728015E-12</c:v>
                </c:pt>
                <c:pt idx="181">
                  <c:v>1.1580684803728015E-12</c:v>
                </c:pt>
                <c:pt idx="182">
                  <c:v>1.1580684803728015E-12</c:v>
                </c:pt>
                <c:pt idx="183">
                  <c:v>1.1580684803728015E-12</c:v>
                </c:pt>
                <c:pt idx="184">
                  <c:v>1.1580684803728015E-12</c:v>
                </c:pt>
                <c:pt idx="185">
                  <c:v>1.1580684803728015E-12</c:v>
                </c:pt>
                <c:pt idx="186">
                  <c:v>1.1580684803728015E-12</c:v>
                </c:pt>
                <c:pt idx="187">
                  <c:v>1.1580684803728015E-12</c:v>
                </c:pt>
                <c:pt idx="188">
                  <c:v>1.1580684803728015E-12</c:v>
                </c:pt>
                <c:pt idx="189">
                  <c:v>1.1580684803728015E-12</c:v>
                </c:pt>
                <c:pt idx="190">
                  <c:v>1.1580684803728015E-12</c:v>
                </c:pt>
                <c:pt idx="191">
                  <c:v>1.1580684803728015E-12</c:v>
                </c:pt>
                <c:pt idx="192">
                  <c:v>1.1580684803728015E-12</c:v>
                </c:pt>
                <c:pt idx="193">
                  <c:v>1.1580684803728015E-12</c:v>
                </c:pt>
                <c:pt idx="194">
                  <c:v>1.1580684803728015E-12</c:v>
                </c:pt>
                <c:pt idx="195">
                  <c:v>1.1580684803728015E-12</c:v>
                </c:pt>
                <c:pt idx="196">
                  <c:v>1.1580684803728015E-12</c:v>
                </c:pt>
                <c:pt idx="197">
                  <c:v>1.1580684803728015E-12</c:v>
                </c:pt>
                <c:pt idx="198">
                  <c:v>1.1580684803728015E-12</c:v>
                </c:pt>
                <c:pt idx="199">
                  <c:v>1.1580684803728015E-12</c:v>
                </c:pt>
                <c:pt idx="200">
                  <c:v>1.1580684803728015E-12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2.5380918812887914</c:v>
                </c:pt>
                <c:pt idx="2">
                  <c:v>3.2168218116837237</c:v>
                </c:pt>
                <c:pt idx="3">
                  <c:v>4.0777698035291934</c:v>
                </c:pt>
                <c:pt idx="4">
                  <c:v>5.1700364339554419</c:v>
                </c:pt>
                <c:pt idx="5">
                  <c:v>6.5559984815227494</c:v>
                </c:pt>
                <c:pt idx="6">
                  <c:v>8.3149100852329703</c:v>
                </c:pt>
                <c:pt idx="7">
                  <c:v>10.54748357687275</c:v>
                </c:pt>
                <c:pt idx="8">
                  <c:v>13.381717214799407</c:v>
                </c:pt>
                <c:pt idx="9">
                  <c:v>16.980310117401761</c:v>
                </c:pt>
                <c:pt idx="10">
                  <c:v>21.550097788741649</c:v>
                </c:pt>
                <c:pt idx="11">
                  <c:v>27.354060245633761</c:v>
                </c:pt>
                <c:pt idx="12">
                  <c:v>34.726605905427995</c:v>
                </c:pt>
                <c:pt idx="13">
                  <c:v>44.093027016943331</c:v>
                </c:pt>
                <c:pt idx="14">
                  <c:v>55.994267914108548</c:v>
                </c:pt>
                <c:pt idx="15">
                  <c:v>71.118460282851473</c:v>
                </c:pt>
                <c:pt idx="16">
                  <c:v>82.508596377636763</c:v>
                </c:pt>
                <c:pt idx="17">
                  <c:v>99.006604254682017</c:v>
                </c:pt>
                <c:pt idx="18">
                  <c:v>115.43621516079588</c:v>
                </c:pt>
                <c:pt idx="19">
                  <c:v>131.8085611384661</c:v>
                </c:pt>
                <c:pt idx="20">
                  <c:v>148.13176890752257</c:v>
                </c:pt>
                <c:pt idx="21">
                  <c:v>123.62898327972762</c:v>
                </c:pt>
                <c:pt idx="22">
                  <c:v>141.67594470663133</c:v>
                </c:pt>
                <c:pt idx="23">
                  <c:v>159.66774547880371</c:v>
                </c:pt>
                <c:pt idx="24">
                  <c:v>177.61148225294485</c:v>
                </c:pt>
                <c:pt idx="25">
                  <c:v>195.51269709583855</c:v>
                </c:pt>
                <c:pt idx="26">
                  <c:v>169.32232688472158</c:v>
                </c:pt>
                <c:pt idx="27">
                  <c:v>188.76221470729038</c:v>
                </c:pt>
                <c:pt idx="28">
                  <c:v>208.15542061438944</c:v>
                </c:pt>
                <c:pt idx="29">
                  <c:v>227.50690659831903</c:v>
                </c:pt>
                <c:pt idx="30">
                  <c:v>246.82072062447358</c:v>
                </c:pt>
                <c:pt idx="31">
                  <c:v>266.10022493300397</c:v>
                </c:pt>
                <c:pt idx="32">
                  <c:v>224.98501498915437</c:v>
                </c:pt>
                <c:pt idx="33">
                  <c:v>244.30353923844871</c:v>
                </c:pt>
                <c:pt idx="34">
                  <c:v>263.58734797276003</c:v>
                </c:pt>
                <c:pt idx="35">
                  <c:v>282.83933776674911</c:v>
                </c:pt>
                <c:pt idx="36">
                  <c:v>302.06197856553007</c:v>
                </c:pt>
                <c:pt idx="37">
                  <c:v>321.25740024962437</c:v>
                </c:pt>
                <c:pt idx="38">
                  <c:v>279.73236813579501</c:v>
                </c:pt>
                <c:pt idx="39">
                  <c:v>298.36290228402567</c:v>
                </c:pt>
                <c:pt idx="40">
                  <c:v>316.96751977104657</c:v>
                </c:pt>
                <c:pt idx="41">
                  <c:v>335.5479553564636</c:v>
                </c:pt>
                <c:pt idx="42">
                  <c:v>354.10573601815037</c:v>
                </c:pt>
                <c:pt idx="43">
                  <c:v>372.64221565134466</c:v>
                </c:pt>
                <c:pt idx="44">
                  <c:v>391.15860250001066</c:v>
                </c:pt>
                <c:pt idx="45">
                  <c:v>336.88699770814992</c:v>
                </c:pt>
                <c:pt idx="46">
                  <c:v>354.16518115704025</c:v>
                </c:pt>
                <c:pt idx="47">
                  <c:v>371.42490308727588</c:v>
                </c:pt>
                <c:pt idx="48">
                  <c:v>388.66714186934951</c:v>
                </c:pt>
                <c:pt idx="49">
                  <c:v>405.8927820061424</c:v>
                </c:pt>
                <c:pt idx="50">
                  <c:v>423.10262682279273</c:v>
                </c:pt>
                <c:pt idx="51">
                  <c:v>440.29740898417253</c:v>
                </c:pt>
                <c:pt idx="52">
                  <c:v>457.47779928386586</c:v>
                </c:pt>
                <c:pt idx="53">
                  <c:v>393.44213889474241</c:v>
                </c:pt>
                <c:pt idx="54">
                  <c:v>409.0041420403515</c:v>
                </c:pt>
                <c:pt idx="55">
                  <c:v>424.55336102424553</c:v>
                </c:pt>
                <c:pt idx="56">
                  <c:v>440.09032987714414</c:v>
                </c:pt>
                <c:pt idx="57">
                  <c:v>455.61554185670792</c:v>
                </c:pt>
                <c:pt idx="58">
                  <c:v>471.12945387267996</c:v>
                </c:pt>
                <c:pt idx="59">
                  <c:v>486.63249029889329</c:v>
                </c:pt>
                <c:pt idx="60">
                  <c:v>502.125046274314</c:v>
                </c:pt>
                <c:pt idx="61">
                  <c:v>438.70974904240529</c:v>
                </c:pt>
                <c:pt idx="62">
                  <c:v>453.06329508642119</c:v>
                </c:pt>
                <c:pt idx="63">
                  <c:v>467.40712233198587</c:v>
                </c:pt>
                <c:pt idx="64">
                  <c:v>481.74157097323285</c:v>
                </c:pt>
                <c:pt idx="65">
                  <c:v>496.06695931286293</c:v>
                </c:pt>
                <c:pt idx="66">
                  <c:v>510.38358577553481</c:v>
                </c:pt>
                <c:pt idx="67">
                  <c:v>524.69173068364398</c:v>
                </c:pt>
                <c:pt idx="68">
                  <c:v>538.99165782937473</c:v>
                </c:pt>
                <c:pt idx="69">
                  <c:v>553.28361587129041</c:v>
                </c:pt>
                <c:pt idx="70">
                  <c:v>1.3525069634579169E-12</c:v>
                </c:pt>
                <c:pt idx="71">
                  <c:v>1.3525069634579169E-12</c:v>
                </c:pt>
                <c:pt idx="72">
                  <c:v>1.3525069634579169E-12</c:v>
                </c:pt>
                <c:pt idx="73">
                  <c:v>1.3525069634579169E-12</c:v>
                </c:pt>
                <c:pt idx="74">
                  <c:v>1.3525069634579169E-12</c:v>
                </c:pt>
                <c:pt idx="75">
                  <c:v>1.3525069634579169E-12</c:v>
                </c:pt>
                <c:pt idx="76">
                  <c:v>1.3525069634579169E-12</c:v>
                </c:pt>
                <c:pt idx="77">
                  <c:v>1.3525069634579169E-12</c:v>
                </c:pt>
                <c:pt idx="78">
                  <c:v>1.3525069634579169E-12</c:v>
                </c:pt>
                <c:pt idx="79">
                  <c:v>1.3525069634579169E-12</c:v>
                </c:pt>
                <c:pt idx="80">
                  <c:v>1.3525069634579169E-12</c:v>
                </c:pt>
                <c:pt idx="81">
                  <c:v>1.3525069634579169E-12</c:v>
                </c:pt>
                <c:pt idx="82">
                  <c:v>1.3525069634579169E-12</c:v>
                </c:pt>
                <c:pt idx="83">
                  <c:v>1.3525069634579169E-12</c:v>
                </c:pt>
                <c:pt idx="84">
                  <c:v>1.3525069634579169E-12</c:v>
                </c:pt>
                <c:pt idx="85">
                  <c:v>1.3525069634579169E-12</c:v>
                </c:pt>
                <c:pt idx="86">
                  <c:v>1.3525069634579169E-12</c:v>
                </c:pt>
                <c:pt idx="87">
                  <c:v>1.3525069634579169E-12</c:v>
                </c:pt>
                <c:pt idx="88">
                  <c:v>1.3525069634579169E-12</c:v>
                </c:pt>
                <c:pt idx="89">
                  <c:v>1.3525069634579169E-12</c:v>
                </c:pt>
                <c:pt idx="90">
                  <c:v>1.3525069634579169E-12</c:v>
                </c:pt>
                <c:pt idx="91">
                  <c:v>1.3525069634579169E-12</c:v>
                </c:pt>
                <c:pt idx="92">
                  <c:v>1.3525069634579169E-12</c:v>
                </c:pt>
                <c:pt idx="93">
                  <c:v>1.3525069634579169E-12</c:v>
                </c:pt>
                <c:pt idx="94">
                  <c:v>1.3525069634579169E-12</c:v>
                </c:pt>
                <c:pt idx="95">
                  <c:v>1.3525069634579169E-12</c:v>
                </c:pt>
                <c:pt idx="96">
                  <c:v>1.3525069634579169E-12</c:v>
                </c:pt>
                <c:pt idx="97">
                  <c:v>1.3525069634579169E-12</c:v>
                </c:pt>
                <c:pt idx="98">
                  <c:v>1.3525069634579169E-12</c:v>
                </c:pt>
                <c:pt idx="99">
                  <c:v>1.3525069634579169E-12</c:v>
                </c:pt>
                <c:pt idx="100">
                  <c:v>1.3525069634579169E-12</c:v>
                </c:pt>
                <c:pt idx="101">
                  <c:v>1.3525069634579169E-12</c:v>
                </c:pt>
                <c:pt idx="102">
                  <c:v>1.3525069634579169E-12</c:v>
                </c:pt>
                <c:pt idx="103">
                  <c:v>1.3525069634579169E-12</c:v>
                </c:pt>
                <c:pt idx="104">
                  <c:v>1.3525069634579169E-12</c:v>
                </c:pt>
                <c:pt idx="105">
                  <c:v>1.3525069634579169E-12</c:v>
                </c:pt>
                <c:pt idx="106">
                  <c:v>1.3525069634579169E-12</c:v>
                </c:pt>
                <c:pt idx="107">
                  <c:v>1.3525069634579169E-12</c:v>
                </c:pt>
                <c:pt idx="108">
                  <c:v>1.3525069634579169E-12</c:v>
                </c:pt>
                <c:pt idx="109">
                  <c:v>1.3525069634579169E-12</c:v>
                </c:pt>
                <c:pt idx="110">
                  <c:v>1.3525069634579169E-12</c:v>
                </c:pt>
                <c:pt idx="111">
                  <c:v>1.3525069634579169E-12</c:v>
                </c:pt>
                <c:pt idx="112">
                  <c:v>1.3525069634579169E-12</c:v>
                </c:pt>
                <c:pt idx="113">
                  <c:v>1.3525069634579169E-12</c:v>
                </c:pt>
                <c:pt idx="114">
                  <c:v>1.3525069634579169E-12</c:v>
                </c:pt>
                <c:pt idx="115">
                  <c:v>1.3525069634579169E-12</c:v>
                </c:pt>
                <c:pt idx="116">
                  <c:v>1.3525069634579169E-12</c:v>
                </c:pt>
                <c:pt idx="117">
                  <c:v>1.3525069634579169E-12</c:v>
                </c:pt>
                <c:pt idx="118">
                  <c:v>1.3525069634579169E-12</c:v>
                </c:pt>
                <c:pt idx="119">
                  <c:v>1.3525069634579169E-12</c:v>
                </c:pt>
                <c:pt idx="120">
                  <c:v>1.3525069634579169E-12</c:v>
                </c:pt>
                <c:pt idx="121">
                  <c:v>1.3525069634579169E-12</c:v>
                </c:pt>
                <c:pt idx="122">
                  <c:v>1.3525069634579169E-12</c:v>
                </c:pt>
                <c:pt idx="123">
                  <c:v>1.3525069634579169E-12</c:v>
                </c:pt>
                <c:pt idx="124">
                  <c:v>1.3525069634579169E-12</c:v>
                </c:pt>
                <c:pt idx="125">
                  <c:v>1.3525069634579169E-12</c:v>
                </c:pt>
                <c:pt idx="126">
                  <c:v>1.3525069634579169E-12</c:v>
                </c:pt>
                <c:pt idx="127">
                  <c:v>1.3525069634579169E-12</c:v>
                </c:pt>
                <c:pt idx="128">
                  <c:v>1.3525069634579169E-12</c:v>
                </c:pt>
                <c:pt idx="129">
                  <c:v>1.3525069634579169E-12</c:v>
                </c:pt>
                <c:pt idx="130">
                  <c:v>1.3525069634579169E-12</c:v>
                </c:pt>
                <c:pt idx="131">
                  <c:v>1.3525069634579169E-12</c:v>
                </c:pt>
                <c:pt idx="132">
                  <c:v>1.3525069634579169E-12</c:v>
                </c:pt>
                <c:pt idx="133">
                  <c:v>1.3525069634579169E-12</c:v>
                </c:pt>
                <c:pt idx="134">
                  <c:v>1.3525069634579169E-12</c:v>
                </c:pt>
                <c:pt idx="135">
                  <c:v>1.3525069634579169E-12</c:v>
                </c:pt>
                <c:pt idx="136">
                  <c:v>1.3525069634579169E-12</c:v>
                </c:pt>
                <c:pt idx="137">
                  <c:v>1.3525069634579169E-12</c:v>
                </c:pt>
                <c:pt idx="138">
                  <c:v>1.3525069634579169E-12</c:v>
                </c:pt>
                <c:pt idx="139">
                  <c:v>1.3525069634579169E-12</c:v>
                </c:pt>
                <c:pt idx="140">
                  <c:v>1.3525069634579169E-12</c:v>
                </c:pt>
                <c:pt idx="141">
                  <c:v>1.3525069634579169E-12</c:v>
                </c:pt>
                <c:pt idx="142">
                  <c:v>1.3525069634579169E-12</c:v>
                </c:pt>
                <c:pt idx="143">
                  <c:v>1.3525069634579169E-12</c:v>
                </c:pt>
                <c:pt idx="144">
                  <c:v>1.3525069634579169E-12</c:v>
                </c:pt>
                <c:pt idx="145">
                  <c:v>1.3525069634579169E-12</c:v>
                </c:pt>
                <c:pt idx="146">
                  <c:v>1.3525069634579169E-12</c:v>
                </c:pt>
                <c:pt idx="147">
                  <c:v>1.3525069634579169E-12</c:v>
                </c:pt>
                <c:pt idx="148">
                  <c:v>1.3525069634579169E-12</c:v>
                </c:pt>
                <c:pt idx="149">
                  <c:v>1.3525069634579169E-12</c:v>
                </c:pt>
                <c:pt idx="150">
                  <c:v>1.3525069634579169E-12</c:v>
                </c:pt>
                <c:pt idx="151">
                  <c:v>1.3525069634579169E-12</c:v>
                </c:pt>
                <c:pt idx="152">
                  <c:v>1.3525069634579169E-12</c:v>
                </c:pt>
                <c:pt idx="153">
                  <c:v>1.3525069634579169E-12</c:v>
                </c:pt>
                <c:pt idx="154">
                  <c:v>1.3525069634579169E-12</c:v>
                </c:pt>
                <c:pt idx="155">
                  <c:v>1.3525069634579169E-12</c:v>
                </c:pt>
                <c:pt idx="156">
                  <c:v>1.3525069634579169E-12</c:v>
                </c:pt>
                <c:pt idx="157">
                  <c:v>1.3525069634579169E-12</c:v>
                </c:pt>
                <c:pt idx="158">
                  <c:v>1.3525069634579169E-12</c:v>
                </c:pt>
                <c:pt idx="159">
                  <c:v>1.3525069634579169E-12</c:v>
                </c:pt>
                <c:pt idx="160">
                  <c:v>1.3525069634579169E-12</c:v>
                </c:pt>
                <c:pt idx="161">
                  <c:v>1.3525069634579169E-12</c:v>
                </c:pt>
                <c:pt idx="162">
                  <c:v>1.3525069634579169E-12</c:v>
                </c:pt>
                <c:pt idx="163">
                  <c:v>1.3525069634579169E-12</c:v>
                </c:pt>
                <c:pt idx="164">
                  <c:v>1.3525069634579169E-12</c:v>
                </c:pt>
                <c:pt idx="165">
                  <c:v>1.3525069634579169E-12</c:v>
                </c:pt>
                <c:pt idx="166">
                  <c:v>1.3525069634579169E-12</c:v>
                </c:pt>
                <c:pt idx="167">
                  <c:v>1.3525069634579169E-12</c:v>
                </c:pt>
                <c:pt idx="168">
                  <c:v>1.3525069634579169E-12</c:v>
                </c:pt>
                <c:pt idx="169">
                  <c:v>1.3525069634579169E-12</c:v>
                </c:pt>
                <c:pt idx="170">
                  <c:v>1.3525069634579169E-12</c:v>
                </c:pt>
                <c:pt idx="171">
                  <c:v>1.3525069634579169E-12</c:v>
                </c:pt>
                <c:pt idx="172">
                  <c:v>1.3525069634579169E-12</c:v>
                </c:pt>
                <c:pt idx="173">
                  <c:v>1.3525069634579169E-12</c:v>
                </c:pt>
                <c:pt idx="174">
                  <c:v>1.3525069634579169E-12</c:v>
                </c:pt>
                <c:pt idx="175">
                  <c:v>1.3525069634579169E-12</c:v>
                </c:pt>
                <c:pt idx="176">
                  <c:v>1.3525069634579169E-12</c:v>
                </c:pt>
                <c:pt idx="177">
                  <c:v>1.3525069634579169E-12</c:v>
                </c:pt>
                <c:pt idx="178">
                  <c:v>1.3525069634579169E-12</c:v>
                </c:pt>
                <c:pt idx="179">
                  <c:v>1.3525069634579169E-12</c:v>
                </c:pt>
                <c:pt idx="180">
                  <c:v>1.3525069634579169E-12</c:v>
                </c:pt>
                <c:pt idx="181">
                  <c:v>1.3525069634579169E-12</c:v>
                </c:pt>
                <c:pt idx="182">
                  <c:v>1.3525069634579169E-12</c:v>
                </c:pt>
                <c:pt idx="183">
                  <c:v>1.3525069634579169E-12</c:v>
                </c:pt>
                <c:pt idx="184">
                  <c:v>1.3525069634579169E-12</c:v>
                </c:pt>
                <c:pt idx="185">
                  <c:v>1.3525069634579169E-12</c:v>
                </c:pt>
                <c:pt idx="186">
                  <c:v>1.3525069634579169E-12</c:v>
                </c:pt>
                <c:pt idx="187">
                  <c:v>1.3525069634579169E-12</c:v>
                </c:pt>
                <c:pt idx="188">
                  <c:v>1.3525069634579169E-12</c:v>
                </c:pt>
                <c:pt idx="189">
                  <c:v>1.3525069634579169E-12</c:v>
                </c:pt>
                <c:pt idx="190">
                  <c:v>1.3525069634579169E-12</c:v>
                </c:pt>
                <c:pt idx="191">
                  <c:v>1.3525069634579169E-12</c:v>
                </c:pt>
                <c:pt idx="192">
                  <c:v>1.3525069634579169E-12</c:v>
                </c:pt>
                <c:pt idx="193">
                  <c:v>1.3525069634579169E-12</c:v>
                </c:pt>
                <c:pt idx="194">
                  <c:v>1.3525069634579169E-12</c:v>
                </c:pt>
                <c:pt idx="195">
                  <c:v>1.3525069634579169E-12</c:v>
                </c:pt>
                <c:pt idx="196">
                  <c:v>1.3525069634579169E-12</c:v>
                </c:pt>
                <c:pt idx="197">
                  <c:v>1.3525069634579169E-12</c:v>
                </c:pt>
                <c:pt idx="198">
                  <c:v>1.3525069634579169E-12</c:v>
                </c:pt>
                <c:pt idx="199">
                  <c:v>1.3525069634579169E-12</c:v>
                </c:pt>
                <c:pt idx="200">
                  <c:v>1.3525069634579169E-12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1000125</xdr:colOff>
      <xdr:row>12</xdr:row>
      <xdr:rowOff>42862</xdr:rowOff>
    </xdr:from>
    <xdr:to>
      <xdr:col>9</xdr:col>
      <xdr:colOff>0</xdr:colOff>
      <xdr:row>26</xdr:row>
      <xdr:rowOff>119062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EA82C06F-E780-42D4-83B8-05B594BCD04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313" t="s">
        <v>291</v>
      </c>
      <c r="C12" s="313"/>
      <c r="D12" s="313"/>
      <c r="E12" s="313"/>
      <c r="F12" s="313"/>
      <c r="G12" s="313"/>
      <c r="H12" s="313"/>
      <c r="I12" s="313"/>
      <c r="J12" s="313"/>
      <c r="K12" s="313"/>
      <c r="L12" s="313"/>
      <c r="M12" s="313"/>
    </row>
    <row r="13" spans="2:13" ht="15" customHeight="1" x14ac:dyDescent="0.25">
      <c r="B13" s="313"/>
      <c r="C13" s="313"/>
      <c r="D13" s="313"/>
      <c r="E13" s="313"/>
      <c r="F13" s="313"/>
      <c r="G13" s="313"/>
      <c r="H13" s="313"/>
      <c r="I13" s="313"/>
      <c r="J13" s="313"/>
      <c r="K13" s="313"/>
      <c r="L13" s="313"/>
      <c r="M13" s="313"/>
    </row>
    <row r="14" spans="2:13" ht="15" customHeight="1" x14ac:dyDescent="0.25">
      <c r="B14" s="313"/>
      <c r="C14" s="313"/>
      <c r="D14" s="313"/>
      <c r="E14" s="313"/>
      <c r="F14" s="313"/>
      <c r="G14" s="313"/>
      <c r="H14" s="313"/>
      <c r="I14" s="313"/>
      <c r="J14" s="313"/>
      <c r="K14" s="313"/>
      <c r="L14" s="313"/>
      <c r="M14" s="313"/>
    </row>
    <row r="15" spans="2:13" ht="18.75" customHeight="1" x14ac:dyDescent="0.25">
      <c r="B15" s="313"/>
      <c r="C15" s="313"/>
      <c r="D15" s="313"/>
      <c r="E15" s="313"/>
      <c r="F15" s="313"/>
      <c r="G15" s="313"/>
      <c r="H15" s="313"/>
      <c r="I15" s="313"/>
      <c r="J15" s="313"/>
      <c r="K15" s="313"/>
      <c r="L15" s="313"/>
      <c r="M15" s="313"/>
    </row>
    <row r="16" spans="2:13" ht="18.75" customHeight="1" x14ac:dyDescent="0.25">
      <c r="B16" s="313"/>
      <c r="C16" s="313"/>
      <c r="D16" s="313"/>
      <c r="E16" s="313"/>
      <c r="F16" s="313"/>
      <c r="G16" s="313"/>
      <c r="H16" s="313"/>
      <c r="I16" s="313"/>
      <c r="J16" s="313"/>
      <c r="K16" s="313"/>
      <c r="L16" s="313"/>
      <c r="M16" s="313"/>
    </row>
    <row r="18" spans="2:13" ht="12" customHeight="1" x14ac:dyDescent="0.25">
      <c r="B18" s="313" t="s">
        <v>292</v>
      </c>
      <c r="C18" s="313"/>
      <c r="D18" s="313"/>
      <c r="E18" s="313"/>
      <c r="F18" s="313"/>
      <c r="G18" s="313"/>
      <c r="H18" s="313"/>
      <c r="I18" s="313"/>
      <c r="J18" s="313"/>
      <c r="K18" s="313"/>
      <c r="L18" s="313"/>
      <c r="M18" s="313"/>
    </row>
    <row r="19" spans="2:13" ht="12" customHeight="1" x14ac:dyDescent="0.25">
      <c r="B19" s="313"/>
      <c r="C19" s="313"/>
      <c r="D19" s="313"/>
      <c r="E19" s="313"/>
      <c r="F19" s="313"/>
      <c r="G19" s="313"/>
      <c r="H19" s="313"/>
      <c r="I19" s="313"/>
      <c r="J19" s="313"/>
      <c r="K19" s="313"/>
      <c r="L19" s="313"/>
      <c r="M19" s="313"/>
    </row>
    <row r="20" spans="2:13" ht="12" customHeight="1" x14ac:dyDescent="0.25">
      <c r="B20" s="313"/>
      <c r="C20" s="313"/>
      <c r="D20" s="313"/>
      <c r="E20" s="313"/>
      <c r="F20" s="313"/>
      <c r="G20" s="313"/>
      <c r="H20" s="313"/>
      <c r="I20" s="313"/>
      <c r="J20" s="313"/>
      <c r="K20" s="313"/>
      <c r="L20" s="313"/>
      <c r="M20" s="313"/>
    </row>
    <row r="21" spans="2:13" ht="12" customHeight="1" x14ac:dyDescent="0.25">
      <c r="B21" s="313"/>
      <c r="C21" s="313"/>
      <c r="D21" s="313"/>
      <c r="E21" s="313"/>
      <c r="F21" s="313"/>
      <c r="G21" s="313"/>
      <c r="H21" s="313"/>
      <c r="I21" s="313"/>
      <c r="J21" s="313"/>
      <c r="K21" s="313"/>
      <c r="L21" s="313"/>
      <c r="M21" s="313"/>
    </row>
    <row r="22" spans="2:13" ht="12" customHeight="1" x14ac:dyDescent="0.25">
      <c r="B22" s="313"/>
      <c r="C22" s="313"/>
      <c r="D22" s="313"/>
      <c r="E22" s="313"/>
      <c r="F22" s="313"/>
      <c r="G22" s="313"/>
      <c r="H22" s="313"/>
      <c r="I22" s="313"/>
      <c r="J22" s="313"/>
      <c r="K22" s="313"/>
      <c r="L22" s="313"/>
      <c r="M22" s="313"/>
    </row>
    <row r="23" spans="2:13" ht="12" customHeight="1" x14ac:dyDescent="0.25">
      <c r="B23" s="313"/>
      <c r="C23" s="313"/>
      <c r="D23" s="313"/>
      <c r="E23" s="313"/>
      <c r="F23" s="313"/>
      <c r="G23" s="313"/>
      <c r="H23" s="313"/>
      <c r="I23" s="313"/>
      <c r="J23" s="313"/>
      <c r="K23" s="313"/>
      <c r="L23" s="313"/>
      <c r="M23" s="313"/>
    </row>
    <row r="24" spans="2:13" ht="12" customHeight="1" x14ac:dyDescent="0.25">
      <c r="B24" s="313"/>
      <c r="C24" s="313"/>
      <c r="D24" s="313"/>
      <c r="E24" s="313"/>
      <c r="F24" s="313"/>
      <c r="G24" s="313"/>
      <c r="H24" s="313"/>
      <c r="I24" s="313"/>
      <c r="J24" s="313"/>
      <c r="K24" s="313"/>
      <c r="L24" s="313"/>
      <c r="M24" s="313"/>
    </row>
    <row r="25" spans="2:13" ht="12" customHeight="1" x14ac:dyDescent="0.25">
      <c r="B25" s="313"/>
      <c r="C25" s="313"/>
      <c r="D25" s="313"/>
      <c r="E25" s="313"/>
      <c r="F25" s="313"/>
      <c r="G25" s="313"/>
      <c r="H25" s="313"/>
      <c r="I25" s="313"/>
      <c r="J25" s="313"/>
      <c r="K25" s="313"/>
      <c r="L25" s="313"/>
      <c r="M25" s="313"/>
    </row>
    <row r="26" spans="2:13" ht="12" customHeight="1" x14ac:dyDescent="0.25">
      <c r="B26" s="313"/>
      <c r="C26" s="313"/>
      <c r="D26" s="313"/>
      <c r="E26" s="313"/>
      <c r="F26" s="313"/>
      <c r="G26" s="313"/>
      <c r="H26" s="313"/>
      <c r="I26" s="313"/>
      <c r="J26" s="313"/>
      <c r="K26" s="313"/>
      <c r="L26" s="313"/>
      <c r="M26" s="313"/>
    </row>
    <row r="27" spans="2:13" ht="12" customHeight="1" x14ac:dyDescent="0.25">
      <c r="B27" s="313"/>
      <c r="C27" s="313"/>
      <c r="D27" s="313"/>
      <c r="E27" s="313"/>
      <c r="F27" s="313"/>
      <c r="G27" s="313"/>
      <c r="H27" s="313"/>
      <c r="I27" s="313"/>
      <c r="J27" s="313"/>
      <c r="K27" s="313"/>
      <c r="L27" s="313"/>
      <c r="M27" s="313"/>
    </row>
    <row r="28" spans="2:13" ht="12" customHeight="1" x14ac:dyDescent="0.25">
      <c r="B28" s="313"/>
      <c r="C28" s="313"/>
      <c r="D28" s="313"/>
      <c r="E28" s="313"/>
      <c r="F28" s="313"/>
      <c r="G28" s="313"/>
      <c r="H28" s="313"/>
      <c r="I28" s="313"/>
      <c r="J28" s="313"/>
      <c r="K28" s="313"/>
      <c r="L28" s="313"/>
      <c r="M28" s="313"/>
    </row>
    <row r="29" spans="2:13" ht="12" customHeight="1" x14ac:dyDescent="0.25">
      <c r="B29" s="313"/>
      <c r="C29" s="313"/>
      <c r="D29" s="313"/>
      <c r="E29" s="313"/>
      <c r="F29" s="313"/>
      <c r="G29" s="313"/>
      <c r="H29" s="313"/>
      <c r="I29" s="313"/>
      <c r="J29" s="313"/>
      <c r="K29" s="313"/>
      <c r="L29" s="313"/>
      <c r="M29" s="313"/>
    </row>
    <row r="30" spans="2:13" ht="12" customHeight="1" x14ac:dyDescent="0.25">
      <c r="B30" s="313"/>
      <c r="C30" s="313"/>
      <c r="D30" s="313"/>
      <c r="E30" s="313"/>
      <c r="F30" s="313"/>
      <c r="G30" s="313"/>
      <c r="H30" s="313"/>
      <c r="I30" s="313"/>
      <c r="J30" s="313"/>
      <c r="K30" s="313"/>
      <c r="L30" s="313"/>
      <c r="M30" s="313"/>
    </row>
    <row r="31" spans="2:13" ht="12" customHeight="1" x14ac:dyDescent="0.25">
      <c r="B31" s="313"/>
      <c r="C31" s="313"/>
      <c r="D31" s="313"/>
      <c r="E31" s="313"/>
      <c r="F31" s="313"/>
      <c r="G31" s="313"/>
      <c r="H31" s="313"/>
      <c r="I31" s="313"/>
      <c r="J31" s="313"/>
      <c r="K31" s="313"/>
      <c r="L31" s="313"/>
      <c r="M31" s="313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10" zoomScale="90" zoomScaleNormal="90" workbookViewId="0">
      <selection activeCell="E17" sqref="E17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318" t="s">
        <v>190</v>
      </c>
      <c r="D1" s="318"/>
      <c r="E1" s="318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319" t="s">
        <v>192</v>
      </c>
      <c r="C3" s="320"/>
      <c r="D3" s="320"/>
      <c r="E3" s="320"/>
      <c r="F3" s="321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25" t="s">
        <v>231</v>
      </c>
      <c r="B5" s="325"/>
      <c r="C5" s="26">
        <v>2.42</v>
      </c>
      <c r="D5" s="326" t="s">
        <v>229</v>
      </c>
      <c r="E5" s="327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23" t="s">
        <v>226</v>
      </c>
      <c r="B7" s="323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164</v>
      </c>
      <c r="C9" s="35">
        <v>0.14000000000000001</v>
      </c>
      <c r="D9" s="36">
        <f t="shared" ref="D9:D18" si="0">C9*$C$5</f>
        <v>0.33880000000000005</v>
      </c>
      <c r="E9" s="37">
        <v>105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13</v>
      </c>
      <c r="C10" s="35">
        <v>0.11</v>
      </c>
      <c r="D10" s="36">
        <f t="shared" si="0"/>
        <v>0.26619999999999999</v>
      </c>
      <c r="E10" s="37">
        <v>90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12</v>
      </c>
      <c r="C11" s="35">
        <v>5.2999999999999999E-2</v>
      </c>
      <c r="D11" s="36">
        <f t="shared" si="0"/>
        <v>0.12825999999999999</v>
      </c>
      <c r="E11" s="37">
        <v>115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 t="s">
        <v>14</v>
      </c>
      <c r="C12" s="35">
        <v>0.39500000000000002</v>
      </c>
      <c r="D12" s="36">
        <f t="shared" si="0"/>
        <v>0.95589999999999997</v>
      </c>
      <c r="E12" s="37">
        <v>115</v>
      </c>
      <c r="F12" s="38" t="str">
        <f t="array" ref="F12">IF(E12="","",IF(INDEX(A:A,MAX(IF(ISNUMBER($A$114:$A$133),ROW($A$114:$A$133),"")))&lt;&gt;E12,"Corrigez : révolution incorrecte","OK"))</f>
        <v>OK</v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 t="s">
        <v>8</v>
      </c>
      <c r="C13" s="35">
        <v>9.7000000000000003E-2</v>
      </c>
      <c r="D13" s="36">
        <f t="shared" si="0"/>
        <v>0.23474</v>
      </c>
      <c r="E13" s="37">
        <v>80</v>
      </c>
      <c r="F13" s="38" t="str">
        <f t="array" ref="F13">IF(E13="","",IF(INDEX(A:A,MAX(IF(ISNUMBER($A$140:$A$159),ROW($A$140:$A$159),"")))&lt;&gt;E13,"Corrigez : révolution incorrecte","OK"))</f>
        <v>OK</v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 t="s">
        <v>4</v>
      </c>
      <c r="C14" s="35">
        <v>0.17899999999999999</v>
      </c>
      <c r="D14" s="36">
        <f t="shared" si="0"/>
        <v>0.43317999999999995</v>
      </c>
      <c r="E14" s="37">
        <v>90</v>
      </c>
      <c r="F14" s="38" t="str">
        <f t="array" ref="F14">IF(E14="","",IF(INDEX(A:A,MAX(IF(ISNUMBER($A$166:$A$185),ROW($A$166:$A$185),"")))&lt;&gt;E14,"Corrigez : révolution incorrecte","OK"))</f>
        <v>OK</v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 t="s">
        <v>29</v>
      </c>
      <c r="C15" s="35">
        <v>2.5999999999999999E-2</v>
      </c>
      <c r="D15" s="36">
        <f t="shared" si="0"/>
        <v>6.291999999999999E-2</v>
      </c>
      <c r="E15" s="37">
        <v>69</v>
      </c>
      <c r="F15" s="38" t="str">
        <f t="array" ref="F15">IF(E15="","",IF(INDEX(A:A,MAX(IF(ISNUMBER($A$192:$A$211),ROW($A$192:$A$211),"")))&lt;&gt;E15,"Corrigez : révolution incorrecte","OK"))</f>
        <v>OK</v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2.42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22" t="s">
        <v>232</v>
      </c>
      <c r="B22" s="322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24" t="s">
        <v>227</v>
      </c>
      <c r="B30" s="324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Cèdre de l'Atlas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314" t="s">
        <v>186</v>
      </c>
      <c r="D34" s="314"/>
      <c r="E34" s="315" t="s">
        <v>187</v>
      </c>
      <c r="F34" s="316"/>
      <c r="G34" s="316"/>
      <c r="H34" s="31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30</v>
      </c>
      <c r="B36" s="63">
        <v>195</v>
      </c>
      <c r="C36" s="63">
        <v>1</v>
      </c>
      <c r="D36" s="63">
        <v>0</v>
      </c>
      <c r="E36" s="54"/>
      <c r="F36" s="54"/>
      <c r="G36" s="54"/>
      <c r="H36" s="54"/>
      <c r="I36" s="52">
        <f>IFERROR(B36/A36,"")</f>
        <v>6.5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35</v>
      </c>
      <c r="B37" s="63">
        <v>280</v>
      </c>
      <c r="C37" s="63">
        <v>2</v>
      </c>
      <c r="D37" s="63">
        <v>0</v>
      </c>
      <c r="E37" s="54"/>
      <c r="F37" s="54"/>
      <c r="G37" s="54"/>
      <c r="H37" s="54"/>
      <c r="I37" s="56">
        <f t="shared" ref="I37:I55" si="1">IF(A37&lt;&gt;0,(B37-(B36-D36))/(A37-A36),"")</f>
        <v>17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42</v>
      </c>
      <c r="B38" s="63">
        <v>417</v>
      </c>
      <c r="C38" s="63">
        <v>3</v>
      </c>
      <c r="D38" s="63">
        <v>182</v>
      </c>
      <c r="E38" s="54"/>
      <c r="F38" s="54"/>
      <c r="G38" s="54"/>
      <c r="H38" s="54"/>
      <c r="I38" s="56">
        <f t="shared" si="1"/>
        <v>19.571428571428573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43</v>
      </c>
      <c r="B39" s="63">
        <v>256</v>
      </c>
      <c r="C39" s="63">
        <v>4</v>
      </c>
      <c r="D39" s="63">
        <v>0</v>
      </c>
      <c r="E39" s="54"/>
      <c r="F39" s="54"/>
      <c r="G39" s="54"/>
      <c r="H39" s="54"/>
      <c r="I39" s="52">
        <f t="shared" si="1"/>
        <v>21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49</v>
      </c>
      <c r="B40" s="63">
        <v>361</v>
      </c>
      <c r="C40" s="63">
        <v>5</v>
      </c>
      <c r="D40" s="63">
        <v>100</v>
      </c>
      <c r="E40" s="54"/>
      <c r="F40" s="54"/>
      <c r="G40" s="54"/>
      <c r="H40" s="54"/>
      <c r="I40" s="52">
        <f t="shared" si="1"/>
        <v>17.5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50</v>
      </c>
      <c r="B41" s="63">
        <v>278</v>
      </c>
      <c r="C41" s="63">
        <v>6</v>
      </c>
      <c r="D41" s="63">
        <v>0</v>
      </c>
      <c r="E41" s="54"/>
      <c r="F41" s="54"/>
      <c r="G41" s="54"/>
      <c r="H41" s="54"/>
      <c r="I41" s="56">
        <f t="shared" si="1"/>
        <v>17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56</v>
      </c>
      <c r="B42" s="63">
        <v>380</v>
      </c>
      <c r="C42" s="63">
        <v>7</v>
      </c>
      <c r="D42" s="63">
        <v>79</v>
      </c>
      <c r="E42" s="54"/>
      <c r="F42" s="54"/>
      <c r="G42" s="54"/>
      <c r="H42" s="54"/>
      <c r="I42" s="56">
        <f t="shared" si="1"/>
        <v>17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>
        <v>57</v>
      </c>
      <c r="B43" s="63">
        <v>316</v>
      </c>
      <c r="C43" s="63">
        <v>8</v>
      </c>
      <c r="D43" s="63">
        <v>0</v>
      </c>
      <c r="E43" s="54"/>
      <c r="F43" s="54"/>
      <c r="G43" s="54"/>
      <c r="H43" s="54"/>
      <c r="I43" s="52">
        <f t="shared" si="1"/>
        <v>15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>
        <v>63</v>
      </c>
      <c r="B44" s="63">
        <v>416</v>
      </c>
      <c r="C44" s="63">
        <v>9</v>
      </c>
      <c r="D44" s="63">
        <v>79</v>
      </c>
      <c r="E44" s="54"/>
      <c r="F44" s="54"/>
      <c r="G44" s="54"/>
      <c r="H44" s="54"/>
      <c r="I44" s="52">
        <f t="shared" si="1"/>
        <v>16.666666666666668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>
        <v>64</v>
      </c>
      <c r="B45" s="63">
        <v>353</v>
      </c>
      <c r="C45" s="63">
        <v>10</v>
      </c>
      <c r="D45" s="63">
        <v>0</v>
      </c>
      <c r="E45" s="54"/>
      <c r="F45" s="54"/>
      <c r="G45" s="54"/>
      <c r="H45" s="54"/>
      <c r="I45" s="52">
        <f t="shared" si="1"/>
        <v>16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>
        <v>71</v>
      </c>
      <c r="B46" s="63">
        <v>466</v>
      </c>
      <c r="C46" s="63">
        <v>11</v>
      </c>
      <c r="D46" s="63">
        <v>91</v>
      </c>
      <c r="E46" s="54"/>
      <c r="F46" s="54"/>
      <c r="G46" s="54"/>
      <c r="H46" s="54"/>
      <c r="I46" s="52">
        <f t="shared" si="1"/>
        <v>16.142857142857142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>
        <v>72</v>
      </c>
      <c r="B47" s="63">
        <v>390</v>
      </c>
      <c r="C47" s="63">
        <v>12</v>
      </c>
      <c r="D47" s="63">
        <v>0</v>
      </c>
      <c r="E47" s="54"/>
      <c r="F47" s="54"/>
      <c r="G47" s="54"/>
      <c r="H47" s="54"/>
      <c r="I47" s="52">
        <f t="shared" si="1"/>
        <v>15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>
        <v>79</v>
      </c>
      <c r="B48" s="63">
        <v>496</v>
      </c>
      <c r="C48" s="63">
        <v>13</v>
      </c>
      <c r="D48" s="63">
        <v>88</v>
      </c>
      <c r="E48" s="54"/>
      <c r="F48" s="54"/>
      <c r="G48" s="54"/>
      <c r="H48" s="54"/>
      <c r="I48" s="52">
        <f t="shared" si="1"/>
        <v>15.142857142857142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>
        <v>80</v>
      </c>
      <c r="B49" s="63">
        <v>423</v>
      </c>
      <c r="C49" s="63">
        <v>14</v>
      </c>
      <c r="D49" s="63">
        <v>0</v>
      </c>
      <c r="E49" s="54"/>
      <c r="F49" s="54"/>
      <c r="G49" s="54"/>
      <c r="H49" s="54"/>
      <c r="I49" s="52">
        <f t="shared" si="1"/>
        <v>15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>
        <v>87</v>
      </c>
      <c r="B50" s="53">
        <v>522</v>
      </c>
      <c r="C50" s="53">
        <v>15</v>
      </c>
      <c r="D50" s="53">
        <v>89</v>
      </c>
      <c r="E50" s="54"/>
      <c r="F50" s="54"/>
      <c r="G50" s="54"/>
      <c r="H50" s="54"/>
      <c r="I50" s="52">
        <f t="shared" si="1"/>
        <v>14.142857142857142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>
        <v>88</v>
      </c>
      <c r="B51" s="53">
        <v>447</v>
      </c>
      <c r="C51" s="53">
        <v>16</v>
      </c>
      <c r="D51" s="53">
        <v>0</v>
      </c>
      <c r="E51" s="54"/>
      <c r="F51" s="54"/>
      <c r="G51" s="54"/>
      <c r="H51" s="54"/>
      <c r="I51" s="52">
        <f t="shared" si="1"/>
        <v>14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>
        <v>94</v>
      </c>
      <c r="B52" s="53">
        <v>525</v>
      </c>
      <c r="C52" s="53">
        <v>17</v>
      </c>
      <c r="D52" s="53">
        <v>0</v>
      </c>
      <c r="E52" s="54"/>
      <c r="F52" s="54"/>
      <c r="G52" s="54"/>
      <c r="H52" s="54"/>
      <c r="I52" s="52">
        <f t="shared" si="1"/>
        <v>13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>
        <v>95</v>
      </c>
      <c r="B53" s="53">
        <v>538</v>
      </c>
      <c r="C53" s="53">
        <v>18</v>
      </c>
      <c r="D53" s="53">
        <v>269</v>
      </c>
      <c r="E53" s="54"/>
      <c r="F53" s="54"/>
      <c r="G53" s="54"/>
      <c r="H53" s="54"/>
      <c r="I53" s="52">
        <f t="shared" si="1"/>
        <v>13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>
        <v>96</v>
      </c>
      <c r="B54" s="53">
        <v>280</v>
      </c>
      <c r="C54" s="53">
        <v>19</v>
      </c>
      <c r="D54" s="53">
        <v>0</v>
      </c>
      <c r="E54" s="54"/>
      <c r="F54" s="54"/>
      <c r="G54" s="54"/>
      <c r="H54" s="54"/>
      <c r="I54" s="52">
        <f t="shared" si="1"/>
        <v>11</v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>
        <v>105</v>
      </c>
      <c r="B55" s="53">
        <v>357</v>
      </c>
      <c r="C55" s="53">
        <v>20</v>
      </c>
      <c r="D55" s="53">
        <v>357</v>
      </c>
      <c r="E55" s="54"/>
      <c r="F55" s="54"/>
      <c r="G55" s="54"/>
      <c r="H55" s="54"/>
      <c r="I55" s="52">
        <f t="shared" si="1"/>
        <v>8.5555555555555554</v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Chêne rouge d'Amérique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314" t="s">
        <v>186</v>
      </c>
      <c r="D60" s="314"/>
      <c r="E60" s="315" t="s">
        <v>187</v>
      </c>
      <c r="F60" s="316"/>
      <c r="G60" s="316"/>
      <c r="H60" s="31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20</v>
      </c>
      <c r="B62" s="63">
        <v>132</v>
      </c>
      <c r="C62" s="63">
        <v>1</v>
      </c>
      <c r="D62" s="63">
        <v>50</v>
      </c>
      <c r="E62" s="54"/>
      <c r="F62" s="54"/>
      <c r="G62" s="54"/>
      <c r="H62" s="54">
        <v>1</v>
      </c>
      <c r="I62" s="56">
        <f>IFERROR(B62/A62,"")</f>
        <v>6.6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25</v>
      </c>
      <c r="B63" s="63">
        <v>143</v>
      </c>
      <c r="C63" s="63">
        <v>2</v>
      </c>
      <c r="D63" s="63">
        <v>37</v>
      </c>
      <c r="E63" s="54"/>
      <c r="F63" s="54">
        <v>0.8</v>
      </c>
      <c r="G63" s="54"/>
      <c r="H63" s="54">
        <v>0.8</v>
      </c>
      <c r="I63" s="52">
        <f>IF(A63&lt;&gt;0,(B63-(B62-D62))/(A63-A62),"")</f>
        <v>12.2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30</v>
      </c>
      <c r="B64" s="63">
        <v>163</v>
      </c>
      <c r="C64" s="63">
        <v>3</v>
      </c>
      <c r="D64" s="63">
        <v>37</v>
      </c>
      <c r="E64" s="54">
        <v>0.4</v>
      </c>
      <c r="F64" s="54">
        <v>0.2</v>
      </c>
      <c r="G64" s="54"/>
      <c r="H64" s="54">
        <v>0.4</v>
      </c>
      <c r="I64" s="52">
        <f>IF(A64&lt;&gt;0,(B64-(B63-D63))/(A64-A63),"")</f>
        <v>11.4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35</v>
      </c>
      <c r="B65" s="63">
        <v>179</v>
      </c>
      <c r="C65" s="63">
        <v>4</v>
      </c>
      <c r="D65" s="63">
        <v>36</v>
      </c>
      <c r="E65" s="54"/>
      <c r="F65" s="54"/>
      <c r="G65" s="54"/>
      <c r="H65" s="54"/>
      <c r="I65" s="52">
        <f>IF(A65&lt;&gt;0,(B65-(B64-D64))/(A65-A64),"")</f>
        <v>10.6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40</v>
      </c>
      <c r="B66" s="63">
        <v>191</v>
      </c>
      <c r="C66" s="63">
        <v>5</v>
      </c>
      <c r="D66" s="63">
        <v>33</v>
      </c>
      <c r="E66" s="54"/>
      <c r="F66" s="54"/>
      <c r="G66" s="54"/>
      <c r="H66" s="54"/>
      <c r="I66" s="52">
        <f t="shared" ref="I66:I81" si="2">IF(A66&lt;&gt;0,(B66-(B65-D65))/(A66-A65),"")</f>
        <v>9.6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45</v>
      </c>
      <c r="B67" s="63">
        <v>201</v>
      </c>
      <c r="C67" s="63">
        <v>6</v>
      </c>
      <c r="D67" s="63">
        <v>31</v>
      </c>
      <c r="E67" s="54"/>
      <c r="F67" s="54"/>
      <c r="G67" s="54"/>
      <c r="H67" s="54"/>
      <c r="I67" s="52">
        <f t="shared" si="2"/>
        <v>8.6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50</v>
      </c>
      <c r="B68" s="63">
        <v>209</v>
      </c>
      <c r="C68" s="63">
        <v>7</v>
      </c>
      <c r="D68" s="63">
        <v>28</v>
      </c>
      <c r="E68" s="54"/>
      <c r="F68" s="54"/>
      <c r="G68" s="54"/>
      <c r="H68" s="54"/>
      <c r="I68" s="52">
        <f t="shared" si="2"/>
        <v>7.8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55</v>
      </c>
      <c r="B69" s="53">
        <v>215</v>
      </c>
      <c r="C69" s="53">
        <v>8</v>
      </c>
      <c r="D69" s="53">
        <v>25</v>
      </c>
      <c r="E69" s="54"/>
      <c r="F69" s="54"/>
      <c r="G69" s="54"/>
      <c r="H69" s="54"/>
      <c r="I69" s="52">
        <f t="shared" si="2"/>
        <v>6.8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60</v>
      </c>
      <c r="B70" s="53">
        <v>220</v>
      </c>
      <c r="C70" s="53">
        <v>9</v>
      </c>
      <c r="D70" s="53">
        <v>22</v>
      </c>
      <c r="E70" s="54"/>
      <c r="F70" s="54"/>
      <c r="G70" s="54"/>
      <c r="H70" s="54"/>
      <c r="I70" s="52">
        <f t="shared" si="2"/>
        <v>6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>
        <v>65</v>
      </c>
      <c r="B71" s="53">
        <v>224</v>
      </c>
      <c r="C71" s="53">
        <v>10</v>
      </c>
      <c r="D71" s="53">
        <v>20</v>
      </c>
      <c r="E71" s="54"/>
      <c r="F71" s="54"/>
      <c r="G71" s="54"/>
      <c r="H71" s="54"/>
      <c r="I71" s="52">
        <f t="shared" si="2"/>
        <v>5.2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>
        <v>70</v>
      </c>
      <c r="B72" s="53">
        <v>227</v>
      </c>
      <c r="C72" s="53">
        <v>11</v>
      </c>
      <c r="D72" s="53">
        <v>17</v>
      </c>
      <c r="E72" s="54"/>
      <c r="F72" s="54"/>
      <c r="G72" s="54"/>
      <c r="H72" s="54"/>
      <c r="I72" s="52">
        <f t="shared" si="2"/>
        <v>4.5999999999999996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>
        <v>75</v>
      </c>
      <c r="B73" s="53">
        <v>230</v>
      </c>
      <c r="C73" s="53">
        <v>12</v>
      </c>
      <c r="D73" s="53">
        <v>15</v>
      </c>
      <c r="E73" s="54"/>
      <c r="F73" s="54"/>
      <c r="G73" s="54"/>
      <c r="H73" s="54"/>
      <c r="I73" s="52">
        <f t="shared" si="2"/>
        <v>4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>
        <v>80</v>
      </c>
      <c r="B74" s="53">
        <v>233</v>
      </c>
      <c r="C74" s="53">
        <v>13</v>
      </c>
      <c r="D74" s="53">
        <v>13</v>
      </c>
      <c r="E74" s="54"/>
      <c r="F74" s="54"/>
      <c r="G74" s="54"/>
      <c r="H74" s="54"/>
      <c r="I74" s="52">
        <f t="shared" si="2"/>
        <v>3.6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>
        <v>85</v>
      </c>
      <c r="B75" s="53">
        <v>235</v>
      </c>
      <c r="C75" s="53">
        <v>14</v>
      </c>
      <c r="D75" s="53">
        <v>12</v>
      </c>
      <c r="E75" s="54"/>
      <c r="F75" s="54"/>
      <c r="G75" s="54"/>
      <c r="H75" s="54"/>
      <c r="I75" s="52">
        <f t="shared" si="2"/>
        <v>3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>
        <v>90</v>
      </c>
      <c r="B76" s="53">
        <v>236</v>
      </c>
      <c r="C76" s="53">
        <v>15</v>
      </c>
      <c r="D76" s="53">
        <v>236</v>
      </c>
      <c r="E76" s="54"/>
      <c r="F76" s="54"/>
      <c r="G76" s="54"/>
      <c r="H76" s="54"/>
      <c r="I76" s="52">
        <f t="shared" si="2"/>
        <v>2.6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Chêne pubescent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314" t="s">
        <v>186</v>
      </c>
      <c r="D86" s="314"/>
      <c r="E86" s="315" t="s">
        <v>187</v>
      </c>
      <c r="F86" s="316"/>
      <c r="G86" s="316"/>
      <c r="H86" s="31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20</v>
      </c>
      <c r="B88" s="63">
        <v>73</v>
      </c>
      <c r="C88" s="63">
        <v>1</v>
      </c>
      <c r="D88" s="63">
        <v>6</v>
      </c>
      <c r="E88" s="54"/>
      <c r="F88" s="54"/>
      <c r="G88" s="54"/>
      <c r="H88" s="93">
        <v>1</v>
      </c>
      <c r="I88" s="56">
        <f>IFERROR(B88/A88,"")</f>
        <v>3.65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25</v>
      </c>
      <c r="B89" s="63">
        <v>103</v>
      </c>
      <c r="C89" s="63">
        <v>2</v>
      </c>
      <c r="D89" s="63">
        <v>28</v>
      </c>
      <c r="E89" s="54"/>
      <c r="F89" s="54"/>
      <c r="G89" s="54"/>
      <c r="H89" s="93">
        <v>1</v>
      </c>
      <c r="I89" s="56">
        <f t="shared" ref="I89:I107" si="3">IF(A89&lt;&gt;0,(B89-(B88-D88))/(A89-A88),"")</f>
        <v>7.2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30</v>
      </c>
      <c r="B90" s="63">
        <v>121</v>
      </c>
      <c r="C90" s="63">
        <v>3</v>
      </c>
      <c r="D90" s="63">
        <v>28</v>
      </c>
      <c r="E90" s="93">
        <v>0.2</v>
      </c>
      <c r="F90" s="93"/>
      <c r="G90" s="93"/>
      <c r="H90" s="93">
        <v>0.8</v>
      </c>
      <c r="I90" s="56">
        <f t="shared" si="3"/>
        <v>9.1999999999999993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35</v>
      </c>
      <c r="B91" s="63">
        <v>147</v>
      </c>
      <c r="C91" s="63">
        <v>4</v>
      </c>
      <c r="D91" s="63">
        <v>28</v>
      </c>
      <c r="E91" s="93"/>
      <c r="F91" s="93"/>
      <c r="G91" s="93"/>
      <c r="H91" s="93"/>
      <c r="I91" s="56">
        <f t="shared" si="3"/>
        <v>10.8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>
        <v>40</v>
      </c>
      <c r="B92" s="63">
        <v>175</v>
      </c>
      <c r="C92" s="63">
        <v>5</v>
      </c>
      <c r="D92" s="63">
        <v>28</v>
      </c>
      <c r="E92" s="93"/>
      <c r="F92" s="93"/>
      <c r="G92" s="93"/>
      <c r="H92" s="93"/>
      <c r="I92" s="56">
        <f t="shared" si="3"/>
        <v>11.2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>
        <v>45</v>
      </c>
      <c r="B93" s="63">
        <v>204</v>
      </c>
      <c r="C93" s="63">
        <v>6</v>
      </c>
      <c r="D93" s="63">
        <v>28</v>
      </c>
      <c r="E93" s="93"/>
      <c r="F93" s="93"/>
      <c r="G93" s="93"/>
      <c r="H93" s="93"/>
      <c r="I93" s="56">
        <f t="shared" si="3"/>
        <v>11.4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>
        <v>50</v>
      </c>
      <c r="B94" s="63">
        <v>231</v>
      </c>
      <c r="C94" s="63">
        <v>7</v>
      </c>
      <c r="D94" s="63">
        <v>28</v>
      </c>
      <c r="E94" s="93"/>
      <c r="F94" s="93"/>
      <c r="G94" s="93"/>
      <c r="H94" s="93"/>
      <c r="I94" s="56">
        <f t="shared" si="3"/>
        <v>11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>
        <v>55</v>
      </c>
      <c r="B95" s="63">
        <v>254</v>
      </c>
      <c r="C95" s="63">
        <v>8</v>
      </c>
      <c r="D95" s="63">
        <v>28</v>
      </c>
      <c r="E95" s="93"/>
      <c r="F95" s="93"/>
      <c r="G95" s="93"/>
      <c r="H95" s="93"/>
      <c r="I95" s="56">
        <f t="shared" si="3"/>
        <v>10.199999999999999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>
        <v>60</v>
      </c>
      <c r="B96" s="63">
        <v>273</v>
      </c>
      <c r="C96" s="63">
        <v>9</v>
      </c>
      <c r="D96" s="63">
        <v>28</v>
      </c>
      <c r="E96" s="93"/>
      <c r="F96" s="93"/>
      <c r="G96" s="93"/>
      <c r="H96" s="93"/>
      <c r="I96" s="56">
        <f t="shared" si="3"/>
        <v>9.4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>
        <v>65</v>
      </c>
      <c r="B97" s="63">
        <v>289</v>
      </c>
      <c r="C97" s="63">
        <v>10</v>
      </c>
      <c r="D97" s="63">
        <v>28</v>
      </c>
      <c r="E97" s="93"/>
      <c r="F97" s="93"/>
      <c r="G97" s="93"/>
      <c r="H97" s="93"/>
      <c r="I97" s="56">
        <f t="shared" si="3"/>
        <v>8.8000000000000007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>
        <v>70</v>
      </c>
      <c r="B98" s="63">
        <v>302</v>
      </c>
      <c r="C98" s="63">
        <v>11</v>
      </c>
      <c r="D98" s="63">
        <v>28</v>
      </c>
      <c r="E98" s="93"/>
      <c r="F98" s="93"/>
      <c r="G98" s="93"/>
      <c r="H98" s="93"/>
      <c r="I98" s="56">
        <f t="shared" si="3"/>
        <v>8.1999999999999993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>
        <v>75</v>
      </c>
      <c r="B99" s="63">
        <v>312</v>
      </c>
      <c r="C99" s="63">
        <v>12</v>
      </c>
      <c r="D99" s="63">
        <v>28</v>
      </c>
      <c r="E99" s="93"/>
      <c r="F99" s="93"/>
      <c r="G99" s="93"/>
      <c r="H99" s="93"/>
      <c r="I99" s="56">
        <f t="shared" si="3"/>
        <v>7.6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>
        <v>80</v>
      </c>
      <c r="B100" s="63">
        <v>320</v>
      </c>
      <c r="C100" s="63">
        <v>13</v>
      </c>
      <c r="D100" s="63">
        <v>28</v>
      </c>
      <c r="E100" s="68"/>
      <c r="F100" s="68"/>
      <c r="G100" s="68"/>
      <c r="H100" s="68"/>
      <c r="I100" s="56">
        <f t="shared" si="3"/>
        <v>7.2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>
        <v>85</v>
      </c>
      <c r="B101" s="63">
        <v>326</v>
      </c>
      <c r="C101" s="63">
        <v>14</v>
      </c>
      <c r="D101" s="63">
        <v>28</v>
      </c>
      <c r="E101" s="68"/>
      <c r="F101" s="68"/>
      <c r="G101" s="68"/>
      <c r="H101" s="68"/>
      <c r="I101" s="56">
        <f t="shared" si="3"/>
        <v>6.8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>
        <v>90</v>
      </c>
      <c r="B102" s="53">
        <v>330</v>
      </c>
      <c r="C102" s="63">
        <v>15</v>
      </c>
      <c r="D102" s="53">
        <v>28</v>
      </c>
      <c r="E102" s="57"/>
      <c r="F102" s="57"/>
      <c r="G102" s="57"/>
      <c r="H102" s="57"/>
      <c r="I102" s="56">
        <f t="shared" si="3"/>
        <v>6.4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>
        <v>95</v>
      </c>
      <c r="B103" s="53">
        <v>332</v>
      </c>
      <c r="C103" s="63">
        <v>16</v>
      </c>
      <c r="D103" s="53">
        <v>28</v>
      </c>
      <c r="E103" s="57"/>
      <c r="F103" s="57"/>
      <c r="G103" s="57"/>
      <c r="H103" s="57"/>
      <c r="I103" s="56">
        <f t="shared" si="3"/>
        <v>6</v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>
        <v>100</v>
      </c>
      <c r="B104" s="53">
        <v>333</v>
      </c>
      <c r="C104" s="63">
        <v>17</v>
      </c>
      <c r="D104" s="53">
        <v>27</v>
      </c>
      <c r="E104" s="57"/>
      <c r="F104" s="57"/>
      <c r="G104" s="57"/>
      <c r="H104" s="57"/>
      <c r="I104" s="56">
        <f t="shared" si="3"/>
        <v>5.8</v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>
        <v>105</v>
      </c>
      <c r="B105" s="53">
        <v>333</v>
      </c>
      <c r="C105" s="53">
        <v>18</v>
      </c>
      <c r="D105" s="53">
        <v>26</v>
      </c>
      <c r="E105" s="57"/>
      <c r="F105" s="57"/>
      <c r="G105" s="57"/>
      <c r="H105" s="57"/>
      <c r="I105" s="56">
        <f t="shared" si="3"/>
        <v>5.4</v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>
        <v>110</v>
      </c>
      <c r="B106" s="53">
        <v>332</v>
      </c>
      <c r="C106" s="53">
        <v>19</v>
      </c>
      <c r="D106" s="53">
        <v>25</v>
      </c>
      <c r="E106" s="57"/>
      <c r="F106" s="57"/>
      <c r="G106" s="57"/>
      <c r="H106" s="57"/>
      <c r="I106" s="56">
        <f t="shared" si="3"/>
        <v>5</v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>
        <v>115</v>
      </c>
      <c r="B107" s="53">
        <v>330</v>
      </c>
      <c r="C107" s="53">
        <v>20</v>
      </c>
      <c r="D107" s="53">
        <v>330</v>
      </c>
      <c r="E107" s="57"/>
      <c r="F107" s="57"/>
      <c r="G107" s="57"/>
      <c r="H107" s="57"/>
      <c r="I107" s="56">
        <f t="shared" si="3"/>
        <v>4.5999999999999996</v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>Chêne sessile</v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314" t="s">
        <v>186</v>
      </c>
      <c r="D112" s="314"/>
      <c r="E112" s="315" t="s">
        <v>187</v>
      </c>
      <c r="F112" s="316"/>
      <c r="G112" s="316"/>
      <c r="H112" s="31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>
        <v>20</v>
      </c>
      <c r="B114" s="63">
        <v>73</v>
      </c>
      <c r="C114" s="53">
        <v>1</v>
      </c>
      <c r="D114" s="63">
        <v>6</v>
      </c>
      <c r="E114" s="54"/>
      <c r="F114" s="54"/>
      <c r="G114" s="54"/>
      <c r="H114" s="93">
        <v>1</v>
      </c>
      <c r="I114" s="56">
        <f>IFERROR(B114/A114,"")</f>
        <v>3.65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>
        <v>25</v>
      </c>
      <c r="B115" s="63">
        <v>103</v>
      </c>
      <c r="C115" s="53">
        <v>2</v>
      </c>
      <c r="D115" s="63">
        <v>28</v>
      </c>
      <c r="E115" s="54"/>
      <c r="F115" s="54"/>
      <c r="G115" s="54"/>
      <c r="H115" s="93">
        <v>1</v>
      </c>
      <c r="I115" s="56">
        <f t="shared" ref="I115:I133" si="4">IF(A115&lt;&gt;0,(B115-(B114-D114))/(A115-A114),"")</f>
        <v>7.2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>
        <v>30</v>
      </c>
      <c r="B116" s="63">
        <v>121</v>
      </c>
      <c r="C116" s="53">
        <v>3</v>
      </c>
      <c r="D116" s="63">
        <v>28</v>
      </c>
      <c r="E116" s="93">
        <v>0.2</v>
      </c>
      <c r="F116" s="93"/>
      <c r="G116" s="93"/>
      <c r="H116" s="93">
        <v>0.8</v>
      </c>
      <c r="I116" s="56">
        <f t="shared" si="4"/>
        <v>9.1999999999999993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>
        <v>35</v>
      </c>
      <c r="B117" s="63">
        <v>147</v>
      </c>
      <c r="C117" s="53">
        <v>4</v>
      </c>
      <c r="D117" s="63">
        <v>28</v>
      </c>
      <c r="E117" s="93"/>
      <c r="F117" s="93"/>
      <c r="G117" s="93"/>
      <c r="H117" s="93"/>
      <c r="I117" s="56">
        <f t="shared" si="4"/>
        <v>10.8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>
        <v>40</v>
      </c>
      <c r="B118" s="63">
        <v>175</v>
      </c>
      <c r="C118" s="53">
        <v>5</v>
      </c>
      <c r="D118" s="63">
        <v>28</v>
      </c>
      <c r="E118" s="54"/>
      <c r="F118" s="54"/>
      <c r="G118" s="54"/>
      <c r="H118" s="54"/>
      <c r="I118" s="56">
        <f t="shared" si="4"/>
        <v>11.2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>
        <v>45</v>
      </c>
      <c r="B119" s="63">
        <v>204</v>
      </c>
      <c r="C119" s="53">
        <v>6</v>
      </c>
      <c r="D119" s="63">
        <v>28</v>
      </c>
      <c r="E119" s="54"/>
      <c r="F119" s="54"/>
      <c r="G119" s="54"/>
      <c r="H119" s="54"/>
      <c r="I119" s="56">
        <f t="shared" si="4"/>
        <v>11.4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>
        <v>50</v>
      </c>
      <c r="B120" s="63">
        <v>231</v>
      </c>
      <c r="C120" s="63">
        <v>7</v>
      </c>
      <c r="D120" s="63">
        <v>28</v>
      </c>
      <c r="E120" s="93"/>
      <c r="F120" s="93"/>
      <c r="G120" s="93"/>
      <c r="H120" s="93"/>
      <c r="I120" s="56">
        <f t="shared" si="4"/>
        <v>11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>
        <v>55</v>
      </c>
      <c r="B121" s="63">
        <v>254</v>
      </c>
      <c r="C121" s="63">
        <v>8</v>
      </c>
      <c r="D121" s="63">
        <v>28</v>
      </c>
      <c r="E121" s="93"/>
      <c r="F121" s="93"/>
      <c r="G121" s="93"/>
      <c r="H121" s="93"/>
      <c r="I121" s="56">
        <f t="shared" si="4"/>
        <v>10.199999999999999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>
        <v>60</v>
      </c>
      <c r="B122" s="63">
        <v>273</v>
      </c>
      <c r="C122" s="63">
        <v>9</v>
      </c>
      <c r="D122" s="63">
        <v>28</v>
      </c>
      <c r="E122" s="93"/>
      <c r="F122" s="93"/>
      <c r="G122" s="93"/>
      <c r="H122" s="93"/>
      <c r="I122" s="56">
        <f t="shared" si="4"/>
        <v>9.4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>
        <v>65</v>
      </c>
      <c r="B123" s="63">
        <v>289</v>
      </c>
      <c r="C123" s="63">
        <v>10</v>
      </c>
      <c r="D123" s="63">
        <v>28</v>
      </c>
      <c r="E123" s="93"/>
      <c r="F123" s="93"/>
      <c r="G123" s="93"/>
      <c r="H123" s="93"/>
      <c r="I123" s="56">
        <f t="shared" si="4"/>
        <v>8.8000000000000007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>
        <v>70</v>
      </c>
      <c r="B124" s="63">
        <v>302</v>
      </c>
      <c r="C124" s="63">
        <v>11</v>
      </c>
      <c r="D124" s="63">
        <v>28</v>
      </c>
      <c r="E124" s="93"/>
      <c r="F124" s="93"/>
      <c r="G124" s="93"/>
      <c r="H124" s="93"/>
      <c r="I124" s="56">
        <f t="shared" si="4"/>
        <v>8.1999999999999993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>
        <v>75</v>
      </c>
      <c r="B125" s="63">
        <v>312</v>
      </c>
      <c r="C125" s="63">
        <v>12</v>
      </c>
      <c r="D125" s="63">
        <v>28</v>
      </c>
      <c r="E125" s="93"/>
      <c r="F125" s="93"/>
      <c r="G125" s="93"/>
      <c r="H125" s="93"/>
      <c r="I125" s="56">
        <f t="shared" si="4"/>
        <v>7.6</v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>
        <v>80</v>
      </c>
      <c r="B126" s="63">
        <v>320</v>
      </c>
      <c r="C126" s="63">
        <v>13</v>
      </c>
      <c r="D126" s="63">
        <v>28</v>
      </c>
      <c r="E126" s="68"/>
      <c r="F126" s="68"/>
      <c r="G126" s="68"/>
      <c r="H126" s="68"/>
      <c r="I126" s="56">
        <f t="shared" si="4"/>
        <v>7.2</v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>
        <v>85</v>
      </c>
      <c r="B127" s="63">
        <v>326</v>
      </c>
      <c r="C127" s="63">
        <v>14</v>
      </c>
      <c r="D127" s="63">
        <v>28</v>
      </c>
      <c r="E127" s="68"/>
      <c r="F127" s="68"/>
      <c r="G127" s="68"/>
      <c r="H127" s="68"/>
      <c r="I127" s="56">
        <f t="shared" si="4"/>
        <v>6.8</v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>
        <v>90</v>
      </c>
      <c r="B128" s="53">
        <v>330</v>
      </c>
      <c r="C128" s="53">
        <v>15</v>
      </c>
      <c r="D128" s="53">
        <v>28</v>
      </c>
      <c r="E128" s="57"/>
      <c r="F128" s="57"/>
      <c r="G128" s="57"/>
      <c r="H128" s="57"/>
      <c r="I128" s="56">
        <f t="shared" si="4"/>
        <v>6.4</v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>
        <v>95</v>
      </c>
      <c r="B129" s="53">
        <v>332</v>
      </c>
      <c r="C129" s="53">
        <v>16</v>
      </c>
      <c r="D129" s="53">
        <v>28</v>
      </c>
      <c r="E129" s="57"/>
      <c r="F129" s="57"/>
      <c r="G129" s="57"/>
      <c r="H129" s="57"/>
      <c r="I129" s="56">
        <f t="shared" si="4"/>
        <v>6</v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>
        <v>100</v>
      </c>
      <c r="B130" s="53">
        <v>333</v>
      </c>
      <c r="C130" s="53">
        <v>17</v>
      </c>
      <c r="D130" s="53">
        <v>27</v>
      </c>
      <c r="E130" s="57"/>
      <c r="F130" s="57"/>
      <c r="G130" s="57"/>
      <c r="H130" s="57"/>
      <c r="I130" s="56">
        <f t="shared" si="4"/>
        <v>5.8</v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>
        <v>105</v>
      </c>
      <c r="B131" s="53">
        <v>333</v>
      </c>
      <c r="C131" s="53">
        <v>18</v>
      </c>
      <c r="D131" s="53">
        <v>26</v>
      </c>
      <c r="E131" s="57"/>
      <c r="F131" s="57"/>
      <c r="G131" s="57"/>
      <c r="H131" s="57"/>
      <c r="I131" s="56">
        <f t="shared" si="4"/>
        <v>5.4</v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>
        <v>110</v>
      </c>
      <c r="B132" s="53">
        <v>332</v>
      </c>
      <c r="C132" s="53">
        <v>19</v>
      </c>
      <c r="D132" s="53">
        <v>25</v>
      </c>
      <c r="E132" s="57"/>
      <c r="F132" s="57"/>
      <c r="G132" s="57"/>
      <c r="H132" s="57"/>
      <c r="I132" s="56">
        <f t="shared" si="4"/>
        <v>5</v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>
        <v>115</v>
      </c>
      <c r="B133" s="53">
        <v>330</v>
      </c>
      <c r="C133" s="53">
        <v>20</v>
      </c>
      <c r="D133" s="53">
        <v>330</v>
      </c>
      <c r="E133" s="57"/>
      <c r="F133" s="57"/>
      <c r="G133" s="57"/>
      <c r="H133" s="57"/>
      <c r="I133" s="56">
        <f t="shared" si="4"/>
        <v>4.5999999999999996</v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>Châtaignier</v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314" t="s">
        <v>186</v>
      </c>
      <c r="D138" s="314"/>
      <c r="E138" s="315" t="s">
        <v>187</v>
      </c>
      <c r="F138" s="316"/>
      <c r="G138" s="316"/>
      <c r="H138" s="31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>
        <v>10</v>
      </c>
      <c r="B140" s="63">
        <v>11</v>
      </c>
      <c r="C140" s="53">
        <v>1</v>
      </c>
      <c r="D140" s="63">
        <v>0</v>
      </c>
      <c r="E140" s="54"/>
      <c r="F140" s="54"/>
      <c r="G140" s="54"/>
      <c r="H140" s="93">
        <v>1</v>
      </c>
      <c r="I140" s="60">
        <f>IFERROR(B140/A140,"")</f>
        <v>1.1000000000000001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>
        <v>15</v>
      </c>
      <c r="B141" s="63">
        <v>65</v>
      </c>
      <c r="C141" s="53">
        <v>2</v>
      </c>
      <c r="D141" s="63">
        <v>32</v>
      </c>
      <c r="E141" s="54"/>
      <c r="F141" s="54"/>
      <c r="G141" s="54"/>
      <c r="H141" s="93">
        <v>1</v>
      </c>
      <c r="I141" s="60">
        <f t="shared" ref="I141:I159" si="5">IF(A141&lt;&gt;0,(B141-(B140-D140))/(A141-A140),"")</f>
        <v>10.8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>
        <v>20</v>
      </c>
      <c r="B142" s="63">
        <v>101</v>
      </c>
      <c r="C142" s="53">
        <v>3</v>
      </c>
      <c r="D142" s="63">
        <v>35</v>
      </c>
      <c r="E142" s="93">
        <v>0.2</v>
      </c>
      <c r="F142" s="93"/>
      <c r="G142" s="93"/>
      <c r="H142" s="93">
        <v>0.8</v>
      </c>
      <c r="I142" s="60">
        <f t="shared" si="5"/>
        <v>13.6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>
        <v>25</v>
      </c>
      <c r="B143" s="63">
        <v>140</v>
      </c>
      <c r="C143" s="53">
        <v>4</v>
      </c>
      <c r="D143" s="63">
        <v>35</v>
      </c>
      <c r="E143" s="93"/>
      <c r="F143" s="93"/>
      <c r="G143" s="93"/>
      <c r="H143" s="93"/>
      <c r="I143" s="60">
        <f t="shared" si="5"/>
        <v>14.8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>
        <v>30</v>
      </c>
      <c r="B144" s="63">
        <v>176</v>
      </c>
      <c r="C144" s="53">
        <v>5</v>
      </c>
      <c r="D144" s="63">
        <v>35</v>
      </c>
      <c r="E144" s="54"/>
      <c r="F144" s="54"/>
      <c r="G144" s="54"/>
      <c r="H144" s="54"/>
      <c r="I144" s="60">
        <f t="shared" si="5"/>
        <v>14.2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>
        <v>35</v>
      </c>
      <c r="B145" s="63">
        <v>206</v>
      </c>
      <c r="C145" s="53">
        <v>6</v>
      </c>
      <c r="D145" s="63">
        <v>35</v>
      </c>
      <c r="E145" s="54"/>
      <c r="F145" s="54"/>
      <c r="G145" s="54"/>
      <c r="H145" s="54"/>
      <c r="I145" s="60">
        <f t="shared" si="5"/>
        <v>13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>
        <v>40</v>
      </c>
      <c r="B146" s="63">
        <v>228</v>
      </c>
      <c r="C146" s="53">
        <v>7</v>
      </c>
      <c r="D146" s="63">
        <v>35</v>
      </c>
      <c r="E146" s="54"/>
      <c r="F146" s="54"/>
      <c r="G146" s="54"/>
      <c r="H146" s="54"/>
      <c r="I146" s="60">
        <f t="shared" si="5"/>
        <v>11.4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>
        <v>45</v>
      </c>
      <c r="B147" s="63">
        <v>242</v>
      </c>
      <c r="C147" s="53">
        <v>8</v>
      </c>
      <c r="D147" s="63">
        <v>24</v>
      </c>
      <c r="E147" s="54"/>
      <c r="F147" s="54"/>
      <c r="G147" s="54"/>
      <c r="H147" s="54"/>
      <c r="I147" s="60">
        <f>IF(A147&lt;&gt;0,(B147-(B146-D146))/(A147-A146),"")</f>
        <v>9.8000000000000007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>
        <v>50</v>
      </c>
      <c r="B148" s="63">
        <v>260</v>
      </c>
      <c r="C148" s="53">
        <v>9</v>
      </c>
      <c r="D148" s="63">
        <v>19</v>
      </c>
      <c r="E148" s="54"/>
      <c r="F148" s="54"/>
      <c r="G148" s="54"/>
      <c r="H148" s="54"/>
      <c r="I148" s="60">
        <f t="shared" si="5"/>
        <v>8.4</v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>
        <v>55</v>
      </c>
      <c r="B149" s="63">
        <v>278</v>
      </c>
      <c r="C149" s="53">
        <v>10</v>
      </c>
      <c r="D149" s="63">
        <v>16</v>
      </c>
      <c r="E149" s="54"/>
      <c r="F149" s="54"/>
      <c r="G149" s="54"/>
      <c r="H149" s="54"/>
      <c r="I149" s="60">
        <f t="shared" si="5"/>
        <v>7.4</v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>
        <v>60</v>
      </c>
      <c r="B150" s="63">
        <v>294</v>
      </c>
      <c r="C150" s="53">
        <v>11</v>
      </c>
      <c r="D150" s="63">
        <v>14</v>
      </c>
      <c r="E150" s="54"/>
      <c r="F150" s="54"/>
      <c r="G150" s="54"/>
      <c r="H150" s="54"/>
      <c r="I150" s="60">
        <f t="shared" si="5"/>
        <v>6.4</v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>
        <v>65</v>
      </c>
      <c r="B151" s="63">
        <v>306</v>
      </c>
      <c r="C151" s="53">
        <v>12</v>
      </c>
      <c r="D151" s="63">
        <v>13</v>
      </c>
      <c r="E151" s="54"/>
      <c r="F151" s="54"/>
      <c r="G151" s="54"/>
      <c r="H151" s="54"/>
      <c r="I151" s="60">
        <f t="shared" si="5"/>
        <v>5.2</v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>
        <v>70</v>
      </c>
      <c r="B152" s="63">
        <v>315</v>
      </c>
      <c r="C152" s="53">
        <v>13</v>
      </c>
      <c r="D152" s="63">
        <v>13</v>
      </c>
      <c r="E152" s="57"/>
      <c r="F152" s="57"/>
      <c r="G152" s="57"/>
      <c r="H152" s="57"/>
      <c r="I152" s="60">
        <f t="shared" si="5"/>
        <v>4.4000000000000004</v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>
        <v>75</v>
      </c>
      <c r="B153" s="63">
        <v>323</v>
      </c>
      <c r="C153" s="53">
        <v>14</v>
      </c>
      <c r="D153" s="63">
        <v>12</v>
      </c>
      <c r="E153" s="57"/>
      <c r="F153" s="57"/>
      <c r="G153" s="57"/>
      <c r="H153" s="57"/>
      <c r="I153" s="60">
        <f t="shared" si="5"/>
        <v>4.2</v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>
        <v>80</v>
      </c>
      <c r="B154" s="59">
        <v>329</v>
      </c>
      <c r="C154" s="53">
        <v>15</v>
      </c>
      <c r="D154" s="53">
        <v>11</v>
      </c>
      <c r="E154" s="57"/>
      <c r="F154" s="57"/>
      <c r="G154" s="57"/>
      <c r="H154" s="57"/>
      <c r="I154" s="60">
        <f t="shared" si="5"/>
        <v>3.6</v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>Aulne glutineux</v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314" t="s">
        <v>186</v>
      </c>
      <c r="D164" s="314"/>
      <c r="E164" s="315" t="s">
        <v>187</v>
      </c>
      <c r="F164" s="316"/>
      <c r="G164" s="316"/>
      <c r="H164" s="31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>
        <v>10</v>
      </c>
      <c r="B166" s="63">
        <v>8</v>
      </c>
      <c r="C166" s="63">
        <v>1</v>
      </c>
      <c r="D166" s="63">
        <v>1</v>
      </c>
      <c r="E166" s="54"/>
      <c r="F166" s="54"/>
      <c r="G166" s="54"/>
      <c r="H166" s="93">
        <v>1</v>
      </c>
      <c r="I166" s="52">
        <f>IFERROR(B166/A166,"")</f>
        <v>0.8</v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>
        <v>15</v>
      </c>
      <c r="B167" s="63">
        <v>33</v>
      </c>
      <c r="C167" s="63">
        <v>2</v>
      </c>
      <c r="D167" s="63">
        <v>3</v>
      </c>
      <c r="E167" s="54"/>
      <c r="F167" s="54"/>
      <c r="G167" s="54"/>
      <c r="H167" s="93">
        <v>1</v>
      </c>
      <c r="I167" s="52">
        <f t="shared" ref="I167:I185" si="6">IF(A167&lt;&gt;0,(B167-(B166-D166))/(A167-A166),"")</f>
        <v>5.2</v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>
        <v>20</v>
      </c>
      <c r="B168" s="63">
        <v>75</v>
      </c>
      <c r="C168" s="63">
        <v>3</v>
      </c>
      <c r="D168" s="63">
        <v>9</v>
      </c>
      <c r="E168" s="93">
        <v>0.2</v>
      </c>
      <c r="F168" s="93"/>
      <c r="G168" s="93"/>
      <c r="H168" s="93">
        <v>0.8</v>
      </c>
      <c r="I168" s="52">
        <f t="shared" si="6"/>
        <v>9</v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>
        <v>25</v>
      </c>
      <c r="B169" s="63">
        <v>98</v>
      </c>
      <c r="C169" s="63">
        <v>4</v>
      </c>
      <c r="D169" s="63">
        <v>18</v>
      </c>
      <c r="E169" s="93"/>
      <c r="F169" s="93"/>
      <c r="G169" s="93"/>
      <c r="H169" s="93"/>
      <c r="I169" s="52">
        <f t="shared" si="6"/>
        <v>6.4</v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>
        <v>30</v>
      </c>
      <c r="B170" s="63">
        <v>117</v>
      </c>
      <c r="C170" s="63">
        <v>5</v>
      </c>
      <c r="D170" s="63">
        <v>20</v>
      </c>
      <c r="E170" s="54"/>
      <c r="F170" s="54"/>
      <c r="G170" s="54"/>
      <c r="H170" s="54"/>
      <c r="I170" s="52">
        <f t="shared" si="6"/>
        <v>7.4</v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>
        <v>35</v>
      </c>
      <c r="B171" s="63">
        <v>132</v>
      </c>
      <c r="C171" s="63">
        <v>6</v>
      </c>
      <c r="D171" s="63">
        <v>21</v>
      </c>
      <c r="E171" s="54"/>
      <c r="F171" s="54"/>
      <c r="G171" s="54"/>
      <c r="H171" s="54"/>
      <c r="I171" s="52">
        <f t="shared" si="6"/>
        <v>7</v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>
        <v>40</v>
      </c>
      <c r="B172" s="63">
        <v>145</v>
      </c>
      <c r="C172" s="63">
        <v>7</v>
      </c>
      <c r="D172" s="63">
        <v>22</v>
      </c>
      <c r="E172" s="54"/>
      <c r="F172" s="54"/>
      <c r="G172" s="54"/>
      <c r="H172" s="54"/>
      <c r="I172" s="52">
        <f t="shared" si="6"/>
        <v>6.8</v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>
        <v>45</v>
      </c>
      <c r="B173" s="53">
        <v>155</v>
      </c>
      <c r="C173" s="63">
        <v>8</v>
      </c>
      <c r="D173" s="53">
        <v>22</v>
      </c>
      <c r="E173" s="54"/>
      <c r="F173" s="54"/>
      <c r="G173" s="54"/>
      <c r="H173" s="54"/>
      <c r="I173" s="52">
        <f t="shared" si="6"/>
        <v>6.4</v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>
        <v>50</v>
      </c>
      <c r="B174" s="53">
        <v>163</v>
      </c>
      <c r="C174" s="63">
        <v>9</v>
      </c>
      <c r="D174" s="53">
        <v>21</v>
      </c>
      <c r="E174" s="54"/>
      <c r="F174" s="54"/>
      <c r="G174" s="54"/>
      <c r="H174" s="54"/>
      <c r="I174" s="52">
        <f t="shared" si="6"/>
        <v>6</v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>
        <v>55</v>
      </c>
      <c r="B175" s="53">
        <v>171</v>
      </c>
      <c r="C175" s="63">
        <v>10</v>
      </c>
      <c r="D175" s="53">
        <v>20</v>
      </c>
      <c r="E175" s="54"/>
      <c r="F175" s="54"/>
      <c r="G175" s="54"/>
      <c r="H175" s="54"/>
      <c r="I175" s="52">
        <f t="shared" si="6"/>
        <v>5.8</v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>
        <v>60</v>
      </c>
      <c r="B176" s="53">
        <v>177</v>
      </c>
      <c r="C176" s="63">
        <v>11</v>
      </c>
      <c r="D176" s="53">
        <v>19</v>
      </c>
      <c r="E176" s="54"/>
      <c r="F176" s="54"/>
      <c r="G176" s="54"/>
      <c r="H176" s="54"/>
      <c r="I176" s="52">
        <f t="shared" si="6"/>
        <v>5.2</v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>
        <v>65</v>
      </c>
      <c r="B177" s="53">
        <v>183</v>
      </c>
      <c r="C177" s="63">
        <v>12</v>
      </c>
      <c r="D177" s="53">
        <v>18</v>
      </c>
      <c r="E177" s="54"/>
      <c r="F177" s="54"/>
      <c r="G177" s="54"/>
      <c r="H177" s="54"/>
      <c r="I177" s="52">
        <f t="shared" si="6"/>
        <v>5</v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>
        <v>70</v>
      </c>
      <c r="B178" s="53">
        <v>188</v>
      </c>
      <c r="C178" s="63">
        <v>13</v>
      </c>
      <c r="D178" s="53">
        <v>17</v>
      </c>
      <c r="E178" s="54"/>
      <c r="F178" s="54"/>
      <c r="G178" s="54"/>
      <c r="H178" s="54"/>
      <c r="I178" s="52">
        <f t="shared" si="6"/>
        <v>4.5999999999999996</v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>
        <v>75</v>
      </c>
      <c r="B179" s="53">
        <v>192</v>
      </c>
      <c r="C179" s="63">
        <v>14</v>
      </c>
      <c r="D179" s="53">
        <v>16</v>
      </c>
      <c r="E179" s="54"/>
      <c r="F179" s="54"/>
      <c r="G179" s="54"/>
      <c r="H179" s="54"/>
      <c r="I179" s="52">
        <f t="shared" si="6"/>
        <v>4.2</v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>
        <v>80</v>
      </c>
      <c r="B180" s="53">
        <v>196</v>
      </c>
      <c r="C180" s="63">
        <v>15</v>
      </c>
      <c r="D180" s="53">
        <v>15</v>
      </c>
      <c r="E180" s="54"/>
      <c r="F180" s="54"/>
      <c r="G180" s="54"/>
      <c r="H180" s="54"/>
      <c r="I180" s="52">
        <f t="shared" si="6"/>
        <v>4</v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>
        <v>85</v>
      </c>
      <c r="B181" s="53">
        <v>200</v>
      </c>
      <c r="C181" s="63">
        <v>16</v>
      </c>
      <c r="D181" s="53">
        <v>14</v>
      </c>
      <c r="E181" s="54"/>
      <c r="F181" s="54"/>
      <c r="G181" s="54"/>
      <c r="H181" s="54"/>
      <c r="I181" s="52">
        <f t="shared" si="6"/>
        <v>3.8</v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>
        <v>90</v>
      </c>
      <c r="B182" s="53">
        <v>204</v>
      </c>
      <c r="C182" s="63">
        <v>17</v>
      </c>
      <c r="D182" s="53">
        <v>204</v>
      </c>
      <c r="E182" s="54"/>
      <c r="F182" s="54"/>
      <c r="G182" s="54"/>
      <c r="H182" s="54"/>
      <c r="I182" s="52">
        <f t="shared" si="6"/>
        <v>3.6</v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>Merisier</v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314" t="s">
        <v>186</v>
      </c>
      <c r="D190" s="314"/>
      <c r="E190" s="315" t="s">
        <v>187</v>
      </c>
      <c r="F190" s="316"/>
      <c r="G190" s="316"/>
      <c r="H190" s="31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>
        <v>15</v>
      </c>
      <c r="B192" s="63">
        <v>40</v>
      </c>
      <c r="C192" s="63">
        <v>1</v>
      </c>
      <c r="D192" s="63">
        <v>3</v>
      </c>
      <c r="E192" s="54"/>
      <c r="F192" s="54"/>
      <c r="G192" s="54"/>
      <c r="H192" s="93">
        <v>1</v>
      </c>
      <c r="I192" s="52">
        <f>IFERROR(B192/A192,"")</f>
        <v>2.6666666666666665</v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>
        <v>20</v>
      </c>
      <c r="B193" s="63">
        <v>85</v>
      </c>
      <c r="C193" s="63">
        <v>2</v>
      </c>
      <c r="D193" s="63">
        <v>25</v>
      </c>
      <c r="E193" s="54"/>
      <c r="F193" s="54"/>
      <c r="G193" s="54"/>
      <c r="H193" s="93">
        <v>1</v>
      </c>
      <c r="I193" s="52">
        <f t="shared" ref="I193:I211" si="7">IF(A193&lt;&gt;0,(B193-(B192-D192))/(A193-A192),"")</f>
        <v>9.6</v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>
        <v>25</v>
      </c>
      <c r="B194" s="63">
        <v>113</v>
      </c>
      <c r="C194" s="63">
        <v>3</v>
      </c>
      <c r="D194" s="63">
        <v>27</v>
      </c>
      <c r="E194" s="93">
        <v>0.2</v>
      </c>
      <c r="F194" s="93"/>
      <c r="G194" s="93"/>
      <c r="H194" s="93">
        <v>0.8</v>
      </c>
      <c r="I194" s="52">
        <f t="shared" si="7"/>
        <v>10.6</v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>
        <v>31</v>
      </c>
      <c r="B195" s="63">
        <v>155</v>
      </c>
      <c r="C195" s="63">
        <v>4</v>
      </c>
      <c r="D195" s="63">
        <v>36</v>
      </c>
      <c r="E195" s="93"/>
      <c r="F195" s="93"/>
      <c r="G195" s="93"/>
      <c r="H195" s="93"/>
      <c r="I195" s="52">
        <f t="shared" si="7"/>
        <v>11.5</v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>
        <v>37</v>
      </c>
      <c r="B196" s="63">
        <v>188</v>
      </c>
      <c r="C196" s="63">
        <v>5</v>
      </c>
      <c r="D196" s="63">
        <v>36</v>
      </c>
      <c r="E196" s="54"/>
      <c r="F196" s="54"/>
      <c r="G196" s="54"/>
      <c r="H196" s="54"/>
      <c r="I196" s="52">
        <f t="shared" si="7"/>
        <v>11.5</v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>
        <v>44</v>
      </c>
      <c r="B197" s="63">
        <v>230</v>
      </c>
      <c r="C197" s="63">
        <v>6</v>
      </c>
      <c r="D197" s="63">
        <v>43</v>
      </c>
      <c r="E197" s="54"/>
      <c r="F197" s="54"/>
      <c r="G197" s="54"/>
      <c r="H197" s="54"/>
      <c r="I197" s="52">
        <f t="shared" si="7"/>
        <v>11.142857142857142</v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>
        <v>52</v>
      </c>
      <c r="B198" s="63">
        <v>270</v>
      </c>
      <c r="C198" s="63">
        <v>7</v>
      </c>
      <c r="D198" s="63">
        <v>48</v>
      </c>
      <c r="E198" s="54"/>
      <c r="F198" s="54"/>
      <c r="G198" s="54"/>
      <c r="H198" s="54"/>
      <c r="I198" s="52">
        <f t="shared" si="7"/>
        <v>10.375</v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>
        <v>60</v>
      </c>
      <c r="B199" s="53">
        <v>297</v>
      </c>
      <c r="C199" s="63">
        <v>8</v>
      </c>
      <c r="D199" s="53">
        <v>47</v>
      </c>
      <c r="E199" s="54"/>
      <c r="F199" s="54"/>
      <c r="G199" s="54"/>
      <c r="H199" s="54"/>
      <c r="I199" s="52">
        <f t="shared" si="7"/>
        <v>9.375</v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>
        <v>69</v>
      </c>
      <c r="B200" s="53">
        <v>328</v>
      </c>
      <c r="C200" s="63">
        <v>9</v>
      </c>
      <c r="D200" s="53">
        <v>328</v>
      </c>
      <c r="E200" s="54"/>
      <c r="F200" s="54"/>
      <c r="G200" s="54"/>
      <c r="H200" s="54"/>
      <c r="I200" s="52">
        <f t="shared" si="7"/>
        <v>8.6666666666666661</v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314" t="s">
        <v>186</v>
      </c>
      <c r="D216" s="314"/>
      <c r="E216" s="315" t="s">
        <v>187</v>
      </c>
      <c r="F216" s="316"/>
      <c r="G216" s="316"/>
      <c r="H216" s="31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314" t="s">
        <v>186</v>
      </c>
      <c r="D242" s="314"/>
      <c r="E242" s="315" t="s">
        <v>187</v>
      </c>
      <c r="F242" s="316"/>
      <c r="G242" s="316"/>
      <c r="H242" s="31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314" t="s">
        <v>186</v>
      </c>
      <c r="D268" s="314"/>
      <c r="E268" s="315" t="s">
        <v>187</v>
      </c>
      <c r="F268" s="316"/>
      <c r="G268" s="316"/>
      <c r="H268" s="31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31" t="s">
        <v>176</v>
      </c>
      <c r="C1" s="332"/>
      <c r="D1" s="332"/>
      <c r="E1" s="332"/>
      <c r="F1" s="332"/>
      <c r="G1" s="332"/>
      <c r="H1" s="333"/>
      <c r="I1" s="328" t="str">
        <f>IF('Données projet'!$B$9="","",'Données projet'!$B$9)</f>
        <v>Cèdre de l'Atlas</v>
      </c>
      <c r="J1" s="329"/>
      <c r="K1" s="329"/>
      <c r="L1" s="329"/>
      <c r="M1" s="329"/>
      <c r="N1" s="329"/>
      <c r="O1" s="329"/>
      <c r="P1" s="329"/>
      <c r="Q1" s="329"/>
      <c r="R1" s="329"/>
      <c r="S1" s="329"/>
      <c r="T1" s="329"/>
      <c r="U1" s="329"/>
      <c r="V1" s="329"/>
      <c r="W1" s="329"/>
      <c r="X1" s="329"/>
      <c r="Y1" s="329"/>
      <c r="Z1" s="329"/>
      <c r="AA1" s="329"/>
      <c r="AB1" s="329"/>
      <c r="AC1" s="330"/>
      <c r="AD1" s="329" t="str">
        <f>IF('Données projet'!$B$10="","",'Données projet'!$B$10)</f>
        <v>Chêne rouge d'Amérique</v>
      </c>
      <c r="AE1" s="329"/>
      <c r="AF1" s="329"/>
      <c r="AG1" s="329"/>
      <c r="AH1" s="329"/>
      <c r="AI1" s="329"/>
      <c r="AJ1" s="329"/>
      <c r="AK1" s="329"/>
      <c r="AL1" s="329"/>
      <c r="AM1" s="329"/>
      <c r="AN1" s="329"/>
      <c r="AO1" s="329"/>
      <c r="AP1" s="329"/>
      <c r="AQ1" s="329"/>
      <c r="AR1" s="329"/>
      <c r="AS1" s="329"/>
      <c r="AT1" s="329"/>
      <c r="AU1" s="329"/>
      <c r="AV1" s="329"/>
      <c r="AW1" s="329"/>
      <c r="AX1" s="330"/>
      <c r="AY1" s="328" t="str">
        <f>IF('Données projet'!$B$11="","",'Données projet'!$B$11)</f>
        <v>Chêne pubescent</v>
      </c>
      <c r="AZ1" s="329"/>
      <c r="BA1" s="329"/>
      <c r="BB1" s="329"/>
      <c r="BC1" s="329"/>
      <c r="BD1" s="329"/>
      <c r="BE1" s="329"/>
      <c r="BF1" s="329"/>
      <c r="BG1" s="329"/>
      <c r="BH1" s="329"/>
      <c r="BI1" s="329"/>
      <c r="BJ1" s="329"/>
      <c r="BK1" s="329"/>
      <c r="BL1" s="329"/>
      <c r="BM1" s="329"/>
      <c r="BN1" s="329"/>
      <c r="BO1" s="329"/>
      <c r="BP1" s="329"/>
      <c r="BQ1" s="329"/>
      <c r="BR1" s="329"/>
      <c r="BS1" s="330"/>
      <c r="BT1" s="328" t="str">
        <f>IF('Données projet'!$B$12="","",'Données projet'!$B$12)</f>
        <v>Chêne sessile</v>
      </c>
      <c r="BU1" s="329"/>
      <c r="BV1" s="329"/>
      <c r="BW1" s="329"/>
      <c r="BX1" s="329"/>
      <c r="BY1" s="329"/>
      <c r="BZ1" s="329"/>
      <c r="CA1" s="329"/>
      <c r="CB1" s="329"/>
      <c r="CC1" s="329"/>
      <c r="CD1" s="329"/>
      <c r="CE1" s="329"/>
      <c r="CF1" s="329"/>
      <c r="CG1" s="329"/>
      <c r="CH1" s="329"/>
      <c r="CI1" s="329"/>
      <c r="CJ1" s="329"/>
      <c r="CK1" s="329"/>
      <c r="CL1" s="329"/>
      <c r="CM1" s="329"/>
      <c r="CN1" s="330"/>
      <c r="CO1" s="328" t="str">
        <f>IF('Données projet'!$B$13="","",'Données projet'!$B$13)</f>
        <v>Châtaignier</v>
      </c>
      <c r="CP1" s="329"/>
      <c r="CQ1" s="329"/>
      <c r="CR1" s="329"/>
      <c r="CS1" s="329"/>
      <c r="CT1" s="329"/>
      <c r="CU1" s="329"/>
      <c r="CV1" s="329"/>
      <c r="CW1" s="329"/>
      <c r="CX1" s="329"/>
      <c r="CY1" s="329"/>
      <c r="CZ1" s="329"/>
      <c r="DA1" s="329"/>
      <c r="DB1" s="329"/>
      <c r="DC1" s="329"/>
      <c r="DD1" s="329"/>
      <c r="DE1" s="329"/>
      <c r="DF1" s="329"/>
      <c r="DG1" s="329"/>
      <c r="DH1" s="329"/>
      <c r="DI1" s="330"/>
      <c r="DJ1" s="328" t="str">
        <f>IF('Données projet'!$B$14="","",'Données projet'!$B$14)</f>
        <v>Aulne glutineux</v>
      </c>
      <c r="DK1" s="329"/>
      <c r="DL1" s="329"/>
      <c r="DM1" s="329"/>
      <c r="DN1" s="329"/>
      <c r="DO1" s="329"/>
      <c r="DP1" s="329"/>
      <c r="DQ1" s="329"/>
      <c r="DR1" s="329"/>
      <c r="DS1" s="329"/>
      <c r="DT1" s="329"/>
      <c r="DU1" s="329"/>
      <c r="DV1" s="329"/>
      <c r="DW1" s="329"/>
      <c r="DX1" s="329"/>
      <c r="DY1" s="329"/>
      <c r="DZ1" s="329"/>
      <c r="EA1" s="329"/>
      <c r="EB1" s="329"/>
      <c r="EC1" s="329"/>
      <c r="ED1" s="330"/>
      <c r="EE1" s="328" t="str">
        <f>IF('Données projet'!$B$15="","",'Données projet'!$B$15)</f>
        <v>Merisier</v>
      </c>
      <c r="EF1" s="329"/>
      <c r="EG1" s="329"/>
      <c r="EH1" s="329"/>
      <c r="EI1" s="329"/>
      <c r="EJ1" s="329"/>
      <c r="EK1" s="329"/>
      <c r="EL1" s="329"/>
      <c r="EM1" s="329"/>
      <c r="EN1" s="329"/>
      <c r="EO1" s="329"/>
      <c r="EP1" s="329"/>
      <c r="EQ1" s="329"/>
      <c r="ER1" s="329"/>
      <c r="ES1" s="329"/>
      <c r="ET1" s="329"/>
      <c r="EU1" s="329"/>
      <c r="EV1" s="329"/>
      <c r="EW1" s="329"/>
      <c r="EX1" s="329"/>
      <c r="EY1" s="330"/>
      <c r="EZ1" s="328" t="str">
        <f>IF('Données projet'!$B$16="","",'Données projet'!$B$16)</f>
        <v/>
      </c>
      <c r="FA1" s="329"/>
      <c r="FB1" s="329"/>
      <c r="FC1" s="329"/>
      <c r="FD1" s="329"/>
      <c r="FE1" s="329"/>
      <c r="FF1" s="329"/>
      <c r="FG1" s="329"/>
      <c r="FH1" s="329"/>
      <c r="FI1" s="329"/>
      <c r="FJ1" s="329"/>
      <c r="FK1" s="329"/>
      <c r="FL1" s="329"/>
      <c r="FM1" s="329"/>
      <c r="FN1" s="329"/>
      <c r="FO1" s="329"/>
      <c r="FP1" s="329"/>
      <c r="FQ1" s="329"/>
      <c r="FR1" s="329"/>
      <c r="FS1" s="329"/>
      <c r="FT1" s="330"/>
      <c r="FU1" s="328" t="str">
        <f>IF('Données projet'!$B$17="","",'Données projet'!$B$17)</f>
        <v/>
      </c>
      <c r="FV1" s="329"/>
      <c r="FW1" s="329"/>
      <c r="FX1" s="329"/>
      <c r="FY1" s="329"/>
      <c r="FZ1" s="329"/>
      <c r="GA1" s="329"/>
      <c r="GB1" s="329"/>
      <c r="GC1" s="329"/>
      <c r="GD1" s="329"/>
      <c r="GE1" s="329"/>
      <c r="GF1" s="329"/>
      <c r="GG1" s="329"/>
      <c r="GH1" s="329"/>
      <c r="GI1" s="329"/>
      <c r="GJ1" s="329"/>
      <c r="GK1" s="329"/>
      <c r="GL1" s="329"/>
      <c r="GM1" s="329"/>
      <c r="GN1" s="329"/>
      <c r="GO1" s="330"/>
      <c r="GP1" s="328" t="str">
        <f>IF('Données projet'!$B$18="","",'Données projet'!$B$18)</f>
        <v/>
      </c>
      <c r="GQ1" s="329"/>
      <c r="GR1" s="329"/>
      <c r="GS1" s="329"/>
      <c r="GT1" s="329"/>
      <c r="GU1" s="329"/>
      <c r="GV1" s="329"/>
      <c r="GW1" s="329"/>
      <c r="GX1" s="329"/>
      <c r="GY1" s="329"/>
      <c r="GZ1" s="329"/>
      <c r="HA1" s="329"/>
      <c r="HB1" s="329"/>
      <c r="HC1" s="329"/>
      <c r="HD1" s="329"/>
      <c r="HE1" s="329"/>
      <c r="HF1" s="329"/>
      <c r="HG1" s="329"/>
      <c r="HH1" s="329"/>
      <c r="HI1" s="329"/>
      <c r="HJ1" s="330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317.54276561627643</v>
      </c>
      <c r="T3" s="62">
        <f>IF('Données projet'!E9&gt;30,$R$33-$H$33,LOOKUP('Données projet'!$E$9,$A$3:$A$203,R3:R203)-LOOKUP('Données projet'!$E$9,$A$3:$A$203,$H$3:$H$203))</f>
        <v>238.92443174298893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327.826081588335</v>
      </c>
      <c r="AO3" s="62">
        <f>IF('Données projet'!E10&gt;30,$AM$33-$H$33,LOOKUP('Données projet'!$E$10,$A$3:$A$203,AM3:AM203)-LOOKUP('Données projet'!$E$10,$A$3:$A$203,$H$3:$H$203))</f>
        <v>348.84706693879735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256.66666666666669</v>
      </c>
      <c r="BI3" s="62">
        <f ca="1">AVERAGE(OFFSET($BH$3,0,0,'Données projet'!$E$11+1,1))-AVERAGE(OFFSET($H$3,0,0,'Données projet'!$E$11+1,1))</f>
        <v>487.04124684635974</v>
      </c>
      <c r="BJ3" s="62">
        <f>IF('Données projet'!E11&gt;30,$BH$33-$H$33,LOOKUP('Données projet'!$E$11,$A$3:$A$203,BH3:BH203)-LOOKUP('Données projet'!$E$11,$A$3:$A$203,$H$3:$H$203))</f>
        <v>306.61893266146666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256.66666666666669</v>
      </c>
      <c r="CD3" s="62">
        <f ca="1">AVERAGE(OFFSET($CC$3,0,0,'Données projet'!$E$12+1,1))-AVERAGE(OFFSET($H$3,0,0,'Données projet'!$E$12+1,1))</f>
        <v>439.06700232017681</v>
      </c>
      <c r="CE3" s="62">
        <f>IF('Données projet'!E12&gt;30,$CC$33-$H$33,LOOKUP('Données projet'!$E$12,$A$3:$A$203,CC3:CC203)-LOOKUP('Données projet'!$E$12,$A$3:$A$203,$H$3:$H$203))</f>
        <v>278.21741231699929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2">
        <f>CW3+(CO3+CP3)*44/12</f>
        <v>256.66666666666669</v>
      </c>
      <c r="CY3" s="62">
        <f ca="1">AVERAGE(OFFSET($CX$3,0,0,'Données projet'!$E$13+1,1))-AVERAGE(OFFSET($H$3,0,0,'Données projet'!$E$13+1,1))</f>
        <v>327.81662150328646</v>
      </c>
      <c r="CZ3" s="62">
        <f>IF('Données projet'!E13&gt;30,$CX$33-$H$33,LOOKUP('Données projet'!$E$13,$A$3:$A$203,CX3:CX203)-LOOKUP('Données projet'!$E$13,$A$3:$A$203,$H$3:$H$203))</f>
        <v>320.24200483294322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>
        <f>DO3*VLOOKUP('Données projet'!$B$14,Paramètres!$A$1:$I$89,3,0)*VLOOKUP('Données projet'!$B$14,Paramètres!$A$1:$I$89,5,0)</f>
        <v>0</v>
      </c>
      <c r="DQ3" s="13">
        <v>0</v>
      </c>
      <c r="DR3" s="15">
        <f>(DP3+DQ3)*0.475*44/12</f>
        <v>0</v>
      </c>
      <c r="DS3" s="62">
        <f>DR3+(DJ3+DK3)*44/12</f>
        <v>256.66666666666669</v>
      </c>
      <c r="DT3" s="62">
        <f ca="1">AVERAGE(OFFSET($DS$3,0,0,'Données projet'!$E$14+1,1))-AVERAGE(OFFSET($H$3,0,0,'Données projet'!$E$14+1,1))</f>
        <v>210.08998695869161</v>
      </c>
      <c r="DU3" s="62">
        <f>IF('Données projet'!E14&gt;30,$DS$33-$H$33,LOOKUP('Données projet'!$E$14,$A$3:$A$203,DS3:DS203)-LOOKUP('Données projet'!$E$14,$A$3:$A$203,$H$3:$H$203))</f>
        <v>207.30911916430881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>
        <f>EJ3*VLOOKUP('Données projet'!$B$15,Paramètres!$A$1:$I$89,3,0)*VLOOKUP('Données projet'!$B$15,Paramètres!$A$1:$I$89,5,0)</f>
        <v>0</v>
      </c>
      <c r="EL3" s="13">
        <v>0</v>
      </c>
      <c r="EM3" s="15">
        <f>(EK3+EL3)*0.475*44/12</f>
        <v>0</v>
      </c>
      <c r="EN3" s="62">
        <f>EM3+(EE3+EF3)*44/12</f>
        <v>256.66666666666669</v>
      </c>
      <c r="EO3" s="62">
        <f ca="1">AVERAGE(OFFSET($EN$3,0,0,'Données projet'!$E$15+1,1))-AVERAGE(OFFSET($H$3,0,0,'Données projet'!$E$15+1,1))</f>
        <v>288.82868507674738</v>
      </c>
      <c r="EP3" s="62">
        <f>IF('Données projet'!E15&gt;30,$EN$33-$H$33,LOOKUP('Données projet'!$E$15,$A$3:$A$203,EN3:EN203)-LOOKUP('Données projet'!$E$15,$A$3:$A$203,$H$3:$H$203))</f>
        <v>283.48738729114024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6.5</v>
      </c>
      <c r="N4" s="14">
        <f>IF('Données projet'!$A$36&gt;35,N3+M4-V3,IF(A4&lt;'Données projet'!$A$36,$K$205^A4,IF(A4='Données projet'!$A$36,'Données projet'!$B$36,N3+M4-V3)))</f>
        <v>1.1921598380198544</v>
      </c>
      <c r="O4" s="14">
        <f>N4*VLOOKUP('Données projet'!$B$9,Paramètres!$A$1:$I$89,3,0)*VLOOKUP('Données projet'!$B$9,Paramètres!$A$1:$I$89,5,0)</f>
        <v>0.55793080419329188</v>
      </c>
      <c r="P4" s="14">
        <f>EXP(-1.0587+0.8836*LN(O4)+0.284)</f>
        <v>0.27518860925423011</v>
      </c>
      <c r="Q4" s="22">
        <f t="shared" ref="Q4:Q34" si="2">(O4+P4)*0.475*44/12</f>
        <v>1.4510163117544339</v>
      </c>
      <c r="R4" s="62">
        <f t="shared" si="0"/>
        <v>259.33990520064327</v>
      </c>
      <c r="S4" s="62">
        <f ca="1">AVERAGE(OFFSET($R$3,0,0,'Données projet'!$E$9+1,1))-AVERAGE(OFFSET($H$3,0,0,'Données projet'!$E$9+1,1))</f>
        <v>317.54276561627643</v>
      </c>
      <c r="T4" s="62">
        <f>$T$3</f>
        <v>238.92443174298893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6.6</v>
      </c>
      <c r="AI4" s="14">
        <f>IF('Données projet'!$A$62&gt;35,AI3+AH4-AQ3,IF(A4&lt;'Données projet'!$A$62,$AF$205^A4,IF(A4='Données projet'!$A$62,'Données projet'!$B$62,AI3+AH4-AQ3)))</f>
        <v>1.2765231539157764</v>
      </c>
      <c r="AJ4" s="14">
        <f>AI4*VLOOKUP('Données projet'!$B$10,Paramètres!$A$1:$I$89,3,0)*VLOOKUP('Données projet'!$B$10,Paramètres!$A$1:$I$89,5,0)</f>
        <v>1.1151706272608224</v>
      </c>
      <c r="AK4" s="14">
        <f>EXP(-1.0587+0.8836*LN(AJ4)+0.284)</f>
        <v>0.50743784838663863</v>
      </c>
      <c r="AL4" s="22">
        <f t="shared" ref="AL4:AL67" si="4">(AJ4+AK4)*0.475*44/12</f>
        <v>2.8260430950859945</v>
      </c>
      <c r="AM4" s="62">
        <f t="shared" ref="AM4:AM67" si="5">AL4+(AD4+AE4)*44/12</f>
        <v>260.71493198397485</v>
      </c>
      <c r="AN4" s="62">
        <f ca="1">AVERAGE(OFFSET($AM$3,0,0,'Données projet'!$E$10+1,1))-AVERAGE(OFFSET($H$3,0,0,'Données projet'!$E$10+1,1))</f>
        <v>327.826081588335</v>
      </c>
      <c r="AO4" s="62">
        <f>$AO$3</f>
        <v>348.84706693879735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3.65</v>
      </c>
      <c r="BD4" s="13">
        <f>IF('Données projet'!$A$88&gt;35,BD3+BC4-BL3,IF(A4&lt;'Données projet'!$A$88,$BA$205^A4,IF(A4='Données projet'!$A$88,'Données projet'!$B$88,BD3+BC4-BL3)))</f>
        <v>1.2392705892426346</v>
      </c>
      <c r="BE4" s="14">
        <f>BD4*VLOOKUP('Données projet'!$B$11,Paramètres!$A$1:$I$89,3,0)*VLOOKUP('Données projet'!$B$11,Paramètres!$A$1:$I$89,5,0)</f>
        <v>1.2566203774920315</v>
      </c>
      <c r="BF4" s="14">
        <f>EXP(-1.0587+0.8836*LN(BE4)+0.284)</f>
        <v>0.56390871417545174</v>
      </c>
      <c r="BG4" s="22">
        <f t="shared" ref="BG4:BG67" si="7">(BE4+BF4)*0.475*44/12</f>
        <v>3.1707548346542</v>
      </c>
      <c r="BH4" s="62">
        <f t="shared" ref="BH4:BH67" si="8">BG4+(AY4+AZ4)*44/12</f>
        <v>261.05964372354305</v>
      </c>
      <c r="BI4" s="62">
        <f ca="1">AVERAGE(OFFSET($BH$3,0,0,'Données projet'!$E$11+1,1))-AVERAGE(OFFSET($H$3,0,0,'Données projet'!$E$11+1,1))</f>
        <v>487.04124684635974</v>
      </c>
      <c r="BJ4" s="62">
        <f>$BJ$3</f>
        <v>306.61893266146666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3.65</v>
      </c>
      <c r="BY4" s="13">
        <f>IF('Données projet'!$A$114&gt;35,BY3+BX4-CG3,IF(A4&lt;'Données projet'!$A$114,$BV$205^A4,IF(A4='Données projet'!$A$114,'Données projet'!$B$114,BY3+BX4-CG3)))</f>
        <v>1.2392705892426346</v>
      </c>
      <c r="BZ4" s="14">
        <f>BY4*VLOOKUP('Données projet'!$B$12,Paramètres!$A$1:$I$89,3,0)*VLOOKUP('Données projet'!$B$12,Paramètres!$A$1:$I$89,5,0)</f>
        <v>1.1212920291467359</v>
      </c>
      <c r="CA4" s="14">
        <f>EXP(-1.0587+0.8836*LN(BZ4)+0.284)</f>
        <v>0.50989827066551541</v>
      </c>
      <c r="CB4" s="22">
        <f t="shared" ref="CB4:CB67" si="10">(BZ4+CA4)*0.475*44/12</f>
        <v>2.8409897721730037</v>
      </c>
      <c r="CC4" s="62">
        <f t="shared" ref="CC4:CC67" si="11">CB4+(BT4+BU4)*44/12</f>
        <v>260.72987866106189</v>
      </c>
      <c r="CD4" s="62">
        <f ca="1">AVERAGE(OFFSET($CC$3,0,0,'Données projet'!$E$12+1,1))-AVERAGE(OFFSET($H$3,0,0,'Données projet'!$E$12+1,1))</f>
        <v>439.06700232017681</v>
      </c>
      <c r="CE4" s="62">
        <f>$CE$3</f>
        <v>278.21741231699929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1.1000000000000001</v>
      </c>
      <c r="CT4" s="13">
        <f>IF('Données projet'!$A$140&gt;35,CT3+CS4-DB3,IF(A4&lt;'Données projet'!$A$140,$CQ$205^A4,IF(A4='Données projet'!$A$140,'Données projet'!$B$140,CT3+CS4-DB3)))</f>
        <v>1.2709816152101407</v>
      </c>
      <c r="CU4" s="18">
        <f>CT4*VLOOKUP('Données projet'!$B$13,Paramètres!$A$1:$I$89,3,0)*VLOOKUP('Données projet'!$B$13,Paramètres!$A$1:$I$89,5,0)</f>
        <v>0.93188372027207511</v>
      </c>
      <c r="CV4" s="14">
        <f>EXP(-1.0587+0.8836*LN(CU4)+0.284)</f>
        <v>0.43299221190803017</v>
      </c>
      <c r="CW4" s="22">
        <f t="shared" ref="CW4:CW67" si="13">(CU4+CV4)*0.475*44/12</f>
        <v>2.3771589152136832</v>
      </c>
      <c r="CX4" s="62">
        <f t="shared" ref="CX4:CX67" si="14">CW4+(CO4+CP4)*44/12</f>
        <v>260.26604780410253</v>
      </c>
      <c r="CY4" s="62">
        <f ca="1">AVERAGE(OFFSET($CX$3,0,0,'Données projet'!$E$13+1,1))-AVERAGE(OFFSET($H$3,0,0,'Données projet'!$E$13+1,1))</f>
        <v>327.81662150328646</v>
      </c>
      <c r="CZ4" s="62">
        <f>$CZ$3</f>
        <v>320.24200483294322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0.8</v>
      </c>
      <c r="DO4" s="13">
        <f>IF('Données projet'!$A$166&gt;35,DO3+DN4-DW3,IF(A4&lt;'Données projet'!$A$166,$DL$205^A4,IF(A4='Données projet'!$A$166,'Données projet'!$B$166,DO3+DN4-DW3)))</f>
        <v>1.2311444133449163</v>
      </c>
      <c r="DP4" s="18">
        <f>DO4*VLOOKUP('Données projet'!$B$14,Paramètres!$A$1:$I$89,3,0)*VLOOKUP('Données projet'!$B$14,Paramètres!$A$1:$I$89,5,0)</f>
        <v>0.80664581962358928</v>
      </c>
      <c r="DQ4" s="14">
        <f>EXP(-1.0587+0.8836*LN(DP4)+0.284)</f>
        <v>0.38115100060140267</v>
      </c>
      <c r="DR4" s="22">
        <f t="shared" ref="DR4:DR67" si="16">(DP4+DQ4)*0.475*44/12</f>
        <v>2.0687461285585278</v>
      </c>
      <c r="DS4" s="62">
        <f t="shared" ref="DS4:DS67" si="17">DR4+(DJ4+DK4)*44/12</f>
        <v>259.95763501744739</v>
      </c>
      <c r="DT4" s="62">
        <f ca="1">AVERAGE(OFFSET($DS$3,0,0,'Données projet'!$E$14+1,1))-AVERAGE(OFFSET($H$3,0,0,'Données projet'!$E$14+1,1))</f>
        <v>210.08998695869161</v>
      </c>
      <c r="DU4" s="62">
        <f>$DU$3</f>
        <v>207.30911916430881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>
        <f>EXP(-LN(2)/35)*EA3+(1-EXP(-LN(2)/35))/(LN(2)/35)*DW4*DX4*VLOOKUP('Données projet'!$B$14,Paramètres!$A$1:$I$89,3,0)*0.475*44/12</f>
        <v>0</v>
      </c>
      <c r="EB4" s="23">
        <f>EXP(-LN(2)/25)*EB3+(1-EXP(-LN(2)/25))/(LN(2)/25)*Calculateur!DW4*Calculateur!DY4*VLOOKUP('Données projet'!$B$14,Paramètres!$A$1:$I$89,3,0)*0.475*44/12</f>
        <v>0</v>
      </c>
      <c r="EC4" s="23">
        <f>EXP(-LN(2)/2)*EC3+(1-EXP(-LN(2)/2))/(LN(2)/2)*DW4*DZ4*VLOOKUP('Données projet'!$B$14,Paramètres!$A$1:$I$89,3,0)*0.475*44/12</f>
        <v>0</v>
      </c>
      <c r="ED4" s="24">
        <f t="shared" ref="ED4:ED67" si="18">SUM(EA4:EC4)</f>
        <v>0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2.6666666666666665</v>
      </c>
      <c r="EJ4" s="13">
        <f>IF('Données projet'!$A$192&gt;35,EJ3+EI4-ER3,IF(A4&lt;'Données projet'!$A$192,$EG$205^A4,IF(A4='Données projet'!$A$192,'Données projet'!$B$192,EJ3+EI4-ER3)))</f>
        <v>1.2788040393997409</v>
      </c>
      <c r="EK4" s="18">
        <f>EJ4*VLOOKUP('Données projet'!$B$15,Paramètres!$A$1:$I$89,3,0)*VLOOKUP('Données projet'!$B$15,Paramètres!$A$1:$I$89,5,0)</f>
        <v>0.99746715073179792</v>
      </c>
      <c r="EL4" s="14">
        <f>EXP(-1.0587+0.8836*LN(EK4)+0.284)</f>
        <v>0.45981048445793882</v>
      </c>
      <c r="EM4" s="22">
        <f t="shared" ref="EM4:EM67" si="19">(EK4+EL4)*0.475*44/12</f>
        <v>2.5380918812887914</v>
      </c>
      <c r="EN4" s="62">
        <f t="shared" ref="EN4:EN67" si="20">EM4+(EE4+EF4)*44/12</f>
        <v>260.42698077017764</v>
      </c>
      <c r="EO4" s="62">
        <f ca="1">AVERAGE(OFFSET($EN$3,0,0,'Données projet'!$E$15+1,1))-AVERAGE(OFFSET($H$3,0,0,'Données projet'!$E$15+1,1))</f>
        <v>288.82868507674738</v>
      </c>
      <c r="EP4" s="62">
        <f>$EP$3</f>
        <v>283.48738729114024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>
        <f>EXP(-LN(2)/35)*EV3+(1-EXP(-LN(2)/35))/(LN(2)/35)*ER4*ES4*VLOOKUP('Données projet'!$B$15,Paramètres!$A$1:$I$89,3,0)*0.475*44/12</f>
        <v>0</v>
      </c>
      <c r="EW4" s="23">
        <f>EXP(-LN(2)/25)*EW3+(1-EXP(-LN(2)/25))/(LN(2)/25)*Calculateur!ER4*Calculateur!ET4*VLOOKUP('Données projet'!$B$15,Paramètres!$A$1:$I$89,3,0)*0.475*44/12</f>
        <v>0</v>
      </c>
      <c r="EX4" s="23">
        <f>EXP(-LN(2)/2)*EX3+(1-EXP(-LN(2)/2))/(LN(2)/2)*ER4*EU4*VLOOKUP('Données projet'!$B$15,Paramètres!$A$1:$I$89,3,0)*0.475*44/12</f>
        <v>0</v>
      </c>
      <c r="EY4" s="24">
        <f t="shared" ref="EY4:EY67" si="21">SUM(EV4:EX4)</f>
        <v>0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6.5</v>
      </c>
      <c r="N5" s="14">
        <f>IF('Données projet'!$A$36&gt;35,N4+M5-V4,IF(A5&lt;'Données projet'!$A$36,$K$205^A5,IF(A5='Données projet'!$A$36,'Données projet'!$B$36,N4+M5-V4)))</f>
        <v>1.4212450793875253</v>
      </c>
      <c r="O5" s="14">
        <f>N5*VLOOKUP('Données projet'!$B$9,Paramètres!$A$1:$I$89,3,0)*VLOOKUP('Données projet'!$B$9,Paramètres!$A$1:$I$89,5,0)</f>
        <v>0.66514269715336183</v>
      </c>
      <c r="P5" s="14">
        <f t="shared" ref="P5:P68" si="33">EXP(-1.0587+0.8836*LN(O5)+0.284)</f>
        <v>0.3214249656415451</v>
      </c>
      <c r="Q5" s="22">
        <f t="shared" si="2"/>
        <v>1.7182720127011295</v>
      </c>
      <c r="R5" s="62">
        <f t="shared" si="0"/>
        <v>260.82938312381225</v>
      </c>
      <c r="S5" s="62">
        <f ca="1">AVERAGE(OFFSET($R$3,0,0,'Données projet'!$E$9+1,1))-AVERAGE(OFFSET($H$3,0,0,'Données projet'!$E$9+1,1))</f>
        <v>317.54276561627643</v>
      </c>
      <c r="T5" s="62">
        <f t="shared" ref="T5:T68" si="34">$T$3</f>
        <v>238.92443174298893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6.6</v>
      </c>
      <c r="AI5" s="14">
        <f>IF('Données projet'!$A$62&gt;35,AI4+AH5-AQ4,IF(A5&lt;'Données projet'!$A$62,$AF$205^A5,IF(A5='Données projet'!$A$62,'Données projet'!$B$62,AI4+AH5-AQ4)))</f>
        <v>1.629511362483081</v>
      </c>
      <c r="AJ5" s="14">
        <f>AI5*VLOOKUP('Données projet'!$B$10,Paramètres!$A$1:$I$89,3,0)*VLOOKUP('Données projet'!$B$10,Paramètres!$A$1:$I$89,5,0)</f>
        <v>1.4235411262652198</v>
      </c>
      <c r="AK5" s="14">
        <f t="shared" ref="AK5:AK68" si="35">EXP(-1.0587+0.8836*LN(AJ5)+0.284)</f>
        <v>0.62960738463416654</v>
      </c>
      <c r="AL5" s="22">
        <f t="shared" si="4"/>
        <v>3.5759003231497637</v>
      </c>
      <c r="AM5" s="62">
        <f t="shared" si="5"/>
        <v>262.68701143426091</v>
      </c>
      <c r="AN5" s="62">
        <f ca="1">AVERAGE(OFFSET($AM$3,0,0,'Données projet'!$E$10+1,1))-AVERAGE(OFFSET($H$3,0,0,'Données projet'!$E$10+1,1))</f>
        <v>327.826081588335</v>
      </c>
      <c r="AO5" s="62">
        <f t="shared" ref="AO5:AO68" si="36">$AO$3</f>
        <v>348.84706693879735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3.65</v>
      </c>
      <c r="BD5" s="13">
        <f>IF('Données projet'!$A$88&gt;35,BD4+BC5-BL4,IF(A5&lt;'Données projet'!$A$88,$BA$205^A5,IF(A5='Données projet'!$A$88,'Données projet'!$B$88,BD4+BC5-BL4)))</f>
        <v>1.5357915933617867</v>
      </c>
      <c r="BE5" s="14">
        <f>BD5*VLOOKUP('Données projet'!$B$11,Paramètres!$A$1:$I$89,3,0)*VLOOKUP('Données projet'!$B$11,Paramètres!$A$1:$I$89,5,0)</f>
        <v>1.5572926756688519</v>
      </c>
      <c r="BF5" s="14">
        <f t="shared" ref="BF5:BF68" si="37">EXP(-1.0587+0.8836*LN(BE5)+0.284)</f>
        <v>0.68160129960402205</v>
      </c>
      <c r="BG5" s="22">
        <f t="shared" si="7"/>
        <v>3.8994070069335893</v>
      </c>
      <c r="BH5" s="62">
        <f t="shared" si="8"/>
        <v>263.01051811804473</v>
      </c>
      <c r="BI5" s="62">
        <f ca="1">AVERAGE(OFFSET($BH$3,0,0,'Données projet'!$E$11+1,1))-AVERAGE(OFFSET($H$3,0,0,'Données projet'!$E$11+1,1))</f>
        <v>487.04124684635974</v>
      </c>
      <c r="BJ5" s="62">
        <f t="shared" ref="BJ5:BJ68" si="38">$BJ$3</f>
        <v>306.61893266146666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3.65</v>
      </c>
      <c r="BY5" s="13">
        <f>IF('Données projet'!$A$114&gt;35,BY4+BX5-CG4,IF(A5&lt;'Données projet'!$A$114,$BV$205^A5,IF(A5='Données projet'!$A$114,'Données projet'!$B$114,BY4+BX5-CG4)))</f>
        <v>1.5357915933617867</v>
      </c>
      <c r="BZ5" s="14">
        <f>BY5*VLOOKUP('Données projet'!$B$12,Paramètres!$A$1:$I$89,3,0)*VLOOKUP('Données projet'!$B$12,Paramètres!$A$1:$I$89,5,0)</f>
        <v>1.3895842336737447</v>
      </c>
      <c r="CA5" s="14">
        <f t="shared" ref="CA5:CA68" si="39">EXP(-1.0587+0.8836*LN(BZ5)+0.284)</f>
        <v>0.61631841327304715</v>
      </c>
      <c r="CB5" s="22">
        <f t="shared" si="10"/>
        <v>3.4936137767656628</v>
      </c>
      <c r="CC5" s="62">
        <f t="shared" si="11"/>
        <v>262.60472488787678</v>
      </c>
      <c r="CD5" s="62">
        <f ca="1">AVERAGE(OFFSET($CC$3,0,0,'Données projet'!$E$12+1,1))-AVERAGE(OFFSET($H$3,0,0,'Données projet'!$E$12+1,1))</f>
        <v>439.06700232017681</v>
      </c>
      <c r="CE5" s="62">
        <f t="shared" ref="CE5:CE68" si="40">$CE$3</f>
        <v>278.21741231699929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1.1000000000000001</v>
      </c>
      <c r="CT5" s="13">
        <f>IF('Données projet'!$A$140&gt;35,CT4+CS5-DB4,IF(A5&lt;'Données projet'!$A$140,$CQ$205^A5,IF(A5='Données projet'!$A$140,'Données projet'!$B$140,CT4+CS5-DB4)))</f>
        <v>1.6153942662021783</v>
      </c>
      <c r="CU5" s="18">
        <f>CT5*VLOOKUP('Données projet'!$B$13,Paramètres!$A$1:$I$89,3,0)*VLOOKUP('Données projet'!$B$13,Paramètres!$A$1:$I$89,5,0)</f>
        <v>1.1844070759794372</v>
      </c>
      <c r="CV5" s="14">
        <f t="shared" ref="CV5:CV68" si="41">EXP(-1.0587+0.8836*LN(CU5)+0.284)</f>
        <v>0.53517712549257934</v>
      </c>
      <c r="CW5" s="22">
        <f t="shared" si="13"/>
        <v>2.9949424842304286</v>
      </c>
      <c r="CX5" s="62">
        <f t="shared" si="14"/>
        <v>262.10605359534156</v>
      </c>
      <c r="CY5" s="62">
        <f ca="1">AVERAGE(OFFSET($CX$3,0,0,'Données projet'!$E$13+1,1))-AVERAGE(OFFSET($H$3,0,0,'Données projet'!$E$13+1,1))</f>
        <v>327.81662150328646</v>
      </c>
      <c r="CZ5" s="62">
        <f t="shared" ref="CZ5:CZ68" si="42">$CZ$3</f>
        <v>320.24200483294322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0.8</v>
      </c>
      <c r="DO5" s="13">
        <f>IF('Données projet'!$A$166&gt;35,DO4+DN5-DW4,IF(A5&lt;'Données projet'!$A$166,$DL$205^A5,IF(A5='Données projet'!$A$166,'Données projet'!$B$166,DO4+DN5-DW4)))</f>
        <v>1.5157165665103982</v>
      </c>
      <c r="DP5" s="18">
        <f>DO5*VLOOKUP('Données projet'!$B$14,Paramètres!$A$1:$I$89,3,0)*VLOOKUP('Données projet'!$B$14,Paramètres!$A$1:$I$89,5,0)</f>
        <v>0.99309749437761285</v>
      </c>
      <c r="DQ5" s="14">
        <f t="shared" ref="DQ5:DQ68" si="43">EXP(-1.0587+0.8836*LN(DP5)+0.284)</f>
        <v>0.45803018051794941</v>
      </c>
      <c r="DR5" s="22">
        <f t="shared" si="16"/>
        <v>2.5273807004431039</v>
      </c>
      <c r="DS5" s="62">
        <f t="shared" si="17"/>
        <v>261.63849181155427</v>
      </c>
      <c r="DT5" s="62">
        <f ca="1">AVERAGE(OFFSET($DS$3,0,0,'Données projet'!$E$14+1,1))-AVERAGE(OFFSET($H$3,0,0,'Données projet'!$E$14+1,1))</f>
        <v>210.08998695869161</v>
      </c>
      <c r="DU5" s="62">
        <f t="shared" ref="DU5:DU68" si="44">$DU$3</f>
        <v>207.30911916430881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>
        <f>EXP(-LN(2)/35)*EA4+(1-EXP(-LN(2)/35))/(LN(2)/35)*DW5*DX5*VLOOKUP('Données projet'!$B$14,Paramètres!$A$1:$I$89,3,0)*0.475*44/12</f>
        <v>0</v>
      </c>
      <c r="EB5" s="23">
        <f>EXP(-LN(2)/25)*EB4+(1-EXP(-LN(2)/25))/(LN(2)/25)*Calculateur!DW5*Calculateur!DY5*VLOOKUP('Données projet'!$B$14,Paramètres!$A$1:$I$89,3,0)*0.475*44/12</f>
        <v>0</v>
      </c>
      <c r="EC5" s="23">
        <f>EXP(-LN(2)/2)*EC4+(1-EXP(-LN(2)/2))/(LN(2)/2)*DW5*DZ5*VLOOKUP('Données projet'!$B$14,Paramètres!$A$1:$I$89,3,0)*0.475*44/12</f>
        <v>0</v>
      </c>
      <c r="ED5" s="24">
        <f t="shared" si="18"/>
        <v>0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2.6666666666666665</v>
      </c>
      <c r="EJ5" s="13">
        <f>IF('Données projet'!$A$192&gt;35,EJ4+EI5-ER4,IF(A5&lt;'Données projet'!$A$192,$EG$205^A5,IF(A5='Données projet'!$A$192,'Données projet'!$B$192,EJ4+EI5-ER4)))</f>
        <v>1.6353397711850939</v>
      </c>
      <c r="EK5" s="18">
        <f>EJ5*VLOOKUP('Données projet'!$B$15,Paramètres!$A$1:$I$89,3,0)*VLOOKUP('Données projet'!$B$15,Paramètres!$A$1:$I$89,5,0)</f>
        <v>1.2755650215243732</v>
      </c>
      <c r="EL5" s="14">
        <f t="shared" ref="EL5:EL68" si="45">EXP(-1.0587+0.8836*LN(EK5)+0.284)</f>
        <v>0.57141400910743001</v>
      </c>
      <c r="EM5" s="22">
        <f t="shared" si="19"/>
        <v>3.2168218116837237</v>
      </c>
      <c r="EN5" s="62">
        <f t="shared" si="20"/>
        <v>262.32793292279484</v>
      </c>
      <c r="EO5" s="62">
        <f ca="1">AVERAGE(OFFSET($EN$3,0,0,'Données projet'!$E$15+1,1))-AVERAGE(OFFSET($H$3,0,0,'Données projet'!$E$15+1,1))</f>
        <v>288.82868507674738</v>
      </c>
      <c r="EP5" s="62">
        <f t="shared" ref="EP5:EP68" si="46">$EP$3</f>
        <v>283.48738729114024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>
        <f>EXP(-LN(2)/35)*EV4+(1-EXP(-LN(2)/35))/(LN(2)/35)*ER5*ES5*VLOOKUP('Données projet'!$B$15,Paramètres!$A$1:$I$89,3,0)*0.475*44/12</f>
        <v>0</v>
      </c>
      <c r="EW5" s="23">
        <f>EXP(-LN(2)/25)*EW4+(1-EXP(-LN(2)/25))/(LN(2)/25)*Calculateur!ER5*Calculateur!ET5*VLOOKUP('Données projet'!$B$15,Paramètres!$A$1:$I$89,3,0)*0.475*44/12</f>
        <v>0</v>
      </c>
      <c r="EX5" s="23">
        <f>EXP(-LN(2)/2)*EX4+(1-EXP(-LN(2)/2))/(LN(2)/2)*ER5*EU5*VLOOKUP('Données projet'!$B$15,Paramètres!$A$1:$I$89,3,0)*0.475*44/12</f>
        <v>0</v>
      </c>
      <c r="EY5" s="24">
        <f t="shared" si="21"/>
        <v>0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6.5</v>
      </c>
      <c r="N6" s="14">
        <f>IF('Données projet'!$A$36&gt;35,N5+M6-V5,IF(A6&lt;'Données projet'!$A$36,$K$205^A6,IF(A6='Données projet'!$A$36,'Données projet'!$B$36,N5+M6-V5)))</f>
        <v>1.6943513036291473</v>
      </c>
      <c r="O6" s="14">
        <f>N6*VLOOKUP('Données projet'!$B$9,Paramètres!$A$1:$I$89,3,0)*VLOOKUP('Données projet'!$B$9,Paramètres!$A$1:$I$89,5,0)</f>
        <v>0.79295641009844098</v>
      </c>
      <c r="P6" s="14">
        <f t="shared" si="33"/>
        <v>0.37542981454665864</v>
      </c>
      <c r="Q6" s="22">
        <f t="shared" si="2"/>
        <v>2.0349393412568815</v>
      </c>
      <c r="R6" s="62">
        <f t="shared" si="0"/>
        <v>262.36827267459017</v>
      </c>
      <c r="S6" s="62">
        <f ca="1">AVERAGE(OFFSET($R$3,0,0,'Données projet'!$E$9+1,1))-AVERAGE(OFFSET($H$3,0,0,'Données projet'!$E$9+1,1))</f>
        <v>317.54276561627643</v>
      </c>
      <c r="T6" s="62">
        <f t="shared" si="34"/>
        <v>238.92443174298893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6.6</v>
      </c>
      <c r="AI6" s="14">
        <f>IF('Données projet'!$A$62&gt;35,AI5+AH6-AQ5,IF(A6&lt;'Données projet'!$A$62,$AF$205^A6,IF(A6='Données projet'!$A$62,'Données projet'!$B$62,AI5+AH6-AQ5)))</f>
        <v>2.0801089837784965</v>
      </c>
      <c r="AJ6" s="14">
        <f>AI6*VLOOKUP('Données projet'!$B$10,Paramètres!$A$1:$I$89,3,0)*VLOOKUP('Données projet'!$B$10,Paramètres!$A$1:$I$89,5,0)</f>
        <v>1.8171832082288948</v>
      </c>
      <c r="AK6" s="14">
        <f t="shared" si="35"/>
        <v>0.7811901694881791</v>
      </c>
      <c r="AL6" s="22">
        <f t="shared" si="4"/>
        <v>4.5255002995239044</v>
      </c>
      <c r="AM6" s="62">
        <f t="shared" si="5"/>
        <v>264.85883363285723</v>
      </c>
      <c r="AN6" s="62">
        <f ca="1">AVERAGE(OFFSET($AM$3,0,0,'Données projet'!$E$10+1,1))-AVERAGE(OFFSET($H$3,0,0,'Données projet'!$E$10+1,1))</f>
        <v>327.826081588335</v>
      </c>
      <c r="AO6" s="62">
        <f t="shared" si="36"/>
        <v>348.84706693879735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3.65</v>
      </c>
      <c r="BD6" s="13">
        <f>IF('Données projet'!$A$88&gt;35,BD5+BC6-BL5,IF(A6&lt;'Données projet'!$A$88,$BA$205^A6,IF(A6='Données projet'!$A$88,'Données projet'!$B$88,BD5+BC6-BL5)))</f>
        <v>1.9032613528593461</v>
      </c>
      <c r="BE6" s="14">
        <f>BD6*VLOOKUP('Données projet'!$B$11,Paramètres!$A$1:$I$89,3,0)*VLOOKUP('Données projet'!$B$11,Paramètres!$A$1:$I$89,5,0)</f>
        <v>1.9299070117993768</v>
      </c>
      <c r="BF6" s="14">
        <f t="shared" si="37"/>
        <v>0.82385733708903885</v>
      </c>
      <c r="BG6" s="22">
        <f t="shared" si="7"/>
        <v>4.7961395743139903</v>
      </c>
      <c r="BH6" s="62">
        <f t="shared" si="8"/>
        <v>265.12947290764731</v>
      </c>
      <c r="BI6" s="62">
        <f ca="1">AVERAGE(OFFSET($BH$3,0,0,'Données projet'!$E$11+1,1))-AVERAGE(OFFSET($H$3,0,0,'Données projet'!$E$11+1,1))</f>
        <v>487.04124684635974</v>
      </c>
      <c r="BJ6" s="62">
        <f t="shared" si="38"/>
        <v>306.61893266146666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3.65</v>
      </c>
      <c r="BY6" s="13">
        <f>IF('Données projet'!$A$114&gt;35,BY5+BX6-CG5,IF(A6&lt;'Données projet'!$A$114,$BV$205^A6,IF(A6='Données projet'!$A$114,'Données projet'!$B$114,BY5+BX6-CG5)))</f>
        <v>1.9032613528593461</v>
      </c>
      <c r="BZ6" s="14">
        <f>BY6*VLOOKUP('Données projet'!$B$12,Paramètres!$A$1:$I$89,3,0)*VLOOKUP('Données projet'!$B$12,Paramètres!$A$1:$I$89,5,0)</f>
        <v>1.7220708720671365</v>
      </c>
      <c r="CA6" s="14">
        <f t="shared" si="39"/>
        <v>0.74494935243383209</v>
      </c>
      <c r="CB6" s="22">
        <f t="shared" si="10"/>
        <v>4.2967268910058536</v>
      </c>
      <c r="CC6" s="62">
        <f t="shared" si="11"/>
        <v>264.63006022433916</v>
      </c>
      <c r="CD6" s="62">
        <f ca="1">AVERAGE(OFFSET($CC$3,0,0,'Données projet'!$E$12+1,1))-AVERAGE(OFFSET($H$3,0,0,'Données projet'!$E$12+1,1))</f>
        <v>439.06700232017681</v>
      </c>
      <c r="CE6" s="62">
        <f t="shared" si="40"/>
        <v>278.21741231699929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1.1000000000000001</v>
      </c>
      <c r="CT6" s="13">
        <f>IF('Données projet'!$A$140&gt;35,CT5+CS6-DB5,IF(A6&lt;'Données projet'!$A$140,$CQ$205^A6,IF(A6='Données projet'!$A$140,'Données projet'!$B$140,CT5+CS6-DB5)))</f>
        <v>2.0531364136588448</v>
      </c>
      <c r="CU6" s="18">
        <f>CT6*VLOOKUP('Données projet'!$B$13,Paramètres!$A$1:$I$89,3,0)*VLOOKUP('Données projet'!$B$13,Paramètres!$A$1:$I$89,5,0)</f>
        <v>1.5053596184946649</v>
      </c>
      <c r="CV6" s="14">
        <f t="shared" si="41"/>
        <v>0.66147738405820555</v>
      </c>
      <c r="CW6" s="22">
        <f t="shared" si="13"/>
        <v>3.7739077794462492</v>
      </c>
      <c r="CX6" s="62">
        <f t="shared" si="14"/>
        <v>264.10724111277955</v>
      </c>
      <c r="CY6" s="62">
        <f ca="1">AVERAGE(OFFSET($CX$3,0,0,'Données projet'!$E$13+1,1))-AVERAGE(OFFSET($H$3,0,0,'Données projet'!$E$13+1,1))</f>
        <v>327.81662150328646</v>
      </c>
      <c r="CZ6" s="62">
        <f t="shared" si="42"/>
        <v>320.24200483294322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0.8</v>
      </c>
      <c r="DO6" s="13">
        <f>IF('Données projet'!$A$166&gt;35,DO5+DN6-DW5,IF(A6&lt;'Données projet'!$A$166,$DL$205^A6,IF(A6='Données projet'!$A$166,'Données projet'!$B$166,DO5+DN6-DW5)))</f>
        <v>1.866065983073615</v>
      </c>
      <c r="DP6" s="18">
        <f>DO6*VLOOKUP('Données projet'!$B$14,Paramètres!$A$1:$I$89,3,0)*VLOOKUP('Données projet'!$B$14,Paramètres!$A$1:$I$89,5,0)</f>
        <v>1.2226464321098325</v>
      </c>
      <c r="DQ6" s="14">
        <f t="shared" si="43"/>
        <v>0.55041609738472053</v>
      </c>
      <c r="DR6" s="22">
        <f t="shared" si="16"/>
        <v>3.088083905536346</v>
      </c>
      <c r="DS6" s="62">
        <f t="shared" si="17"/>
        <v>263.42141723886965</v>
      </c>
      <c r="DT6" s="62">
        <f ca="1">AVERAGE(OFFSET($DS$3,0,0,'Données projet'!$E$14+1,1))-AVERAGE(OFFSET($H$3,0,0,'Données projet'!$E$14+1,1))</f>
        <v>210.08998695869161</v>
      </c>
      <c r="DU6" s="62">
        <f t="shared" si="44"/>
        <v>207.30911916430881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>
        <f>EXP(-LN(2)/35)*EA5+(1-EXP(-LN(2)/35))/(LN(2)/35)*DW6*DX6*VLOOKUP('Données projet'!$B$14,Paramètres!$A$1:$I$89,3,0)*0.475*44/12</f>
        <v>0</v>
      </c>
      <c r="EB6" s="23">
        <f>EXP(-LN(2)/25)*EB5+(1-EXP(-LN(2)/25))/(LN(2)/25)*Calculateur!DW6*Calculateur!DY6*VLOOKUP('Données projet'!$B$14,Paramètres!$A$1:$I$89,3,0)*0.475*44/12</f>
        <v>0</v>
      </c>
      <c r="EC6" s="23">
        <f>EXP(-LN(2)/2)*EC5+(1-EXP(-LN(2)/2))/(LN(2)/2)*DW6*DZ6*VLOOKUP('Données projet'!$B$14,Paramètres!$A$1:$I$89,3,0)*0.475*44/12</f>
        <v>0</v>
      </c>
      <c r="ED6" s="24">
        <f t="shared" si="18"/>
        <v>0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2.6666666666666665</v>
      </c>
      <c r="EJ6" s="13">
        <f>IF('Données projet'!$A$192&gt;35,EJ5+EI6-ER5,IF(A6&lt;'Données projet'!$A$192,$EG$205^A6,IF(A6='Données projet'!$A$192,'Données projet'!$B$192,EJ5+EI6-ER5)))</f>
        <v>2.0912791051825459</v>
      </c>
      <c r="EK6" s="18">
        <f>EJ6*VLOOKUP('Données projet'!$B$15,Paramètres!$A$1:$I$89,3,0)*VLOOKUP('Données projet'!$B$15,Paramètres!$A$1:$I$89,5,0)</f>
        <v>1.6311977020423858</v>
      </c>
      <c r="EL6" s="14">
        <f t="shared" si="45"/>
        <v>0.71010553443370616</v>
      </c>
      <c r="EM6" s="22">
        <f t="shared" si="19"/>
        <v>4.0777698035291934</v>
      </c>
      <c r="EN6" s="62">
        <f t="shared" si="20"/>
        <v>264.41110313686249</v>
      </c>
      <c r="EO6" s="62">
        <f ca="1">AVERAGE(OFFSET($EN$3,0,0,'Données projet'!$E$15+1,1))-AVERAGE(OFFSET($H$3,0,0,'Données projet'!$E$15+1,1))</f>
        <v>288.82868507674738</v>
      </c>
      <c r="EP6" s="62">
        <f t="shared" si="46"/>
        <v>283.48738729114024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>
        <f>EXP(-LN(2)/35)*EV5+(1-EXP(-LN(2)/35))/(LN(2)/35)*ER6*ES6*VLOOKUP('Données projet'!$B$15,Paramètres!$A$1:$I$89,3,0)*0.475*44/12</f>
        <v>0</v>
      </c>
      <c r="EW6" s="23">
        <f>EXP(-LN(2)/25)*EW5+(1-EXP(-LN(2)/25))/(LN(2)/25)*Calculateur!ER6*Calculateur!ET6*VLOOKUP('Données projet'!$B$15,Paramètres!$A$1:$I$89,3,0)*0.475*44/12</f>
        <v>0</v>
      </c>
      <c r="EX6" s="23">
        <f>EXP(-LN(2)/2)*EX5+(1-EXP(-LN(2)/2))/(LN(2)/2)*ER6*EU6*VLOOKUP('Données projet'!$B$15,Paramètres!$A$1:$I$89,3,0)*0.475*44/12</f>
        <v>0</v>
      </c>
      <c r="EY6" s="24">
        <f t="shared" si="21"/>
        <v>0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6.5</v>
      </c>
      <c r="N7" s="14">
        <f>IF('Données projet'!$A$36&gt;35,N6+M7-V6,IF(A7&lt;'Données projet'!$A$36,$K$205^A7,IF(A7='Données projet'!$A$36,'Données projet'!$B$36,N6+M7-V6)))</f>
        <v>2.0199375756832532</v>
      </c>
      <c r="O7" s="14">
        <f>N7*VLOOKUP('Données projet'!$B$9,Paramètres!$A$1:$I$89,3,0)*VLOOKUP('Données projet'!$B$9,Paramètres!$A$1:$I$89,5,0)</f>
        <v>0.94533078541976245</v>
      </c>
      <c r="P7" s="14">
        <f t="shared" si="33"/>
        <v>0.43850839454619067</v>
      </c>
      <c r="Q7" s="22">
        <f t="shared" si="2"/>
        <v>2.4101865717740352</v>
      </c>
      <c r="R7" s="62">
        <f t="shared" si="0"/>
        <v>263.96574212732958</v>
      </c>
      <c r="S7" s="62">
        <f ca="1">AVERAGE(OFFSET($R$3,0,0,'Données projet'!$E$9+1,1))-AVERAGE(OFFSET($H$3,0,0,'Données projet'!$E$9+1,1))</f>
        <v>317.54276561627643</v>
      </c>
      <c r="T7" s="62">
        <f t="shared" si="34"/>
        <v>238.92443174298893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6.6</v>
      </c>
      <c r="AI7" s="14">
        <f>IF('Données projet'!$A$62&gt;35,AI6+AH7-AQ6,IF(A7&lt;'Données projet'!$A$62,$AF$205^A7,IF(A7='Données projet'!$A$62,'Données projet'!$B$62,AI6+AH7-AQ6)))</f>
        <v>2.655307280461467</v>
      </c>
      <c r="AJ7" s="14">
        <f>AI7*VLOOKUP('Données projet'!$B$10,Paramètres!$A$1:$I$89,3,0)*VLOOKUP('Données projet'!$B$10,Paramètres!$A$1:$I$89,5,0)</f>
        <v>2.3196764402111376</v>
      </c>
      <c r="AK7" s="14">
        <f t="shared" si="35"/>
        <v>0.96926766711854973</v>
      </c>
      <c r="AL7" s="22">
        <f t="shared" si="4"/>
        <v>5.7282443202658717</v>
      </c>
      <c r="AM7" s="62">
        <f t="shared" si="5"/>
        <v>267.28379987582139</v>
      </c>
      <c r="AN7" s="62">
        <f ca="1">AVERAGE(OFFSET($AM$3,0,0,'Données projet'!$E$10+1,1))-AVERAGE(OFFSET($H$3,0,0,'Données projet'!$E$10+1,1))</f>
        <v>327.826081588335</v>
      </c>
      <c r="AO7" s="62">
        <f t="shared" si="36"/>
        <v>348.84706693879735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3.65</v>
      </c>
      <c r="BD7" s="13">
        <f>IF('Données projet'!$A$88&gt;35,BD6+BC7-BL6,IF(A7&lt;'Données projet'!$A$88,$BA$205^A7,IF(A7='Données projet'!$A$88,'Données projet'!$B$88,BD6+BC7-BL6)))</f>
        <v>2.3586558182407358</v>
      </c>
      <c r="BE7" s="14">
        <f>BD7*VLOOKUP('Données projet'!$B$11,Paramètres!$A$1:$I$89,3,0)*VLOOKUP('Données projet'!$B$11,Paramètres!$A$1:$I$89,5,0)</f>
        <v>2.3916769996961063</v>
      </c>
      <c r="BF7" s="14">
        <f t="shared" si="37"/>
        <v>0.9958034297612971</v>
      </c>
      <c r="BG7" s="22">
        <f t="shared" si="7"/>
        <v>5.8998617479716442</v>
      </c>
      <c r="BH7" s="62">
        <f t="shared" si="8"/>
        <v>267.45541730352721</v>
      </c>
      <c r="BI7" s="62">
        <f ca="1">AVERAGE(OFFSET($BH$3,0,0,'Données projet'!$E$11+1,1))-AVERAGE(OFFSET($H$3,0,0,'Données projet'!$E$11+1,1))</f>
        <v>487.04124684635974</v>
      </c>
      <c r="BJ7" s="62">
        <f t="shared" si="38"/>
        <v>306.61893266146666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3.65</v>
      </c>
      <c r="BY7" s="13">
        <f>IF('Données projet'!$A$114&gt;35,BY6+BX7-CG6,IF(A7&lt;'Données projet'!$A$114,$BV$205^A7,IF(A7='Données projet'!$A$114,'Données projet'!$B$114,BY6+BX7-CG6)))</f>
        <v>2.3586558182407358</v>
      </c>
      <c r="BZ7" s="14">
        <f>BY7*VLOOKUP('Données projet'!$B$12,Paramètres!$A$1:$I$89,3,0)*VLOOKUP('Données projet'!$B$12,Paramètres!$A$1:$I$89,5,0)</f>
        <v>2.1341117843442179</v>
      </c>
      <c r="CA7" s="14">
        <f t="shared" si="39"/>
        <v>0.90042667189585779</v>
      </c>
      <c r="CB7" s="22">
        <f t="shared" si="10"/>
        <v>5.2851544779514645</v>
      </c>
      <c r="CC7" s="62">
        <f t="shared" si="11"/>
        <v>266.84071003350698</v>
      </c>
      <c r="CD7" s="62">
        <f ca="1">AVERAGE(OFFSET($CC$3,0,0,'Données projet'!$E$12+1,1))-AVERAGE(OFFSET($H$3,0,0,'Données projet'!$E$12+1,1))</f>
        <v>439.06700232017681</v>
      </c>
      <c r="CE7" s="62">
        <f t="shared" si="40"/>
        <v>278.21741231699929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1.1000000000000001</v>
      </c>
      <c r="CT7" s="13">
        <f>IF('Données projet'!$A$140&gt;35,CT6+CS7-DB6,IF(A7&lt;'Données projet'!$A$140,$CQ$205^A7,IF(A7='Données projet'!$A$140,'Données projet'!$B$140,CT6+CS7-DB6)))</f>
        <v>2.6094986352788743</v>
      </c>
      <c r="CU7" s="18">
        <f>CT7*VLOOKUP('Données projet'!$B$13,Paramètres!$A$1:$I$89,3,0)*VLOOKUP('Données projet'!$B$13,Paramètres!$A$1:$I$89,5,0)</f>
        <v>1.9132843993864705</v>
      </c>
      <c r="CV7" s="14">
        <f t="shared" si="41"/>
        <v>0.81758413948982178</v>
      </c>
      <c r="CW7" s="22">
        <f t="shared" si="13"/>
        <v>4.7562627052095419</v>
      </c>
      <c r="CX7" s="62">
        <f t="shared" si="14"/>
        <v>266.31181826076511</v>
      </c>
      <c r="CY7" s="62">
        <f ca="1">AVERAGE(OFFSET($CX$3,0,0,'Données projet'!$E$13+1,1))-AVERAGE(OFFSET($H$3,0,0,'Données projet'!$E$13+1,1))</f>
        <v>327.81662150328646</v>
      </c>
      <c r="CZ7" s="62">
        <f t="shared" si="42"/>
        <v>320.24200483294322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0.8</v>
      </c>
      <c r="DO7" s="13">
        <f>IF('Données projet'!$A$166&gt;35,DO6+DN7-DW6,IF(A7&lt;'Données projet'!$A$166,$DL$205^A7,IF(A7='Données projet'!$A$166,'Données projet'!$B$166,DO6+DN7-DW6)))</f>
        <v>2.2973967099940702</v>
      </c>
      <c r="DP7" s="18">
        <f>DO7*VLOOKUP('Données projet'!$B$14,Paramètres!$A$1:$I$89,3,0)*VLOOKUP('Données projet'!$B$14,Paramètres!$A$1:$I$89,5,0)</f>
        <v>1.5052543243881147</v>
      </c>
      <c r="DQ7" s="14">
        <f t="shared" si="43"/>
        <v>0.66143650166815549</v>
      </c>
      <c r="DR7" s="22">
        <f t="shared" si="16"/>
        <v>3.7736531887146705</v>
      </c>
      <c r="DS7" s="62">
        <f t="shared" si="17"/>
        <v>265.3292087442702</v>
      </c>
      <c r="DT7" s="62">
        <f ca="1">AVERAGE(OFFSET($DS$3,0,0,'Données projet'!$E$14+1,1))-AVERAGE(OFFSET($H$3,0,0,'Données projet'!$E$14+1,1))</f>
        <v>210.08998695869161</v>
      </c>
      <c r="DU7" s="62">
        <f t="shared" si="44"/>
        <v>207.30911916430881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>
        <f>EXP(-LN(2)/35)*EA6+(1-EXP(-LN(2)/35))/(LN(2)/35)*DW7*DX7*VLOOKUP('Données projet'!$B$14,Paramètres!$A$1:$I$89,3,0)*0.475*44/12</f>
        <v>0</v>
      </c>
      <c r="EB7" s="23">
        <f>EXP(-LN(2)/25)*EB6+(1-EXP(-LN(2)/25))/(LN(2)/25)*Calculateur!DW7*Calculateur!DY7*VLOOKUP('Données projet'!$B$14,Paramètres!$A$1:$I$89,3,0)*0.475*44/12</f>
        <v>0</v>
      </c>
      <c r="EC7" s="23">
        <f>EXP(-LN(2)/2)*EC6+(1-EXP(-LN(2)/2))/(LN(2)/2)*DW7*DZ7*VLOOKUP('Données projet'!$B$14,Paramètres!$A$1:$I$89,3,0)*0.475*44/12</f>
        <v>0</v>
      </c>
      <c r="ED7" s="24">
        <f t="shared" si="18"/>
        <v>0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2.6666666666666665</v>
      </c>
      <c r="EJ7" s="13">
        <f>IF('Données projet'!$A$192&gt;35,EJ6+EI7-ER6,IF(A7&lt;'Données projet'!$A$192,$EG$205^A7,IF(A7='Données projet'!$A$192,'Données projet'!$B$192,EJ6+EI7-ER6)))</f>
        <v>2.6743361672197152</v>
      </c>
      <c r="EK7" s="18">
        <f>EJ7*VLOOKUP('Données projet'!$B$15,Paramètres!$A$1:$I$89,3,0)*VLOOKUP('Données projet'!$B$15,Paramètres!$A$1:$I$89,5,0)</f>
        <v>2.0859822104313781</v>
      </c>
      <c r="EL7" s="14">
        <f t="shared" si="45"/>
        <v>0.88245976121767966</v>
      </c>
      <c r="EM7" s="22">
        <f t="shared" si="19"/>
        <v>5.1700364339554419</v>
      </c>
      <c r="EN7" s="62">
        <f t="shared" si="20"/>
        <v>266.72559198951097</v>
      </c>
      <c r="EO7" s="62">
        <f ca="1">AVERAGE(OFFSET($EN$3,0,0,'Données projet'!$E$15+1,1))-AVERAGE(OFFSET($H$3,0,0,'Données projet'!$E$15+1,1))</f>
        <v>288.82868507674738</v>
      </c>
      <c r="EP7" s="62">
        <f t="shared" si="46"/>
        <v>283.48738729114024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>
        <f>EXP(-LN(2)/35)*EV6+(1-EXP(-LN(2)/35))/(LN(2)/35)*ER7*ES7*VLOOKUP('Données projet'!$B$15,Paramètres!$A$1:$I$89,3,0)*0.475*44/12</f>
        <v>0</v>
      </c>
      <c r="EW7" s="23">
        <f>EXP(-LN(2)/25)*EW6+(1-EXP(-LN(2)/25))/(LN(2)/25)*Calculateur!ER7*Calculateur!ET7*VLOOKUP('Données projet'!$B$15,Paramètres!$A$1:$I$89,3,0)*0.475*44/12</f>
        <v>0</v>
      </c>
      <c r="EX7" s="23">
        <f>EXP(-LN(2)/2)*EX6+(1-EXP(-LN(2)/2))/(LN(2)/2)*ER7*EU7*VLOOKUP('Données projet'!$B$15,Paramètres!$A$1:$I$89,3,0)*0.475*44/12</f>
        <v>0</v>
      </c>
      <c r="EY7" s="24">
        <f t="shared" si="21"/>
        <v>0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6.5</v>
      </c>
      <c r="N8" s="14">
        <f>IF('Données projet'!$A$36&gt;35,N7+M8-V7,IF(A8&lt;'Données projet'!$A$36,$K$205^A8,IF(A8='Données projet'!$A$36,'Données projet'!$B$36,N7+M8-V7)))</f>
        <v>2.4080884530367643</v>
      </c>
      <c r="O8" s="14">
        <f>N8*VLOOKUP('Données projet'!$B$9,Paramètres!$A$1:$I$89,3,0)*VLOOKUP('Données projet'!$B$9,Paramètres!$A$1:$I$89,5,0)</f>
        <v>1.1269853960212057</v>
      </c>
      <c r="P8" s="14">
        <f t="shared" si="33"/>
        <v>0.51218524644792107</v>
      </c>
      <c r="Q8" s="22">
        <f t="shared" si="2"/>
        <v>2.8548888689670626</v>
      </c>
      <c r="R8" s="62">
        <f t="shared" si="0"/>
        <v>265.63266664674484</v>
      </c>
      <c r="S8" s="62">
        <f ca="1">AVERAGE(OFFSET($R$3,0,0,'Données projet'!$E$9+1,1))-AVERAGE(OFFSET($H$3,0,0,'Données projet'!$E$9+1,1))</f>
        <v>317.54276561627643</v>
      </c>
      <c r="T8" s="62">
        <f t="shared" si="34"/>
        <v>238.92443174298893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6.6</v>
      </c>
      <c r="AI8" s="14">
        <f>IF('Données projet'!$A$62&gt;35,AI7+AH8-AQ7,IF(A8&lt;'Données projet'!$A$62,$AF$205^A8,IF(A8='Données projet'!$A$62,'Données projet'!$B$62,AI7+AH8-AQ7)))</f>
        <v>3.3895612242701949</v>
      </c>
      <c r="AJ8" s="14">
        <f>AI8*VLOOKUP('Données projet'!$B$10,Paramètres!$A$1:$I$89,3,0)*VLOOKUP('Données projet'!$B$10,Paramètres!$A$1:$I$89,5,0)</f>
        <v>2.9611206855224426</v>
      </c>
      <c r="AK8" s="14">
        <f t="shared" si="35"/>
        <v>1.2026262582604759</v>
      </c>
      <c r="AL8" s="22">
        <f t="shared" si="4"/>
        <v>7.2518592604219156</v>
      </c>
      <c r="AM8" s="62">
        <f t="shared" si="5"/>
        <v>270.02963703819967</v>
      </c>
      <c r="AN8" s="62">
        <f ca="1">AVERAGE(OFFSET($AM$3,0,0,'Données projet'!$E$10+1,1))-AVERAGE(OFFSET($H$3,0,0,'Données projet'!$E$10+1,1))</f>
        <v>327.826081588335</v>
      </c>
      <c r="AO8" s="62">
        <f t="shared" si="36"/>
        <v>348.84706693879735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3.65</v>
      </c>
      <c r="BD8" s="13">
        <f>IF('Données projet'!$A$88&gt;35,BD7+BC8-BL7,IF(A8&lt;'Données projet'!$A$88,$BA$205^A8,IF(A8='Données projet'!$A$88,'Données projet'!$B$88,BD7+BC8-BL7)))</f>
        <v>2.9230127856917649</v>
      </c>
      <c r="BE8" s="14">
        <f>BD8*VLOOKUP('Données projet'!$B$11,Paramètres!$A$1:$I$89,3,0)*VLOOKUP('Données projet'!$B$11,Paramètres!$A$1:$I$89,5,0)</f>
        <v>2.9639349646914495</v>
      </c>
      <c r="BF8" s="14">
        <f t="shared" si="37"/>
        <v>1.2036361467970902</v>
      </c>
      <c r="BG8" s="22">
        <f t="shared" si="7"/>
        <v>7.2585196858425398</v>
      </c>
      <c r="BH8" s="62">
        <f t="shared" si="8"/>
        <v>270.03629746362031</v>
      </c>
      <c r="BI8" s="62">
        <f ca="1">AVERAGE(OFFSET($BH$3,0,0,'Données projet'!$E$11+1,1))-AVERAGE(OFFSET($H$3,0,0,'Données projet'!$E$11+1,1))</f>
        <v>487.04124684635974</v>
      </c>
      <c r="BJ8" s="62">
        <f t="shared" si="38"/>
        <v>306.61893266146666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3.65</v>
      </c>
      <c r="BY8" s="13">
        <f>IF('Données projet'!$A$114&gt;35,BY7+BX8-CG7,IF(A8&lt;'Données projet'!$A$114,$BV$205^A8,IF(A8='Données projet'!$A$114,'Données projet'!$B$114,BY7+BX8-CG7)))</f>
        <v>2.9230127856917649</v>
      </c>
      <c r="BZ8" s="14">
        <f>BY8*VLOOKUP('Données projet'!$B$12,Paramètres!$A$1:$I$89,3,0)*VLOOKUP('Données projet'!$B$12,Paramètres!$A$1:$I$89,5,0)</f>
        <v>2.6447419684939089</v>
      </c>
      <c r="CA8" s="14">
        <f t="shared" si="39"/>
        <v>1.0883534414958294</v>
      </c>
      <c r="CB8" s="22">
        <f t="shared" si="10"/>
        <v>6.5018078390654601</v>
      </c>
      <c r="CC8" s="62">
        <f t="shared" si="11"/>
        <v>269.27958561684324</v>
      </c>
      <c r="CD8" s="62">
        <f ca="1">AVERAGE(OFFSET($CC$3,0,0,'Données projet'!$E$12+1,1))-AVERAGE(OFFSET($H$3,0,0,'Données projet'!$E$12+1,1))</f>
        <v>439.06700232017681</v>
      </c>
      <c r="CE8" s="62">
        <f t="shared" si="40"/>
        <v>278.21741231699929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1.1000000000000001</v>
      </c>
      <c r="CT8" s="13">
        <f>IF('Données projet'!$A$140&gt;35,CT7+CS8-DB7,IF(A8&lt;'Données projet'!$A$140,$CQ$205^A8,IF(A8='Données projet'!$A$140,'Données projet'!$B$140,CT7+CS8-DB7)))</f>
        <v>3.3166247903554016</v>
      </c>
      <c r="CU8" s="18">
        <f>CT8*VLOOKUP('Données projet'!$B$13,Paramètres!$A$1:$I$89,3,0)*VLOOKUP('Données projet'!$B$13,Paramètres!$A$1:$I$89,5,0)</f>
        <v>2.4317492962885807</v>
      </c>
      <c r="CV8" s="14">
        <f t="shared" si="41"/>
        <v>1.010531639108154</v>
      </c>
      <c r="CW8" s="22">
        <f t="shared" si="13"/>
        <v>5.9953059624826457</v>
      </c>
      <c r="CX8" s="62">
        <f t="shared" si="14"/>
        <v>268.7730837402604</v>
      </c>
      <c r="CY8" s="62">
        <f ca="1">AVERAGE(OFFSET($CX$3,0,0,'Données projet'!$E$13+1,1))-AVERAGE(OFFSET($H$3,0,0,'Données projet'!$E$13+1,1))</f>
        <v>327.81662150328646</v>
      </c>
      <c r="CZ8" s="62">
        <f t="shared" si="42"/>
        <v>320.24200483294322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0.8</v>
      </c>
      <c r="DO8" s="13">
        <f>IF('Données projet'!$A$166&gt;35,DO7+DN8-DW7,IF(A8&lt;'Données projet'!$A$166,$DL$205^A8,IF(A8='Données projet'!$A$166,'Données projet'!$B$166,DO7+DN8-DW7)))</f>
        <v>2.8284271247461903</v>
      </c>
      <c r="DP8" s="18">
        <f>DO8*VLOOKUP('Données projet'!$B$14,Paramètres!$A$1:$I$89,3,0)*VLOOKUP('Données projet'!$B$14,Paramètres!$A$1:$I$89,5,0)</f>
        <v>1.8531854521337039</v>
      </c>
      <c r="DQ8" s="14">
        <f t="shared" si="43"/>
        <v>0.79485001949936218</v>
      </c>
      <c r="DR8" s="22">
        <f t="shared" si="16"/>
        <v>4.611995113094256</v>
      </c>
      <c r="DS8" s="62">
        <f t="shared" si="17"/>
        <v>267.38977289087205</v>
      </c>
      <c r="DT8" s="62">
        <f ca="1">AVERAGE(OFFSET($DS$3,0,0,'Données projet'!$E$14+1,1))-AVERAGE(OFFSET($H$3,0,0,'Données projet'!$E$14+1,1))</f>
        <v>210.08998695869161</v>
      </c>
      <c r="DU8" s="62">
        <f t="shared" si="44"/>
        <v>207.30911916430881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>
        <f>EXP(-LN(2)/35)*EA7+(1-EXP(-LN(2)/35))/(LN(2)/35)*DW8*DX8*VLOOKUP('Données projet'!$B$14,Paramètres!$A$1:$I$89,3,0)*0.475*44/12</f>
        <v>0</v>
      </c>
      <c r="EB8" s="23">
        <f>EXP(-LN(2)/25)*EB7+(1-EXP(-LN(2)/25))/(LN(2)/25)*Calculateur!DW8*Calculateur!DY8*VLOOKUP('Données projet'!$B$14,Paramètres!$A$1:$I$89,3,0)*0.475*44/12</f>
        <v>0</v>
      </c>
      <c r="EC8" s="23">
        <f>EXP(-LN(2)/2)*EC7+(1-EXP(-LN(2)/2))/(LN(2)/2)*DW8*DZ8*VLOOKUP('Données projet'!$B$14,Paramètres!$A$1:$I$89,3,0)*0.475*44/12</f>
        <v>0</v>
      </c>
      <c r="ED8" s="24">
        <f t="shared" si="18"/>
        <v>0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2.6666666666666665</v>
      </c>
      <c r="EJ8" s="13">
        <f>IF('Données projet'!$A$192&gt;35,EJ7+EI8-ER7,IF(A8&lt;'Données projet'!$A$192,$EG$205^A8,IF(A8='Données projet'!$A$192,'Données projet'!$B$192,EJ7+EI8-ER7)))</f>
        <v>3.4199518933533928</v>
      </c>
      <c r="EK8" s="18">
        <f>EJ8*VLOOKUP('Données projet'!$B$15,Paramètres!$A$1:$I$89,3,0)*VLOOKUP('Données projet'!$B$15,Paramètres!$A$1:$I$89,5,0)</f>
        <v>2.6675624768156463</v>
      </c>
      <c r="EL8" s="14">
        <f t="shared" si="45"/>
        <v>1.0966471776471767</v>
      </c>
      <c r="EM8" s="22">
        <f t="shared" si="19"/>
        <v>6.5559984815227494</v>
      </c>
      <c r="EN8" s="62">
        <f t="shared" si="20"/>
        <v>269.33377625930052</v>
      </c>
      <c r="EO8" s="62">
        <f ca="1">AVERAGE(OFFSET($EN$3,0,0,'Données projet'!$E$15+1,1))-AVERAGE(OFFSET($H$3,0,0,'Données projet'!$E$15+1,1))</f>
        <v>288.82868507674738</v>
      </c>
      <c r="EP8" s="62">
        <f t="shared" si="46"/>
        <v>283.48738729114024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>
        <f>EXP(-LN(2)/35)*EV7+(1-EXP(-LN(2)/35))/(LN(2)/35)*ER8*ES8*VLOOKUP('Données projet'!$B$15,Paramètres!$A$1:$I$89,3,0)*0.475*44/12</f>
        <v>0</v>
      </c>
      <c r="EW8" s="23">
        <f>EXP(-LN(2)/25)*EW7+(1-EXP(-LN(2)/25))/(LN(2)/25)*Calculateur!ER8*Calculateur!ET8*VLOOKUP('Données projet'!$B$15,Paramètres!$A$1:$I$89,3,0)*0.475*44/12</f>
        <v>0</v>
      </c>
      <c r="EX8" s="23">
        <f>EXP(-LN(2)/2)*EX7+(1-EXP(-LN(2)/2))/(LN(2)/2)*ER8*EU8*VLOOKUP('Données projet'!$B$15,Paramètres!$A$1:$I$89,3,0)*0.475*44/12</f>
        <v>0</v>
      </c>
      <c r="EY8" s="24">
        <f t="shared" si="21"/>
        <v>0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6.5</v>
      </c>
      <c r="N9" s="14">
        <f>IF('Données projet'!$A$36&gt;35,N8+M9-V8,IF(A9&lt;'Données projet'!$A$36,$K$205^A9,IF(A9='Données projet'!$A$36,'Données projet'!$B$36,N8+M9-V8)))</f>
        <v>2.8708263401097907</v>
      </c>
      <c r="O9" s="14">
        <f>N9*VLOOKUP('Données projet'!$B$9,Paramètres!$A$1:$I$89,3,0)*VLOOKUP('Données projet'!$B$9,Paramètres!$A$1:$I$89,5,0)</f>
        <v>1.3435467271713821</v>
      </c>
      <c r="P9" s="14">
        <f t="shared" si="33"/>
        <v>0.59824105978724762</v>
      </c>
      <c r="Q9" s="22">
        <f t="shared" si="2"/>
        <v>3.3819470622862799</v>
      </c>
      <c r="R9" s="62">
        <f t="shared" si="0"/>
        <v>267.38194706228626</v>
      </c>
      <c r="S9" s="62">
        <f ca="1">AVERAGE(OFFSET($R$3,0,0,'Données projet'!$E$9+1,1))-AVERAGE(OFFSET($H$3,0,0,'Données projet'!$E$9+1,1))</f>
        <v>317.54276561627643</v>
      </c>
      <c r="T9" s="62">
        <f t="shared" si="34"/>
        <v>238.92443174298893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6.6</v>
      </c>
      <c r="AI9" s="14">
        <f>IF('Données projet'!$A$62&gt;35,AI8+AH9-AQ8,IF(A9&lt;'Données projet'!$A$62,$AF$205^A9,IF(A9='Données projet'!$A$62,'Données projet'!$B$62,AI8+AH9-AQ8)))</f>
        <v>4.32685338439601</v>
      </c>
      <c r="AJ9" s="14">
        <f>AI9*VLOOKUP('Données projet'!$B$10,Paramètres!$A$1:$I$89,3,0)*VLOOKUP('Données projet'!$B$10,Paramètres!$A$1:$I$89,5,0)</f>
        <v>3.7799391166083551</v>
      </c>
      <c r="AK9" s="14">
        <f t="shared" si="35"/>
        <v>1.4921677118944865</v>
      </c>
      <c r="AL9" s="22">
        <f t="shared" si="4"/>
        <v>9.1822527263091143</v>
      </c>
      <c r="AM9" s="62">
        <f t="shared" si="5"/>
        <v>273.18225272630912</v>
      </c>
      <c r="AN9" s="62">
        <f ca="1">AVERAGE(OFFSET($AM$3,0,0,'Données projet'!$E$10+1,1))-AVERAGE(OFFSET($H$3,0,0,'Données projet'!$E$10+1,1))</f>
        <v>327.826081588335</v>
      </c>
      <c r="AO9" s="62">
        <f t="shared" si="36"/>
        <v>348.84706693879735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3.65</v>
      </c>
      <c r="BD9" s="13">
        <f>IF('Données projet'!$A$88&gt;35,BD8+BC9-BL8,IF(A9&lt;'Données projet'!$A$88,$BA$205^A9,IF(A9='Données projet'!$A$88,'Données projet'!$B$88,BD8+BC9-BL8)))</f>
        <v>3.6224037772879885</v>
      </c>
      <c r="BE9" s="14">
        <f>BD9*VLOOKUP('Données projet'!$B$11,Paramètres!$A$1:$I$89,3,0)*VLOOKUP('Données projet'!$B$11,Paramètres!$A$1:$I$89,5,0)</f>
        <v>3.6731174301700205</v>
      </c>
      <c r="BF9" s="14">
        <f t="shared" si="37"/>
        <v>1.4548453345092642</v>
      </c>
      <c r="BG9" s="22">
        <f t="shared" si="7"/>
        <v>8.9312018151497536</v>
      </c>
      <c r="BH9" s="62">
        <f t="shared" si="8"/>
        <v>272.93120181514973</v>
      </c>
      <c r="BI9" s="62">
        <f ca="1">AVERAGE(OFFSET($BH$3,0,0,'Données projet'!$E$11+1,1))-AVERAGE(OFFSET($H$3,0,0,'Données projet'!$E$11+1,1))</f>
        <v>487.04124684635974</v>
      </c>
      <c r="BJ9" s="62">
        <f t="shared" si="38"/>
        <v>306.61893266146666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3.65</v>
      </c>
      <c r="BY9" s="13">
        <f>IF('Données projet'!$A$114&gt;35,BY8+BX9-CG8,IF(A9&lt;'Données projet'!$A$114,$BV$205^A9,IF(A9='Données projet'!$A$114,'Données projet'!$B$114,BY8+BX9-CG8)))</f>
        <v>3.6224037772879885</v>
      </c>
      <c r="BZ9" s="14">
        <f>BY9*VLOOKUP('Données projet'!$B$12,Paramètres!$A$1:$I$89,3,0)*VLOOKUP('Données projet'!$B$12,Paramètres!$A$1:$I$89,5,0)</f>
        <v>3.2775509376901719</v>
      </c>
      <c r="CA9" s="14">
        <f t="shared" si="39"/>
        <v>1.315502139804245</v>
      </c>
      <c r="CB9" s="22">
        <f t="shared" si="10"/>
        <v>7.9995674433027766</v>
      </c>
      <c r="CC9" s="62">
        <f t="shared" si="11"/>
        <v>271.99956744330279</v>
      </c>
      <c r="CD9" s="62">
        <f ca="1">AVERAGE(OFFSET($CC$3,0,0,'Données projet'!$E$12+1,1))-AVERAGE(OFFSET($H$3,0,0,'Données projet'!$E$12+1,1))</f>
        <v>439.06700232017681</v>
      </c>
      <c r="CE9" s="62">
        <f t="shared" si="40"/>
        <v>278.21741231699929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1.1000000000000001</v>
      </c>
      <c r="CT9" s="13">
        <f>IF('Données projet'!$A$140&gt;35,CT8+CS9-DB8,IF(A9&lt;'Données projet'!$A$140,$CQ$205^A9,IF(A9='Données projet'!$A$140,'Données projet'!$B$140,CT8+CS9-DB8)))</f>
        <v>4.2153691330919028</v>
      </c>
      <c r="CU9" s="18">
        <f>CT9*VLOOKUP('Données projet'!$B$13,Paramètres!$A$1:$I$89,3,0)*VLOOKUP('Données projet'!$B$13,Paramètres!$A$1:$I$89,5,0)</f>
        <v>3.0907086483829831</v>
      </c>
      <c r="CV9" s="14">
        <f t="shared" si="41"/>
        <v>1.2490141923201104</v>
      </c>
      <c r="CW9" s="22">
        <f t="shared" si="13"/>
        <v>7.5583506142245538</v>
      </c>
      <c r="CX9" s="62">
        <f t="shared" si="14"/>
        <v>271.55835061422454</v>
      </c>
      <c r="CY9" s="62">
        <f ca="1">AVERAGE(OFFSET($CX$3,0,0,'Données projet'!$E$13+1,1))-AVERAGE(OFFSET($H$3,0,0,'Données projet'!$E$13+1,1))</f>
        <v>327.81662150328646</v>
      </c>
      <c r="CZ9" s="62">
        <f t="shared" si="42"/>
        <v>320.24200483294322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0.8</v>
      </c>
      <c r="DO9" s="13">
        <f>IF('Données projet'!$A$166&gt;35,DO8+DN9-DW8,IF(A9&lt;'Données projet'!$A$166,$DL$205^A9,IF(A9='Données projet'!$A$166,'Données projet'!$B$166,DO8+DN9-DW8)))</f>
        <v>3.4822022531844969</v>
      </c>
      <c r="DP9" s="18">
        <f>DO9*VLOOKUP('Données projet'!$B$14,Paramètres!$A$1:$I$89,3,0)*VLOOKUP('Données projet'!$B$14,Paramètres!$A$1:$I$89,5,0)</f>
        <v>2.2815389162864825</v>
      </c>
      <c r="DQ9" s="14">
        <f t="shared" si="43"/>
        <v>0.95517340198909284</v>
      </c>
      <c r="DR9" s="22">
        <f t="shared" si="16"/>
        <v>5.6372739543299604</v>
      </c>
      <c r="DS9" s="62">
        <f t="shared" si="17"/>
        <v>269.63727395432994</v>
      </c>
      <c r="DT9" s="62">
        <f ca="1">AVERAGE(OFFSET($DS$3,0,0,'Données projet'!$E$14+1,1))-AVERAGE(OFFSET($H$3,0,0,'Données projet'!$E$14+1,1))</f>
        <v>210.08998695869161</v>
      </c>
      <c r="DU9" s="62">
        <f t="shared" si="44"/>
        <v>207.30911916430881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>
        <f>EXP(-LN(2)/35)*EA8+(1-EXP(-LN(2)/35))/(LN(2)/35)*DW9*DX9*VLOOKUP('Données projet'!$B$14,Paramètres!$A$1:$I$89,3,0)*0.475*44/12</f>
        <v>0</v>
      </c>
      <c r="EB9" s="23">
        <f>EXP(-LN(2)/25)*EB8+(1-EXP(-LN(2)/25))/(LN(2)/25)*Calculateur!DW9*Calculateur!DY9*VLOOKUP('Données projet'!$B$14,Paramètres!$A$1:$I$89,3,0)*0.475*44/12</f>
        <v>0</v>
      </c>
      <c r="EC9" s="23">
        <f>EXP(-LN(2)/2)*EC8+(1-EXP(-LN(2)/2))/(LN(2)/2)*DW9*DZ9*VLOOKUP('Données projet'!$B$14,Paramètres!$A$1:$I$89,3,0)*0.475*44/12</f>
        <v>0</v>
      </c>
      <c r="ED9" s="24">
        <f t="shared" si="18"/>
        <v>0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2.6666666666666665</v>
      </c>
      <c r="EJ9" s="13">
        <f>IF('Données projet'!$A$192&gt;35,EJ8+EI9-ER8,IF(A9&lt;'Données projet'!$A$192,$EG$205^A9,IF(A9='Données projet'!$A$192,'Données projet'!$B$192,EJ8+EI9-ER8)))</f>
        <v>4.3734482957731098</v>
      </c>
      <c r="EK9" s="18">
        <f>EJ9*VLOOKUP('Données projet'!$B$15,Paramètres!$A$1:$I$89,3,0)*VLOOKUP('Données projet'!$B$15,Paramètres!$A$1:$I$89,5,0)</f>
        <v>3.4112896707030256</v>
      </c>
      <c r="EL9" s="14">
        <f t="shared" si="45"/>
        <v>1.3628213830192535</v>
      </c>
      <c r="EM9" s="22">
        <f t="shared" si="19"/>
        <v>8.3149100852329703</v>
      </c>
      <c r="EN9" s="62">
        <f t="shared" si="20"/>
        <v>272.31491008523295</v>
      </c>
      <c r="EO9" s="62">
        <f ca="1">AVERAGE(OFFSET($EN$3,0,0,'Données projet'!$E$15+1,1))-AVERAGE(OFFSET($H$3,0,0,'Données projet'!$E$15+1,1))</f>
        <v>288.82868507674738</v>
      </c>
      <c r="EP9" s="62">
        <f t="shared" si="46"/>
        <v>283.48738729114024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>
        <f>EXP(-LN(2)/35)*EV8+(1-EXP(-LN(2)/35))/(LN(2)/35)*ER9*ES9*VLOOKUP('Données projet'!$B$15,Paramètres!$A$1:$I$89,3,0)*0.475*44/12</f>
        <v>0</v>
      </c>
      <c r="EW9" s="23">
        <f>EXP(-LN(2)/25)*EW8+(1-EXP(-LN(2)/25))/(LN(2)/25)*Calculateur!ER9*Calculateur!ET9*VLOOKUP('Données projet'!$B$15,Paramètres!$A$1:$I$89,3,0)*0.475*44/12</f>
        <v>0</v>
      </c>
      <c r="EX9" s="23">
        <f>EXP(-LN(2)/2)*EX8+(1-EXP(-LN(2)/2))/(LN(2)/2)*ER9*EU9*VLOOKUP('Données projet'!$B$15,Paramètres!$A$1:$I$89,3,0)*0.475*44/12</f>
        <v>0</v>
      </c>
      <c r="EY9" s="24">
        <f t="shared" si="21"/>
        <v>0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6.5</v>
      </c>
      <c r="N10" s="14">
        <f>IF('Données projet'!$A$36&gt;35,N9+M10-V9,IF(A10&lt;'Données projet'!$A$36,$K$205^A10,IF(A10='Données projet'!$A$36,'Données projet'!$B$36,N9+M10-V9)))</f>
        <v>3.4224838646084192</v>
      </c>
      <c r="O10" s="14">
        <f>N10*VLOOKUP('Données projet'!$B$9,Paramètres!$A$1:$I$89,3,0)*VLOOKUP('Données projet'!$B$9,Paramètres!$A$1:$I$89,5,0)</f>
        <v>1.6017224486367401</v>
      </c>
      <c r="P10" s="14">
        <f t="shared" si="33"/>
        <v>0.69875571016034643</v>
      </c>
      <c r="Q10" s="22">
        <f t="shared" si="2"/>
        <v>4.0066661265715924</v>
      </c>
      <c r="R10" s="62">
        <f t="shared" si="0"/>
        <v>269.22888834879382</v>
      </c>
      <c r="S10" s="62">
        <f ca="1">AVERAGE(OFFSET($R$3,0,0,'Données projet'!$E$9+1,1))-AVERAGE(OFFSET($H$3,0,0,'Données projet'!$E$9+1,1))</f>
        <v>317.54276561627643</v>
      </c>
      <c r="T10" s="62">
        <f t="shared" si="34"/>
        <v>238.92443174298893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6.6</v>
      </c>
      <c r="AI10" s="14">
        <f>IF('Données projet'!$A$62&gt;35,AI9+AH10-AQ9,IF(A10&lt;'Données projet'!$A$62,$AF$205^A10,IF(A10='Données projet'!$A$62,'Données projet'!$B$62,AI9+AH10-AQ9)))</f>
        <v>5.5233285287803451</v>
      </c>
      <c r="AJ10" s="14">
        <f>AI10*VLOOKUP('Données projet'!$B$10,Paramètres!$A$1:$I$89,3,0)*VLOOKUP('Données projet'!$B$10,Paramètres!$A$1:$I$89,5,0)</f>
        <v>4.8251798027425101</v>
      </c>
      <c r="AK10" s="14">
        <f t="shared" si="35"/>
        <v>1.8514184811173284</v>
      </c>
      <c r="AL10" s="22">
        <f t="shared" si="4"/>
        <v>11.628408677722552</v>
      </c>
      <c r="AM10" s="62">
        <f t="shared" si="5"/>
        <v>276.8506308999448</v>
      </c>
      <c r="AN10" s="62">
        <f ca="1">AVERAGE(OFFSET($AM$3,0,0,'Données projet'!$E$10+1,1))-AVERAGE(OFFSET($H$3,0,0,'Données projet'!$E$10+1,1))</f>
        <v>327.826081588335</v>
      </c>
      <c r="AO10" s="62">
        <f t="shared" si="36"/>
        <v>348.84706693879735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3.65</v>
      </c>
      <c r="BD10" s="13">
        <f>IF('Données projet'!$A$88&gt;35,BD9+BC10-BL9,IF(A10&lt;'Données projet'!$A$88,$BA$205^A10,IF(A10='Données projet'!$A$88,'Données projet'!$B$88,BD9+BC10-BL9)))</f>
        <v>4.4891384635544309</v>
      </c>
      <c r="BE10" s="14">
        <f>BD10*VLOOKUP('Données projet'!$B$11,Paramètres!$A$1:$I$89,3,0)*VLOOKUP('Données projet'!$B$11,Paramètres!$A$1:$I$89,5,0)</f>
        <v>4.5519864020441929</v>
      </c>
      <c r="BF10" s="14">
        <f t="shared" si="37"/>
        <v>1.7584840343783612</v>
      </c>
      <c r="BG10" s="22">
        <f t="shared" si="7"/>
        <v>10.990736010102614</v>
      </c>
      <c r="BH10" s="62">
        <f t="shared" si="8"/>
        <v>276.21295823232487</v>
      </c>
      <c r="BI10" s="62">
        <f ca="1">AVERAGE(OFFSET($BH$3,0,0,'Données projet'!$E$11+1,1))-AVERAGE(OFFSET($H$3,0,0,'Données projet'!$E$11+1,1))</f>
        <v>487.04124684635974</v>
      </c>
      <c r="BJ10" s="62">
        <f t="shared" si="38"/>
        <v>306.61893266146666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3.65</v>
      </c>
      <c r="BY10" s="13">
        <f>IF('Données projet'!$A$114&gt;35,BY9+BX10-CG9,IF(A10&lt;'Données projet'!$A$114,$BV$205^A10,IF(A10='Données projet'!$A$114,'Données projet'!$B$114,BY9+BX10-CG9)))</f>
        <v>4.4891384635544309</v>
      </c>
      <c r="BZ10" s="14">
        <f>BY10*VLOOKUP('Données projet'!$B$12,Paramètres!$A$1:$I$89,3,0)*VLOOKUP('Données projet'!$B$12,Paramètres!$A$1:$I$89,5,0)</f>
        <v>4.0617724818240486</v>
      </c>
      <c r="CA10" s="14">
        <f t="shared" si="39"/>
        <v>1.590058719758437</v>
      </c>
      <c r="CB10" s="22">
        <f t="shared" si="10"/>
        <v>9.8436060094228282</v>
      </c>
      <c r="CC10" s="62">
        <f t="shared" si="11"/>
        <v>275.06582823164507</v>
      </c>
      <c r="CD10" s="62">
        <f ca="1">AVERAGE(OFFSET($CC$3,0,0,'Données projet'!$E$12+1,1))-AVERAGE(OFFSET($H$3,0,0,'Données projet'!$E$12+1,1))</f>
        <v>439.06700232017681</v>
      </c>
      <c r="CE10" s="62">
        <f t="shared" si="40"/>
        <v>278.21741231699929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1.1000000000000001</v>
      </c>
      <c r="CT10" s="13">
        <f>IF('Données projet'!$A$140&gt;35,CT9+CS10-DB9,IF(A10&lt;'Données projet'!$A$140,$CQ$205^A10,IF(A10='Données projet'!$A$140,'Données projet'!$B$140,CT9+CS10-DB9)))</f>
        <v>5.3576566694841175</v>
      </c>
      <c r="CU10" s="18">
        <f>CT10*VLOOKUP('Données projet'!$B$13,Paramètres!$A$1:$I$89,3,0)*VLOOKUP('Données projet'!$B$13,Paramètres!$A$1:$I$89,5,0)</f>
        <v>3.9282338700657551</v>
      </c>
      <c r="CV10" s="14">
        <f t="shared" si="41"/>
        <v>1.5437779404847436</v>
      </c>
      <c r="CW10" s="22">
        <f t="shared" si="13"/>
        <v>9.5304205700421178</v>
      </c>
      <c r="CX10" s="62">
        <f t="shared" si="14"/>
        <v>274.75264279226434</v>
      </c>
      <c r="CY10" s="62">
        <f ca="1">AVERAGE(OFFSET($CX$3,0,0,'Données projet'!$E$13+1,1))-AVERAGE(OFFSET($H$3,0,0,'Données projet'!$E$13+1,1))</f>
        <v>327.81662150328646</v>
      </c>
      <c r="CZ10" s="62">
        <f t="shared" si="42"/>
        <v>320.24200483294322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0.8</v>
      </c>
      <c r="DO10" s="13">
        <f>IF('Données projet'!$A$166&gt;35,DO9+DN10-DW9,IF(A10&lt;'Données projet'!$A$166,$DL$205^A10,IF(A10='Données projet'!$A$166,'Données projet'!$B$166,DO9+DN10-DW9)))</f>
        <v>4.2870938501451734</v>
      </c>
      <c r="DP10" s="18">
        <f>DO10*VLOOKUP('Données projet'!$B$14,Paramètres!$A$1:$I$89,3,0)*VLOOKUP('Données projet'!$B$14,Paramètres!$A$1:$I$89,5,0)</f>
        <v>2.8089038906151176</v>
      </c>
      <c r="DQ10" s="14">
        <f t="shared" si="43"/>
        <v>1.1478344410711172</v>
      </c>
      <c r="DR10" s="22">
        <f t="shared" si="16"/>
        <v>6.8913192610201923</v>
      </c>
      <c r="DS10" s="62">
        <f t="shared" si="17"/>
        <v>272.11354148324244</v>
      </c>
      <c r="DT10" s="62">
        <f ca="1">AVERAGE(OFFSET($DS$3,0,0,'Données projet'!$E$14+1,1))-AVERAGE(OFFSET($H$3,0,0,'Données projet'!$E$14+1,1))</f>
        <v>210.08998695869161</v>
      </c>
      <c r="DU10" s="62">
        <f t="shared" si="44"/>
        <v>207.30911916430881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>
        <f>EXP(-LN(2)/35)*EA9+(1-EXP(-LN(2)/35))/(LN(2)/35)*DW10*DX10*VLOOKUP('Données projet'!$B$14,Paramètres!$A$1:$I$89,3,0)*0.475*44/12</f>
        <v>0</v>
      </c>
      <c r="EB10" s="23">
        <f>EXP(-LN(2)/25)*EB9+(1-EXP(-LN(2)/25))/(LN(2)/25)*Calculateur!DW10*Calculateur!DY10*VLOOKUP('Données projet'!$B$14,Paramètres!$A$1:$I$89,3,0)*0.475*44/12</f>
        <v>0</v>
      </c>
      <c r="EC10" s="23">
        <f>EXP(-LN(2)/2)*EC9+(1-EXP(-LN(2)/2))/(LN(2)/2)*DW10*DZ10*VLOOKUP('Données projet'!$B$14,Paramètres!$A$1:$I$89,3,0)*0.475*44/12</f>
        <v>0</v>
      </c>
      <c r="ED10" s="24">
        <f t="shared" si="18"/>
        <v>0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2.6666666666666665</v>
      </c>
      <c r="EJ10" s="13">
        <f>IF('Données projet'!$A$192&gt;35,EJ9+EI10-ER9,IF(A10&lt;'Données projet'!$A$192,$EG$205^A10,IF(A10='Données projet'!$A$192,'Données projet'!$B$192,EJ9+EI10-ER9)))</f>
        <v>5.5927833467405659</v>
      </c>
      <c r="EK10" s="18">
        <f>EJ10*VLOOKUP('Données projet'!$B$15,Paramètres!$A$1:$I$89,3,0)*VLOOKUP('Données projet'!$B$15,Paramètres!$A$1:$I$89,5,0)</f>
        <v>4.3623710104576414</v>
      </c>
      <c r="EL10" s="14">
        <f t="shared" si="45"/>
        <v>1.6936004212396314</v>
      </c>
      <c r="EM10" s="22">
        <f t="shared" si="19"/>
        <v>10.54748357687275</v>
      </c>
      <c r="EN10" s="62">
        <f t="shared" si="20"/>
        <v>275.76970579909499</v>
      </c>
      <c r="EO10" s="62">
        <f ca="1">AVERAGE(OFFSET($EN$3,0,0,'Données projet'!$E$15+1,1))-AVERAGE(OFFSET($H$3,0,0,'Données projet'!$E$15+1,1))</f>
        <v>288.82868507674738</v>
      </c>
      <c r="EP10" s="62">
        <f t="shared" si="46"/>
        <v>283.48738729114024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>
        <f>EXP(-LN(2)/35)*EV9+(1-EXP(-LN(2)/35))/(LN(2)/35)*ER10*ES10*VLOOKUP('Données projet'!$B$15,Paramètres!$A$1:$I$89,3,0)*0.475*44/12</f>
        <v>0</v>
      </c>
      <c r="EW10" s="23">
        <f>EXP(-LN(2)/25)*EW9+(1-EXP(-LN(2)/25))/(LN(2)/25)*Calculateur!ER10*Calculateur!ET10*VLOOKUP('Données projet'!$B$15,Paramètres!$A$1:$I$89,3,0)*0.475*44/12</f>
        <v>0</v>
      </c>
      <c r="EX10" s="23">
        <f>EXP(-LN(2)/2)*EX9+(1-EXP(-LN(2)/2))/(LN(2)/2)*ER10*EU10*VLOOKUP('Données projet'!$B$15,Paramètres!$A$1:$I$89,3,0)*0.475*44/12</f>
        <v>0</v>
      </c>
      <c r="EY10" s="24">
        <f t="shared" si="21"/>
        <v>0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6.5</v>
      </c>
      <c r="N11" s="14">
        <f>IF('Données projet'!$A$36&gt;35,N10+M11-V10,IF(A11&lt;'Données projet'!$A$36,$K$205^A11,IF(A11='Données projet'!$A$36,'Données projet'!$B$36,N10+M11-V10)))</f>
        <v>4.080147809657138</v>
      </c>
      <c r="O11" s="14">
        <f>N11*VLOOKUP('Données projet'!$B$9,Paramètres!$A$1:$I$89,3,0)*VLOOKUP('Données projet'!$B$9,Paramètres!$A$1:$I$89,5,0)</f>
        <v>1.9095091749195405</v>
      </c>
      <c r="P11" s="14">
        <f t="shared" si="33"/>
        <v>0.81615852755965934</v>
      </c>
      <c r="Q11" s="22">
        <f t="shared" si="2"/>
        <v>4.7472045818179396</v>
      </c>
      <c r="R11" s="62">
        <f t="shared" si="0"/>
        <v>271.19164902626238</v>
      </c>
      <c r="S11" s="62">
        <f ca="1">AVERAGE(OFFSET($R$3,0,0,'Données projet'!$E$9+1,1))-AVERAGE(OFFSET($H$3,0,0,'Données projet'!$E$9+1,1))</f>
        <v>317.54276561627643</v>
      </c>
      <c r="T11" s="62">
        <f t="shared" si="34"/>
        <v>238.92443174298893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6.6</v>
      </c>
      <c r="AI11" s="14">
        <f>IF('Données projet'!$A$62&gt;35,AI10+AH11-AQ10,IF(A11&lt;'Données projet'!$A$62,$AF$205^A11,IF(A11='Données projet'!$A$62,'Données projet'!$B$62,AI10+AH11-AQ10)))</f>
        <v>7.0506567536716718</v>
      </c>
      <c r="AJ11" s="14">
        <f>AI11*VLOOKUP('Données projet'!$B$10,Paramètres!$A$1:$I$89,3,0)*VLOOKUP('Données projet'!$B$10,Paramètres!$A$1:$I$89,5,0)</f>
        <v>6.1594537400075735</v>
      </c>
      <c r="AK11" s="14">
        <f t="shared" si="35"/>
        <v>2.2971616158822084</v>
      </c>
      <c r="AL11" s="22">
        <f t="shared" si="4"/>
        <v>14.728605078174702</v>
      </c>
      <c r="AM11" s="62">
        <f t="shared" si="5"/>
        <v>281.17304952261918</v>
      </c>
      <c r="AN11" s="62">
        <f ca="1">AVERAGE(OFFSET($AM$3,0,0,'Données projet'!$E$10+1,1))-AVERAGE(OFFSET($H$3,0,0,'Données projet'!$E$10+1,1))</f>
        <v>327.826081588335</v>
      </c>
      <c r="AO11" s="62">
        <f t="shared" si="36"/>
        <v>348.84706693879735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3.65</v>
      </c>
      <c r="BD11" s="13">
        <f>IF('Données projet'!$A$88&gt;35,BD10+BC11-BL10,IF(A11&lt;'Données projet'!$A$88,$BA$205^A11,IF(A11='Données projet'!$A$88,'Données projet'!$B$88,BD10+BC11-BL10)))</f>
        <v>5.563257268920875</v>
      </c>
      <c r="BE11" s="14">
        <f>BD11*VLOOKUP('Données projet'!$B$11,Paramètres!$A$1:$I$89,3,0)*VLOOKUP('Données projet'!$B$11,Paramètres!$A$1:$I$89,5,0)</f>
        <v>5.6411428706857674</v>
      </c>
      <c r="BF11" s="14">
        <f t="shared" si="37"/>
        <v>2.125494735292019</v>
      </c>
      <c r="BG11" s="22">
        <f t="shared" si="7"/>
        <v>13.526893830411311</v>
      </c>
      <c r="BH11" s="62">
        <f t="shared" si="8"/>
        <v>279.97133827485578</v>
      </c>
      <c r="BI11" s="62">
        <f ca="1">AVERAGE(OFFSET($BH$3,0,0,'Données projet'!$E$11+1,1))-AVERAGE(OFFSET($H$3,0,0,'Données projet'!$E$11+1,1))</f>
        <v>487.04124684635974</v>
      </c>
      <c r="BJ11" s="62">
        <f t="shared" si="38"/>
        <v>306.61893266146666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3.65</v>
      </c>
      <c r="BY11" s="13">
        <f>IF('Données projet'!$A$114&gt;35,BY10+BX11-CG10,IF(A11&lt;'Données projet'!$A$114,$BV$205^A11,IF(A11='Données projet'!$A$114,'Données projet'!$B$114,BY10+BX11-CG10)))</f>
        <v>5.563257268920875</v>
      </c>
      <c r="BZ11" s="14">
        <f>BY11*VLOOKUP('Données projet'!$B$12,Paramètres!$A$1:$I$89,3,0)*VLOOKUP('Données projet'!$B$12,Paramètres!$A$1:$I$89,5,0)</f>
        <v>5.0336351769196082</v>
      </c>
      <c r="CA11" s="14">
        <f t="shared" si="39"/>
        <v>1.9219176128866391</v>
      </c>
      <c r="CB11" s="22">
        <f t="shared" si="10"/>
        <v>12.11425444224588</v>
      </c>
      <c r="CC11" s="62">
        <f t="shared" si="11"/>
        <v>278.55869888669031</v>
      </c>
      <c r="CD11" s="62">
        <f ca="1">AVERAGE(OFFSET($CC$3,0,0,'Données projet'!$E$12+1,1))-AVERAGE(OFFSET($H$3,0,0,'Données projet'!$E$12+1,1))</f>
        <v>439.06700232017681</v>
      </c>
      <c r="CE11" s="62">
        <f t="shared" si="40"/>
        <v>278.21741231699929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1.1000000000000001</v>
      </c>
      <c r="CT11" s="13">
        <f>IF('Données projet'!$A$140&gt;35,CT10+CS11-DB10,IF(A11&lt;'Données projet'!$A$140,$CQ$205^A11,IF(A11='Données projet'!$A$140,'Données projet'!$B$140,CT10+CS11-DB10)))</f>
        <v>6.8094831275223076</v>
      </c>
      <c r="CU11" s="18">
        <f>CT11*VLOOKUP('Données projet'!$B$13,Paramètres!$A$1:$I$89,3,0)*VLOOKUP('Données projet'!$B$13,Paramètres!$A$1:$I$89,5,0)</f>
        <v>4.9927130290993551</v>
      </c>
      <c r="CV11" s="14">
        <f t="shared" si="41"/>
        <v>1.9081050833380053</v>
      </c>
      <c r="CW11" s="22">
        <f t="shared" si="13"/>
        <v>12.018924879161736</v>
      </c>
      <c r="CX11" s="62">
        <f t="shared" si="14"/>
        <v>278.46336932360617</v>
      </c>
      <c r="CY11" s="62">
        <f ca="1">AVERAGE(OFFSET($CX$3,0,0,'Données projet'!$E$13+1,1))-AVERAGE(OFFSET($H$3,0,0,'Données projet'!$E$13+1,1))</f>
        <v>327.81662150328646</v>
      </c>
      <c r="CZ11" s="62">
        <f t="shared" si="42"/>
        <v>320.24200483294322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0.8</v>
      </c>
      <c r="DO11" s="13">
        <f>IF('Données projet'!$A$166&gt;35,DO10+DN11-DW10,IF(A11&lt;'Données projet'!$A$166,$DL$205^A11,IF(A11='Données projet'!$A$166,'Données projet'!$B$166,DO10+DN11-DW10)))</f>
        <v>5.2780316430915777</v>
      </c>
      <c r="DP11" s="18">
        <f>DO11*VLOOKUP('Données projet'!$B$14,Paramètres!$A$1:$I$89,3,0)*VLOOKUP('Données projet'!$B$14,Paramètres!$A$1:$I$89,5,0)</f>
        <v>3.4581663325536014</v>
      </c>
      <c r="DQ11" s="14">
        <f t="shared" si="43"/>
        <v>1.3793557288816642</v>
      </c>
      <c r="DR11" s="22">
        <f t="shared" si="16"/>
        <v>8.4253509236664215</v>
      </c>
      <c r="DS11" s="62">
        <f t="shared" si="17"/>
        <v>274.86979536811089</v>
      </c>
      <c r="DT11" s="62">
        <f ca="1">AVERAGE(OFFSET($DS$3,0,0,'Données projet'!$E$14+1,1))-AVERAGE(OFFSET($H$3,0,0,'Données projet'!$E$14+1,1))</f>
        <v>210.08998695869161</v>
      </c>
      <c r="DU11" s="62">
        <f t="shared" si="44"/>
        <v>207.30911916430881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>
        <f>EXP(-LN(2)/35)*EA10+(1-EXP(-LN(2)/35))/(LN(2)/35)*DW11*DX11*VLOOKUP('Données projet'!$B$14,Paramètres!$A$1:$I$89,3,0)*0.475*44/12</f>
        <v>0</v>
      </c>
      <c r="EB11" s="23">
        <f>EXP(-LN(2)/25)*EB10+(1-EXP(-LN(2)/25))/(LN(2)/25)*Calculateur!DW11*Calculateur!DY11*VLOOKUP('Données projet'!$B$14,Paramètres!$A$1:$I$89,3,0)*0.475*44/12</f>
        <v>0</v>
      </c>
      <c r="EC11" s="23">
        <f>EXP(-LN(2)/2)*EC10+(1-EXP(-LN(2)/2))/(LN(2)/2)*DW11*DZ11*VLOOKUP('Données projet'!$B$14,Paramètres!$A$1:$I$89,3,0)*0.475*44/12</f>
        <v>0</v>
      </c>
      <c r="ED11" s="24">
        <f t="shared" si="18"/>
        <v>0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2.6666666666666665</v>
      </c>
      <c r="EJ11" s="13">
        <f>IF('Données projet'!$A$192&gt;35,EJ10+EI11-ER10,IF(A11&lt;'Données projet'!$A$192,$EG$205^A11,IF(A11='Données projet'!$A$192,'Données projet'!$B$192,EJ10+EI11-ER10)))</f>
        <v>7.1520739352994367</v>
      </c>
      <c r="EK11" s="18">
        <f>EJ11*VLOOKUP('Données projet'!$B$15,Paramètres!$A$1:$I$89,3,0)*VLOOKUP('Données projet'!$B$15,Paramètres!$A$1:$I$89,5,0)</f>
        <v>5.5786176695335605</v>
      </c>
      <c r="EL11" s="14">
        <f t="shared" si="45"/>
        <v>2.1046649418345189</v>
      </c>
      <c r="EM11" s="22">
        <f t="shared" si="19"/>
        <v>13.381717214799407</v>
      </c>
      <c r="EN11" s="62">
        <f t="shared" si="20"/>
        <v>279.82616165924384</v>
      </c>
      <c r="EO11" s="62">
        <f ca="1">AVERAGE(OFFSET($EN$3,0,0,'Données projet'!$E$15+1,1))-AVERAGE(OFFSET($H$3,0,0,'Données projet'!$E$15+1,1))</f>
        <v>288.82868507674738</v>
      </c>
      <c r="EP11" s="62">
        <f t="shared" si="46"/>
        <v>283.48738729114024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>
        <f>EXP(-LN(2)/35)*EV10+(1-EXP(-LN(2)/35))/(LN(2)/35)*ER11*ES11*VLOOKUP('Données projet'!$B$15,Paramètres!$A$1:$I$89,3,0)*0.475*44/12</f>
        <v>0</v>
      </c>
      <c r="EW11" s="23">
        <f>EXP(-LN(2)/25)*EW10+(1-EXP(-LN(2)/25))/(LN(2)/25)*Calculateur!ER11*Calculateur!ET11*VLOOKUP('Données projet'!$B$15,Paramètres!$A$1:$I$89,3,0)*0.475*44/12</f>
        <v>0</v>
      </c>
      <c r="EX11" s="23">
        <f>EXP(-LN(2)/2)*EX10+(1-EXP(-LN(2)/2))/(LN(2)/2)*ER11*EU11*VLOOKUP('Données projet'!$B$15,Paramètres!$A$1:$I$89,3,0)*0.475*44/12</f>
        <v>0</v>
      </c>
      <c r="EY11" s="24">
        <f t="shared" si="21"/>
        <v>0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6.5</v>
      </c>
      <c r="N12" s="14">
        <f>IF('Données projet'!$A$36&gt;35,N11+M12-V11,IF(A12&lt;'Données projet'!$A$36,$K$205^A12,IF(A12='Données projet'!$A$36,'Données projet'!$B$36,N11+M12-V11)))</f>
        <v>4.8641883518579174</v>
      </c>
      <c r="O12" s="14">
        <f>N12*VLOOKUP('Données projet'!$B$9,Paramètres!$A$1:$I$89,3,0)*VLOOKUP('Données projet'!$B$9,Paramètres!$A$1:$I$89,5,0)</f>
        <v>2.2764401486695052</v>
      </c>
      <c r="P12" s="14">
        <f t="shared" si="33"/>
        <v>0.95328701064281096</v>
      </c>
      <c r="Q12" s="22">
        <f t="shared" si="2"/>
        <v>5.6251081358022832</v>
      </c>
      <c r="R12" s="62">
        <f t="shared" si="0"/>
        <v>273.29177480246898</v>
      </c>
      <c r="S12" s="62">
        <f ca="1">AVERAGE(OFFSET($R$3,0,0,'Données projet'!$E$9+1,1))-AVERAGE(OFFSET($H$3,0,0,'Données projet'!$E$9+1,1))</f>
        <v>317.54276561627643</v>
      </c>
      <c r="T12" s="62">
        <f t="shared" si="34"/>
        <v>238.92443174298893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6.6</v>
      </c>
      <c r="AI12" s="14">
        <f>IF('Données projet'!$A$62&gt;35,AI11+AH12-AQ11,IF(A12&lt;'Données projet'!$A$62,$AF$205^A12,IF(A12='Données projet'!$A$62,'Données projet'!$B$62,AI11+AH12-AQ11)))</f>
        <v>9.0003265963745314</v>
      </c>
      <c r="AJ12" s="14">
        <f>AI12*VLOOKUP('Données projet'!$B$10,Paramètres!$A$1:$I$89,3,0)*VLOOKUP('Données projet'!$B$10,Paramètres!$A$1:$I$89,5,0)</f>
        <v>7.8626853145927917</v>
      </c>
      <c r="AK12" s="14">
        <f t="shared" si="35"/>
        <v>2.8502208135558442</v>
      </c>
      <c r="AL12" s="22">
        <f t="shared" si="4"/>
        <v>18.658311506525539</v>
      </c>
      <c r="AM12" s="62">
        <f t="shared" si="5"/>
        <v>286.32497817319222</v>
      </c>
      <c r="AN12" s="62">
        <f ca="1">AVERAGE(OFFSET($AM$3,0,0,'Données projet'!$E$10+1,1))-AVERAGE(OFFSET($H$3,0,0,'Données projet'!$E$10+1,1))</f>
        <v>327.826081588335</v>
      </c>
      <c r="AO12" s="62">
        <f t="shared" si="36"/>
        <v>348.84706693879735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3.65</v>
      </c>
      <c r="BD12" s="13">
        <f>IF('Données projet'!$A$88&gt;35,BD11+BC12-BL11,IF(A12&lt;'Données projet'!$A$88,$BA$205^A12,IF(A12='Données projet'!$A$88,'Données projet'!$B$88,BD11+BC12-BL11)))</f>
        <v>6.8943811137639424</v>
      </c>
      <c r="BE12" s="14">
        <f>BD12*VLOOKUP('Données projet'!$B$11,Paramètres!$A$1:$I$89,3,0)*VLOOKUP('Données projet'!$B$11,Paramètres!$A$1:$I$89,5,0)</f>
        <v>6.9909024493566383</v>
      </c>
      <c r="BF12" s="14">
        <f t="shared" si="37"/>
        <v>2.5691037174250742</v>
      </c>
      <c r="BG12" s="22">
        <f t="shared" si="7"/>
        <v>16.650344073811482</v>
      </c>
      <c r="BH12" s="62">
        <f t="shared" si="8"/>
        <v>284.31701074047817</v>
      </c>
      <c r="BI12" s="62">
        <f ca="1">AVERAGE(OFFSET($BH$3,0,0,'Données projet'!$E$11+1,1))-AVERAGE(OFFSET($H$3,0,0,'Données projet'!$E$11+1,1))</f>
        <v>487.04124684635974</v>
      </c>
      <c r="BJ12" s="62">
        <f t="shared" si="38"/>
        <v>306.61893266146666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3.65</v>
      </c>
      <c r="BY12" s="13">
        <f>IF('Données projet'!$A$114&gt;35,BY11+BX12-CG11,IF(A12&lt;'Données projet'!$A$114,$BV$205^A12,IF(A12='Données projet'!$A$114,'Données projet'!$B$114,BY11+BX12-CG11)))</f>
        <v>6.8943811137639424</v>
      </c>
      <c r="BZ12" s="14">
        <f>BY12*VLOOKUP('Données projet'!$B$12,Paramètres!$A$1:$I$89,3,0)*VLOOKUP('Données projet'!$B$12,Paramètres!$A$1:$I$89,5,0)</f>
        <v>6.2380360317336141</v>
      </c>
      <c r="CA12" s="14">
        <f t="shared" si="39"/>
        <v>2.3230383034439352</v>
      </c>
      <c r="CB12" s="22">
        <f t="shared" si="10"/>
        <v>14.910537800434229</v>
      </c>
      <c r="CC12" s="62">
        <f t="shared" si="11"/>
        <v>282.5772044671009</v>
      </c>
      <c r="CD12" s="62">
        <f ca="1">AVERAGE(OFFSET($CC$3,0,0,'Données projet'!$E$12+1,1))-AVERAGE(OFFSET($H$3,0,0,'Données projet'!$E$12+1,1))</f>
        <v>439.06700232017681</v>
      </c>
      <c r="CE12" s="62">
        <f t="shared" si="40"/>
        <v>278.21741231699929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1.1000000000000001</v>
      </c>
      <c r="CT12" s="13">
        <f>IF('Données projet'!$A$140&gt;35,CT11+CS12-DB11,IF(A12&lt;'Données projet'!$A$140,$CQ$205^A12,IF(A12='Données projet'!$A$140,'Données projet'!$B$140,CT11+CS12-DB11)))</f>
        <v>8.6547278641645029</v>
      </c>
      <c r="CU12" s="18">
        <f>CT12*VLOOKUP('Données projet'!$B$13,Paramètres!$A$1:$I$89,3,0)*VLOOKUP('Données projet'!$B$13,Paramètres!$A$1:$I$89,5,0)</f>
        <v>6.3456464700054127</v>
      </c>
      <c r="CV12" s="14">
        <f t="shared" si="41"/>
        <v>2.3584123814576028</v>
      </c>
      <c r="CW12" s="22">
        <f t="shared" si="13"/>
        <v>15.159569166298086</v>
      </c>
      <c r="CX12" s="62">
        <f t="shared" si="14"/>
        <v>282.82623583296476</v>
      </c>
      <c r="CY12" s="62">
        <f ca="1">AVERAGE(OFFSET($CX$3,0,0,'Données projet'!$E$13+1,1))-AVERAGE(OFFSET($H$3,0,0,'Données projet'!$E$13+1,1))</f>
        <v>327.81662150328646</v>
      </c>
      <c r="CZ12" s="62">
        <f t="shared" si="42"/>
        <v>320.24200483294322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0.8</v>
      </c>
      <c r="DO12" s="13">
        <f>IF('Données projet'!$A$166&gt;35,DO11+DN12-DW11,IF(A12&lt;'Données projet'!$A$166,$DL$205^A12,IF(A12='Données projet'!$A$166,'Données projet'!$B$166,DO11+DN12-DW11)))</f>
        <v>6.4980191708498847</v>
      </c>
      <c r="DP12" s="18">
        <f>DO12*VLOOKUP('Données projet'!$B$14,Paramètres!$A$1:$I$89,3,0)*VLOOKUP('Données projet'!$B$14,Paramètres!$A$1:$I$89,5,0)</f>
        <v>4.2575021607408443</v>
      </c>
      <c r="DQ12" s="14">
        <f t="shared" si="43"/>
        <v>1.6575754818989488</v>
      </c>
      <c r="DR12" s="22">
        <f t="shared" si="16"/>
        <v>10.302093560930972</v>
      </c>
      <c r="DS12" s="62">
        <f t="shared" si="17"/>
        <v>277.96876022759767</v>
      </c>
      <c r="DT12" s="62">
        <f ca="1">AVERAGE(OFFSET($DS$3,0,0,'Données projet'!$E$14+1,1))-AVERAGE(OFFSET($H$3,0,0,'Données projet'!$E$14+1,1))</f>
        <v>210.08998695869161</v>
      </c>
      <c r="DU12" s="62">
        <f t="shared" si="44"/>
        <v>207.30911916430881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>
        <f>EXP(-LN(2)/35)*EA11+(1-EXP(-LN(2)/35))/(LN(2)/35)*DW12*DX12*VLOOKUP('Données projet'!$B$14,Paramètres!$A$1:$I$89,3,0)*0.475*44/12</f>
        <v>0</v>
      </c>
      <c r="EB12" s="23">
        <f>EXP(-LN(2)/25)*EB11+(1-EXP(-LN(2)/25))/(LN(2)/25)*Calculateur!DW12*Calculateur!DY12*VLOOKUP('Données projet'!$B$14,Paramètres!$A$1:$I$89,3,0)*0.475*44/12</f>
        <v>0</v>
      </c>
      <c r="EC12" s="23">
        <f>EXP(-LN(2)/2)*EC11+(1-EXP(-LN(2)/2))/(LN(2)/2)*DW12*DZ12*VLOOKUP('Données projet'!$B$14,Paramètres!$A$1:$I$89,3,0)*0.475*44/12</f>
        <v>0</v>
      </c>
      <c r="ED12" s="24">
        <f t="shared" si="18"/>
        <v>0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2.6666666666666665</v>
      </c>
      <c r="EJ12" s="13">
        <f>IF('Données projet'!$A$192&gt;35,EJ11+EI12-ER11,IF(A12&lt;'Données projet'!$A$192,$EG$205^A12,IF(A12='Données projet'!$A$192,'Données projet'!$B$192,EJ11+EI12-ER11)))</f>
        <v>9.1461010385465205</v>
      </c>
      <c r="EK12" s="18">
        <f>EJ12*VLOOKUP('Données projet'!$B$15,Paramètres!$A$1:$I$89,3,0)*VLOOKUP('Données projet'!$B$15,Paramètres!$A$1:$I$89,5,0)</f>
        <v>7.1339588100662858</v>
      </c>
      <c r="EL12" s="14">
        <f t="shared" si="45"/>
        <v>2.6155015444227643</v>
      </c>
      <c r="EM12" s="22">
        <f t="shared" si="19"/>
        <v>16.980310117401761</v>
      </c>
      <c r="EN12" s="62">
        <f t="shared" si="20"/>
        <v>284.64697678406844</v>
      </c>
      <c r="EO12" s="62">
        <f ca="1">AVERAGE(OFFSET($EN$3,0,0,'Données projet'!$E$15+1,1))-AVERAGE(OFFSET($H$3,0,0,'Données projet'!$E$15+1,1))</f>
        <v>288.82868507674738</v>
      </c>
      <c r="EP12" s="62">
        <f t="shared" si="46"/>
        <v>283.48738729114024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>
        <f>EXP(-LN(2)/35)*EV11+(1-EXP(-LN(2)/35))/(LN(2)/35)*ER12*ES12*VLOOKUP('Données projet'!$B$15,Paramètres!$A$1:$I$89,3,0)*0.475*44/12</f>
        <v>0</v>
      </c>
      <c r="EW12" s="23">
        <f>EXP(-LN(2)/25)*EW11+(1-EXP(-LN(2)/25))/(LN(2)/25)*Calculateur!ER12*Calculateur!ET12*VLOOKUP('Données projet'!$B$15,Paramètres!$A$1:$I$89,3,0)*0.475*44/12</f>
        <v>0</v>
      </c>
      <c r="EX12" s="23">
        <f>EXP(-LN(2)/2)*EX11+(1-EXP(-LN(2)/2))/(LN(2)/2)*ER12*EU12*VLOOKUP('Données projet'!$B$15,Paramètres!$A$1:$I$89,3,0)*0.475*44/12</f>
        <v>0</v>
      </c>
      <c r="EY12" s="24">
        <f t="shared" si="21"/>
        <v>0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6.5</v>
      </c>
      <c r="N13" s="14">
        <f>IF('Données projet'!$A$36&gt;35,N12+M13-V12,IF(A13&lt;'Données projet'!$A$36,$K$205^A13,IF(A13='Données projet'!$A$36,'Données projet'!$B$36,N12+M13-V12)))</f>
        <v>5.7988899976489963</v>
      </c>
      <c r="O13" s="14">
        <f>N13*VLOOKUP('Données projet'!$B$9,Paramètres!$A$1:$I$89,3,0)*VLOOKUP('Données projet'!$B$9,Paramètres!$A$1:$I$89,5,0)</f>
        <v>2.7138805188997304</v>
      </c>
      <c r="P13" s="14">
        <f t="shared" si="33"/>
        <v>1.1134554059951043</v>
      </c>
      <c r="Q13" s="22">
        <f t="shared" si="2"/>
        <v>6.66594340252517</v>
      </c>
      <c r="R13" s="62">
        <f t="shared" si="0"/>
        <v>275.55483229141402</v>
      </c>
      <c r="S13" s="62">
        <f ca="1">AVERAGE(OFFSET($R$3,0,0,'Données projet'!$E$9+1,1))-AVERAGE(OFFSET($H$3,0,0,'Données projet'!$E$9+1,1))</f>
        <v>317.54276561627643</v>
      </c>
      <c r="T13" s="62">
        <f t="shared" si="34"/>
        <v>238.92443174298893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6.6</v>
      </c>
      <c r="AI13" s="14">
        <f>IF('Données projet'!$A$62&gt;35,AI12+AH13-AQ12,IF(A13&lt;'Données projet'!$A$62,$AF$205^A13,IF(A13='Données projet'!$A$62,'Données projet'!$B$62,AI12+AH13-AQ12)))</f>
        <v>11.489125293076063</v>
      </c>
      <c r="AJ13" s="14">
        <f>AI13*VLOOKUP('Données projet'!$B$10,Paramètres!$A$1:$I$89,3,0)*VLOOKUP('Données projet'!$B$10,Paramètres!$A$1:$I$89,5,0)</f>
        <v>10.036899856031249</v>
      </c>
      <c r="AK13" s="14">
        <f t="shared" si="35"/>
        <v>3.5364332356333024</v>
      </c>
      <c r="AL13" s="22">
        <f t="shared" si="4"/>
        <v>23.640221801315761</v>
      </c>
      <c r="AM13" s="62">
        <f t="shared" si="5"/>
        <v>292.52911069020462</v>
      </c>
      <c r="AN13" s="62">
        <f ca="1">AVERAGE(OFFSET($AM$3,0,0,'Données projet'!$E$10+1,1))-AVERAGE(OFFSET($H$3,0,0,'Données projet'!$E$10+1,1))</f>
        <v>327.826081588335</v>
      </c>
      <c r="AO13" s="62">
        <f t="shared" si="36"/>
        <v>348.84706693879735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3.65</v>
      </c>
      <c r="BD13" s="13">
        <f>IF('Données projet'!$A$88&gt;35,BD12+BC13-BL12,IF(A13&lt;'Données projet'!$A$88,$BA$205^A13,IF(A13='Données projet'!$A$88,'Données projet'!$B$88,BD12+BC13-BL12)))</f>
        <v>8.5440037453175322</v>
      </c>
      <c r="BE13" s="14">
        <f>BD13*VLOOKUP('Données projet'!$B$11,Paramètres!$A$1:$I$89,3,0)*VLOOKUP('Données projet'!$B$11,Paramètres!$A$1:$I$89,5,0)</f>
        <v>8.6636197977519771</v>
      </c>
      <c r="BF13" s="14">
        <f t="shared" si="37"/>
        <v>3.1052976990698267</v>
      </c>
      <c r="BG13" s="22">
        <f t="shared" si="7"/>
        <v>20.497531306964643</v>
      </c>
      <c r="BH13" s="62">
        <f t="shared" si="8"/>
        <v>289.38642019585347</v>
      </c>
      <c r="BI13" s="62">
        <f ca="1">AVERAGE(OFFSET($BH$3,0,0,'Données projet'!$E$11+1,1))-AVERAGE(OFFSET($H$3,0,0,'Données projet'!$E$11+1,1))</f>
        <v>487.04124684635974</v>
      </c>
      <c r="BJ13" s="62">
        <f t="shared" si="38"/>
        <v>306.61893266146666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3.65</v>
      </c>
      <c r="BY13" s="13">
        <f>IF('Données projet'!$A$114&gt;35,BY12+BX13-CG12,IF(A13&lt;'Données projet'!$A$114,$BV$205^A13,IF(A13='Données projet'!$A$114,'Données projet'!$B$114,BY12+BX13-CG12)))</f>
        <v>8.5440037453175322</v>
      </c>
      <c r="BZ13" s="14">
        <f>BY13*VLOOKUP('Données projet'!$B$12,Paramètres!$A$1:$I$89,3,0)*VLOOKUP('Données projet'!$B$12,Paramètres!$A$1:$I$89,5,0)</f>
        <v>7.7306145887633031</v>
      </c>
      <c r="CA13" s="14">
        <f t="shared" si="39"/>
        <v>2.8078763226288115</v>
      </c>
      <c r="CB13" s="22">
        <f t="shared" si="10"/>
        <v>18.354538337341264</v>
      </c>
      <c r="CC13" s="62">
        <f t="shared" si="11"/>
        <v>287.2434272262301</v>
      </c>
      <c r="CD13" s="62">
        <f ca="1">AVERAGE(OFFSET($CC$3,0,0,'Données projet'!$E$12+1,1))-AVERAGE(OFFSET($H$3,0,0,'Données projet'!$E$12+1,1))</f>
        <v>439.06700232017681</v>
      </c>
      <c r="CE13" s="62">
        <f t="shared" si="40"/>
        <v>278.21741231699929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>
        <f>VLOOKUP(A13,'Données projet'!$A$139:$I$159,2,0)</f>
        <v>11</v>
      </c>
      <c r="CR13" s="13">
        <f>VLOOKUP(A13,'Données projet'!$A$139:$I$159,9,0)</f>
        <v>1.1000000000000001</v>
      </c>
      <c r="CS13" s="13">
        <f t="array" ref="CS13">INDEX(CR:CR,MIN(IF(ISNUMBER(CR13:CR209),ROW(CR13:CR209),"")))</f>
        <v>1.1000000000000001</v>
      </c>
      <c r="CT13" s="13">
        <f>IF('Données projet'!$A$140&gt;35,CT12+CS13-DB12,IF(A13&lt;'Données projet'!$A$140,$CQ$205^A13,IF(A13='Données projet'!$A$140,'Données projet'!$B$140,CT12+CS13-DB12)))</f>
        <v>11</v>
      </c>
      <c r="CU13" s="18">
        <f>CT13*VLOOKUP('Données projet'!$B$13,Paramètres!$A$1:$I$89,3,0)*VLOOKUP('Données projet'!$B$13,Paramètres!$A$1:$I$89,5,0)</f>
        <v>8.0652000000000008</v>
      </c>
      <c r="CV13" s="14">
        <f t="shared" si="41"/>
        <v>2.9149909035839161</v>
      </c>
      <c r="CW13" s="22">
        <f t="shared" si="13"/>
        <v>19.123832490408656</v>
      </c>
      <c r="CX13" s="62">
        <f t="shared" si="14"/>
        <v>288.01272137929749</v>
      </c>
      <c r="CY13" s="62">
        <f ca="1">AVERAGE(OFFSET($CX$3,0,0,'Données projet'!$E$13+1,1))-AVERAGE(OFFSET($H$3,0,0,'Données projet'!$E$13+1,1))</f>
        <v>327.81662150328646</v>
      </c>
      <c r="CZ13" s="62">
        <f t="shared" si="42"/>
        <v>320.24200483294322</v>
      </c>
      <c r="DA13" s="16">
        <f>IF(ISNA(VLOOKUP(A13,'Données projet'!$A$139:$I$159,3,0)),0,VLOOKUP(A13,'Données projet'!$A$139:$I$159,3,0))</f>
        <v>1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>
        <f>VLOOKUP(A13,'Données projet'!$A$165:$I$185,2,0)</f>
        <v>8</v>
      </c>
      <c r="DM13" s="13">
        <f>VLOOKUP(A13,'Données projet'!$A$165:$I$185,9,0)</f>
        <v>0.8</v>
      </c>
      <c r="DN13" s="13">
        <f t="array" ref="DN13">INDEX(DM:DM,MIN(IF(ISNUMBER(DM13:DM209),ROW(DM13:DM209),"")))</f>
        <v>0.8</v>
      </c>
      <c r="DO13" s="13">
        <f>IF('Données projet'!$A$166&gt;35,DO12+DN13-DW12,IF(A13&lt;'Données projet'!$A$166,$DL$205^A13,IF(A13='Données projet'!$A$166,'Données projet'!$B$166,DO12+DN13-DW12)))</f>
        <v>8</v>
      </c>
      <c r="DP13" s="18">
        <f>DO13*VLOOKUP('Données projet'!$B$14,Paramètres!$A$1:$I$89,3,0)*VLOOKUP('Données projet'!$B$14,Paramètres!$A$1:$I$89,5,0)</f>
        <v>5.2416</v>
      </c>
      <c r="DQ13" s="14">
        <f t="shared" si="43"/>
        <v>1.9919129059043814</v>
      </c>
      <c r="DR13" s="22">
        <f t="shared" si="16"/>
        <v>12.598368311116799</v>
      </c>
      <c r="DS13" s="62">
        <f t="shared" si="17"/>
        <v>281.48725720000567</v>
      </c>
      <c r="DT13" s="62">
        <f ca="1">AVERAGE(OFFSET($DS$3,0,0,'Données projet'!$E$14+1,1))-AVERAGE(OFFSET($H$3,0,0,'Données projet'!$E$14+1,1))</f>
        <v>210.08998695869161</v>
      </c>
      <c r="DU13" s="62">
        <f t="shared" si="44"/>
        <v>207.30911916430881</v>
      </c>
      <c r="DV13" s="16">
        <f>IF(ISNA(VLOOKUP(A13,'Données projet'!$A$165:$I$185,3,0)),0,VLOOKUP(A13,'Données projet'!$A$165:$I$185,3,0))</f>
        <v>1</v>
      </c>
      <c r="DW13" s="16">
        <f>IF(ISNA(VLOOKUP(A13,'Données projet'!$A$165:$I$185,4,0)),0,VLOOKUP(A13,'Données projet'!$A$165:$I$185,4,0))</f>
        <v>1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>
        <f>EXP(-LN(2)/35)*EA12+(1-EXP(-LN(2)/35))/(LN(2)/35)*DW13*DX13*VLOOKUP('Données projet'!$B$14,Paramètres!$A$1:$I$89,3,0)*0.475*44/12</f>
        <v>0</v>
      </c>
      <c r="EB13" s="23">
        <f>EXP(-LN(2)/25)*EB12+(1-EXP(-LN(2)/25))/(LN(2)/25)*Calculateur!DW13*Calculateur!DY13*VLOOKUP('Données projet'!$B$14,Paramètres!$A$1:$I$89,3,0)*0.475*44/12</f>
        <v>0</v>
      </c>
      <c r="EC13" s="23">
        <f>EXP(-LN(2)/2)*EC12+(1-EXP(-LN(2)/2))/(LN(2)/2)*DW13*DZ13*VLOOKUP('Données projet'!$B$14,Paramètres!$A$1:$I$89,3,0)*0.475*44/12</f>
        <v>0</v>
      </c>
      <c r="ED13" s="24">
        <f t="shared" si="18"/>
        <v>0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2.6666666666666665</v>
      </c>
      <c r="EJ13" s="13">
        <f>IF('Données projet'!$A$192&gt;35,EJ12+EI13-ER12,IF(A13&lt;'Données projet'!$A$192,$EG$205^A13,IF(A13='Données projet'!$A$192,'Données projet'!$B$192,EJ12+EI13-ER12)))</f>
        <v>11.696070952851455</v>
      </c>
      <c r="EK13" s="18">
        <f>EJ13*VLOOKUP('Données projet'!$B$15,Paramètres!$A$1:$I$89,3,0)*VLOOKUP('Données projet'!$B$15,Paramètres!$A$1:$I$89,5,0)</f>
        <v>9.1229353432241354</v>
      </c>
      <c r="EL13" s="14">
        <f t="shared" si="45"/>
        <v>3.2503265450485803</v>
      </c>
      <c r="EM13" s="22">
        <f t="shared" si="19"/>
        <v>21.550097788741649</v>
      </c>
      <c r="EN13" s="62">
        <f t="shared" si="20"/>
        <v>290.43898667763051</v>
      </c>
      <c r="EO13" s="62">
        <f ca="1">AVERAGE(OFFSET($EN$3,0,0,'Données projet'!$E$15+1,1))-AVERAGE(OFFSET($H$3,0,0,'Données projet'!$E$15+1,1))</f>
        <v>288.82868507674738</v>
      </c>
      <c r="EP13" s="62">
        <f t="shared" si="46"/>
        <v>283.48738729114024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>
        <f>EXP(-LN(2)/35)*EV12+(1-EXP(-LN(2)/35))/(LN(2)/35)*ER13*ES13*VLOOKUP('Données projet'!$B$15,Paramètres!$A$1:$I$89,3,0)*0.475*44/12</f>
        <v>0</v>
      </c>
      <c r="EW13" s="23">
        <f>EXP(-LN(2)/25)*EW12+(1-EXP(-LN(2)/25))/(LN(2)/25)*Calculateur!ER13*Calculateur!ET13*VLOOKUP('Données projet'!$B$15,Paramètres!$A$1:$I$89,3,0)*0.475*44/12</f>
        <v>0</v>
      </c>
      <c r="EX13" s="23">
        <f>EXP(-LN(2)/2)*EX12+(1-EXP(-LN(2)/2))/(LN(2)/2)*ER13*EU13*VLOOKUP('Données projet'!$B$15,Paramètres!$A$1:$I$89,3,0)*0.475*44/12</f>
        <v>0</v>
      </c>
      <c r="EY13" s="24">
        <f t="shared" si="21"/>
        <v>0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6.5</v>
      </c>
      <c r="N14" s="14">
        <f>IF('Données projet'!$A$36&gt;35,N13+M14-V13,IF(A14&lt;'Données projet'!$A$36,$K$205^A14,IF(A14='Données projet'!$A$36,'Données projet'!$B$36,N13+M14-V13)))</f>
        <v>6.9132037602921814</v>
      </c>
      <c r="O14" s="14">
        <f>N14*VLOOKUP('Données projet'!$B$9,Paramètres!$A$1:$I$89,3,0)*VLOOKUP('Données projet'!$B$9,Paramètres!$A$1:$I$89,5,0)</f>
        <v>3.2353793598167409</v>
      </c>
      <c r="P14" s="14">
        <f t="shared" si="33"/>
        <v>1.3005348098719234</v>
      </c>
      <c r="Q14" s="22">
        <f t="shared" si="2"/>
        <v>7.9000505122077564</v>
      </c>
      <c r="R14" s="62">
        <f t="shared" si="0"/>
        <v>278.01116162331891</v>
      </c>
      <c r="S14" s="62">
        <f ca="1">AVERAGE(OFFSET($R$3,0,0,'Données projet'!$E$9+1,1))-AVERAGE(OFFSET($H$3,0,0,'Données projet'!$E$9+1,1))</f>
        <v>317.54276561627643</v>
      </c>
      <c r="T14" s="62">
        <f t="shared" si="34"/>
        <v>238.92443174298893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6.6</v>
      </c>
      <c r="AI14" s="14">
        <f>IF('Données projet'!$A$62&gt;35,AI13+AH14-AQ13,IF(A14&lt;'Données projet'!$A$62,$AF$205^A14,IF(A14='Données projet'!$A$62,'Données projet'!$B$62,AI13+AH14-AQ13)))</f>
        <v>14.666134454850974</v>
      </c>
      <c r="AJ14" s="14">
        <f>AI14*VLOOKUP('Données projet'!$B$10,Paramètres!$A$1:$I$89,3,0)*VLOOKUP('Données projet'!$B$10,Paramètres!$A$1:$I$89,5,0)</f>
        <v>12.812335059757812</v>
      </c>
      <c r="AK14" s="14">
        <f t="shared" si="35"/>
        <v>4.3878565375042955</v>
      </c>
      <c r="AL14" s="22">
        <f t="shared" si="4"/>
        <v>29.957000365231504</v>
      </c>
      <c r="AM14" s="62">
        <f t="shared" si="5"/>
        <v>300.06811147634266</v>
      </c>
      <c r="AN14" s="62">
        <f ca="1">AVERAGE(OFFSET($AM$3,0,0,'Données projet'!$E$10+1,1))-AVERAGE(OFFSET($H$3,0,0,'Données projet'!$E$10+1,1))</f>
        <v>327.826081588335</v>
      </c>
      <c r="AO14" s="62">
        <f t="shared" si="36"/>
        <v>348.84706693879735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3.65</v>
      </c>
      <c r="BD14" s="13">
        <f>IF('Données projet'!$A$88&gt;35,BD13+BC14-BL13,IF(A14&lt;'Données projet'!$A$88,$BA$205^A14,IF(A14='Données projet'!$A$88,'Données projet'!$B$88,BD13+BC14-BL13)))</f>
        <v>10.588332555950936</v>
      </c>
      <c r="BE14" s="14">
        <f>BD14*VLOOKUP('Données projet'!$B$11,Paramètres!$A$1:$I$89,3,0)*VLOOKUP('Données projet'!$B$11,Paramètres!$A$1:$I$89,5,0)</f>
        <v>10.736569211734251</v>
      </c>
      <c r="BF14" s="14">
        <f t="shared" si="37"/>
        <v>3.7533999637480915</v>
      </c>
      <c r="BG14" s="22">
        <f t="shared" si="7"/>
        <v>25.23669631396508</v>
      </c>
      <c r="BH14" s="62">
        <f t="shared" si="8"/>
        <v>295.34780742507621</v>
      </c>
      <c r="BI14" s="62">
        <f ca="1">AVERAGE(OFFSET($BH$3,0,0,'Données projet'!$E$11+1,1))-AVERAGE(OFFSET($H$3,0,0,'Données projet'!$E$11+1,1))</f>
        <v>487.04124684635974</v>
      </c>
      <c r="BJ14" s="62">
        <f t="shared" si="38"/>
        <v>306.61893266146666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3.65</v>
      </c>
      <c r="BY14" s="13">
        <f>IF('Données projet'!$A$114&gt;35,BY13+BX14-CG13,IF(A14&lt;'Données projet'!$A$114,$BV$205^A14,IF(A14='Données projet'!$A$114,'Données projet'!$B$114,BY13+BX14-CG13)))</f>
        <v>10.588332555950936</v>
      </c>
      <c r="BZ14" s="14">
        <f>BY14*VLOOKUP('Données projet'!$B$12,Paramètres!$A$1:$I$89,3,0)*VLOOKUP('Données projet'!$B$12,Paramètres!$A$1:$I$89,5,0)</f>
        <v>9.5803232966244067</v>
      </c>
      <c r="CA14" s="14">
        <f t="shared" si="39"/>
        <v>3.3939041949894282</v>
      </c>
      <c r="CB14" s="22">
        <f t="shared" si="10"/>
        <v>22.596779547894098</v>
      </c>
      <c r="CC14" s="62">
        <f t="shared" si="11"/>
        <v>292.70789065900522</v>
      </c>
      <c r="CD14" s="62">
        <f ca="1">AVERAGE(OFFSET($CC$3,0,0,'Données projet'!$E$12+1,1))-AVERAGE(OFFSET($H$3,0,0,'Données projet'!$E$12+1,1))</f>
        <v>439.06700232017681</v>
      </c>
      <c r="CE14" s="62">
        <f t="shared" si="40"/>
        <v>278.21741231699929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10.8</v>
      </c>
      <c r="CT14" s="13">
        <f>IF('Données projet'!$A$140&gt;35,CT13+CS14-DB13,IF(A14&lt;'Données projet'!$A$140,$CQ$205^A14,IF(A14='Données projet'!$A$140,'Données projet'!$B$140,CT13+CS14-DB13)))</f>
        <v>21.8</v>
      </c>
      <c r="CU14" s="18">
        <f>CT14*VLOOKUP('Données projet'!$B$13,Paramètres!$A$1:$I$89,3,0)*VLOOKUP('Données projet'!$B$13,Paramètres!$A$1:$I$89,5,0)</f>
        <v>15.983760000000002</v>
      </c>
      <c r="CV14" s="14">
        <f t="shared" si="41"/>
        <v>5.3348570279475842</v>
      </c>
      <c r="CW14" s="22">
        <f t="shared" si="13"/>
        <v>37.129924657008708</v>
      </c>
      <c r="CX14" s="62">
        <f t="shared" si="14"/>
        <v>307.24103576811984</v>
      </c>
      <c r="CY14" s="62">
        <f ca="1">AVERAGE(OFFSET($CX$3,0,0,'Données projet'!$E$13+1,1))-AVERAGE(OFFSET($H$3,0,0,'Données projet'!$E$13+1,1))</f>
        <v>327.81662150328646</v>
      </c>
      <c r="CZ14" s="62">
        <f t="shared" si="42"/>
        <v>320.24200483294322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5.2</v>
      </c>
      <c r="DO14" s="13">
        <f>IF('Données projet'!$A$166&gt;35,DO13+DN14-DW13,IF(A14&lt;'Données projet'!$A$166,$DL$205^A14,IF(A14='Données projet'!$A$166,'Données projet'!$B$166,DO13+DN14-DW13)))</f>
        <v>12.2</v>
      </c>
      <c r="DP14" s="18">
        <f>DO14*VLOOKUP('Données projet'!$B$14,Paramètres!$A$1:$I$89,3,0)*VLOOKUP('Données projet'!$B$14,Paramètres!$A$1:$I$89,5,0)</f>
        <v>7.9934399999999997</v>
      </c>
      <c r="DQ14" s="14">
        <f t="shared" si="43"/>
        <v>2.8920618683587493</v>
      </c>
      <c r="DR14" s="22">
        <f t="shared" si="16"/>
        <v>18.958915754058154</v>
      </c>
      <c r="DS14" s="62">
        <f t="shared" si="17"/>
        <v>289.07002686516932</v>
      </c>
      <c r="DT14" s="62">
        <f ca="1">AVERAGE(OFFSET($DS$3,0,0,'Données projet'!$E$14+1,1))-AVERAGE(OFFSET($H$3,0,0,'Données projet'!$E$14+1,1))</f>
        <v>210.08998695869161</v>
      </c>
      <c r="DU14" s="62">
        <f t="shared" si="44"/>
        <v>207.30911916430881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>
        <f>EXP(-LN(2)/35)*EA13+(1-EXP(-LN(2)/35))/(LN(2)/35)*DW14*DX14*VLOOKUP('Données projet'!$B$14,Paramètres!$A$1:$I$89,3,0)*0.475*44/12</f>
        <v>0</v>
      </c>
      <c r="EB14" s="23">
        <f>EXP(-LN(2)/25)*EB13+(1-EXP(-LN(2)/25))/(LN(2)/25)*Calculateur!DW14*Calculateur!DY14*VLOOKUP('Données projet'!$B$14,Paramètres!$A$1:$I$89,3,0)*0.475*44/12</f>
        <v>0</v>
      </c>
      <c r="EC14" s="23">
        <f>EXP(-LN(2)/2)*EC13+(1-EXP(-LN(2)/2))/(LN(2)/2)*DW14*DZ14*VLOOKUP('Données projet'!$B$14,Paramètres!$A$1:$I$89,3,0)*0.475*44/12</f>
        <v>0</v>
      </c>
      <c r="ED14" s="24">
        <f t="shared" si="18"/>
        <v>0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2.6666666666666665</v>
      </c>
      <c r="EJ14" s="13">
        <f>IF('Données projet'!$A$192&gt;35,EJ13+EI14-ER13,IF(A14&lt;'Données projet'!$A$192,$EG$205^A14,IF(A14='Données projet'!$A$192,'Données projet'!$B$192,EJ13+EI14-ER13)))</f>
        <v>14.956982779612416</v>
      </c>
      <c r="EK14" s="18">
        <f>EJ14*VLOOKUP('Données projet'!$B$15,Paramètres!$A$1:$I$89,3,0)*VLOOKUP('Données projet'!$B$15,Paramètres!$A$1:$I$89,5,0)</f>
        <v>11.666446568097685</v>
      </c>
      <c r="EL14" s="14">
        <f t="shared" si="45"/>
        <v>4.0392339557111736</v>
      </c>
      <c r="EM14" s="22">
        <f t="shared" si="19"/>
        <v>27.354060245633761</v>
      </c>
      <c r="EN14" s="62">
        <f t="shared" si="20"/>
        <v>297.46517135674492</v>
      </c>
      <c r="EO14" s="62">
        <f ca="1">AVERAGE(OFFSET($EN$3,0,0,'Données projet'!$E$15+1,1))-AVERAGE(OFFSET($H$3,0,0,'Données projet'!$E$15+1,1))</f>
        <v>288.82868507674738</v>
      </c>
      <c r="EP14" s="62">
        <f t="shared" si="46"/>
        <v>283.48738729114024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>
        <f>EXP(-LN(2)/35)*EV13+(1-EXP(-LN(2)/35))/(LN(2)/35)*ER14*ES14*VLOOKUP('Données projet'!$B$15,Paramètres!$A$1:$I$89,3,0)*0.475*44/12</f>
        <v>0</v>
      </c>
      <c r="EW14" s="23">
        <f>EXP(-LN(2)/25)*EW13+(1-EXP(-LN(2)/25))/(LN(2)/25)*Calculateur!ER14*Calculateur!ET14*VLOOKUP('Données projet'!$B$15,Paramètres!$A$1:$I$89,3,0)*0.475*44/12</f>
        <v>0</v>
      </c>
      <c r="EX14" s="23">
        <f>EXP(-LN(2)/2)*EX13+(1-EXP(-LN(2)/2))/(LN(2)/2)*ER14*EU14*VLOOKUP('Données projet'!$B$15,Paramètres!$A$1:$I$89,3,0)*0.475*44/12</f>
        <v>0</v>
      </c>
      <c r="EY14" s="24">
        <f t="shared" si="21"/>
        <v>0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6.5</v>
      </c>
      <c r="N15" s="14">
        <f>IF('Données projet'!$A$36&gt;35,N14+M15-V14,IF(A15&lt;'Données projet'!$A$36,$K$205^A15,IF(A15='Données projet'!$A$36,'Données projet'!$B$36,N14+M15-V14)))</f>
        <v>8.2416438750681742</v>
      </c>
      <c r="O15" s="14">
        <f>N15*VLOOKUP('Données projet'!$B$9,Paramètres!$A$1:$I$89,3,0)*VLOOKUP('Données projet'!$B$9,Paramètres!$A$1:$I$89,5,0)</f>
        <v>3.8570893335319059</v>
      </c>
      <c r="P15" s="14">
        <f t="shared" si="33"/>
        <v>1.5190467283932132</v>
      </c>
      <c r="Q15" s="22">
        <f t="shared" si="2"/>
        <v>9.3634369745195816</v>
      </c>
      <c r="R15" s="62">
        <f t="shared" si="0"/>
        <v>280.69677030785289</v>
      </c>
      <c r="S15" s="62">
        <f ca="1">AVERAGE(OFFSET($R$3,0,0,'Données projet'!$E$9+1,1))-AVERAGE(OFFSET($H$3,0,0,'Données projet'!$E$9+1,1))</f>
        <v>317.54276561627643</v>
      </c>
      <c r="T15" s="62">
        <f t="shared" si="34"/>
        <v>238.92443174298893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6.6</v>
      </c>
      <c r="AI15" s="14">
        <f>IF('Données projet'!$A$62&gt;35,AI14+AH15-AQ14,IF(A15&lt;'Données projet'!$A$62,$AF$205^A15,IF(A15='Données projet'!$A$62,'Données projet'!$B$62,AI14+AH15-AQ14)))</f>
        <v>18.721660210059202</v>
      </c>
      <c r="AJ15" s="14">
        <f>AI15*VLOOKUP('Données projet'!$B$10,Paramètres!$A$1:$I$89,3,0)*VLOOKUP('Données projet'!$B$10,Paramètres!$A$1:$I$89,5,0)</f>
        <v>16.35524235950772</v>
      </c>
      <c r="AK15" s="14">
        <f t="shared" si="35"/>
        <v>5.4442664998513175</v>
      </c>
      <c r="AL15" s="22">
        <f t="shared" si="4"/>
        <v>37.967477930050322</v>
      </c>
      <c r="AM15" s="62">
        <f t="shared" si="5"/>
        <v>309.30081126338365</v>
      </c>
      <c r="AN15" s="62">
        <f ca="1">AVERAGE(OFFSET($AM$3,0,0,'Données projet'!$E$10+1,1))-AVERAGE(OFFSET($H$3,0,0,'Données projet'!$E$10+1,1))</f>
        <v>327.826081588335</v>
      </c>
      <c r="AO15" s="62">
        <f t="shared" si="36"/>
        <v>348.84706693879735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3.65</v>
      </c>
      <c r="BD15" s="13">
        <f>IF('Données projet'!$A$88&gt;35,BD14+BC15-BL14,IF(A15&lt;'Données projet'!$A$88,$BA$205^A15,IF(A15='Données projet'!$A$88,'Données projet'!$B$88,BD14+BC15-BL14)))</f>
        <v>13.121809125710287</v>
      </c>
      <c r="BE15" s="14">
        <f>BD15*VLOOKUP('Données projet'!$B$11,Paramètres!$A$1:$I$89,3,0)*VLOOKUP('Données projet'!$B$11,Paramètres!$A$1:$I$89,5,0)</f>
        <v>13.305514453470233</v>
      </c>
      <c r="BF15" s="14">
        <f t="shared" si="37"/>
        <v>4.5367667299931158</v>
      </c>
      <c r="BG15" s="22">
        <f t="shared" si="7"/>
        <v>31.075306394532003</v>
      </c>
      <c r="BH15" s="62">
        <f t="shared" si="8"/>
        <v>302.40863972786531</v>
      </c>
      <c r="BI15" s="62">
        <f ca="1">AVERAGE(OFFSET($BH$3,0,0,'Données projet'!$E$11+1,1))-AVERAGE(OFFSET($H$3,0,0,'Données projet'!$E$11+1,1))</f>
        <v>487.04124684635974</v>
      </c>
      <c r="BJ15" s="62">
        <f t="shared" si="38"/>
        <v>306.61893266146666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3.65</v>
      </c>
      <c r="BY15" s="13">
        <f>IF('Données projet'!$A$114&gt;35,BY14+BX15-CG14,IF(A15&lt;'Données projet'!$A$114,$BV$205^A15,IF(A15='Données projet'!$A$114,'Données projet'!$B$114,BY14+BX15-CG14)))</f>
        <v>13.121809125710287</v>
      </c>
      <c r="BZ15" s="14">
        <f>BY15*VLOOKUP('Données projet'!$B$12,Paramètres!$A$1:$I$89,3,0)*VLOOKUP('Données projet'!$B$12,Paramètres!$A$1:$I$89,5,0)</f>
        <v>11.872612896942668</v>
      </c>
      <c r="CA15" s="14">
        <f t="shared" si="39"/>
        <v>4.1022411108131784</v>
      </c>
      <c r="CB15" s="22">
        <f t="shared" si="10"/>
        <v>27.822870730174767</v>
      </c>
      <c r="CC15" s="62">
        <f t="shared" si="11"/>
        <v>299.15620406350808</v>
      </c>
      <c r="CD15" s="62">
        <f ca="1">AVERAGE(OFFSET($CC$3,0,0,'Données projet'!$E$12+1,1))-AVERAGE(OFFSET($H$3,0,0,'Données projet'!$E$12+1,1))</f>
        <v>439.06700232017681</v>
      </c>
      <c r="CE15" s="62">
        <f t="shared" si="40"/>
        <v>278.21741231699929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10.8</v>
      </c>
      <c r="CT15" s="13">
        <f>IF('Données projet'!$A$140&gt;35,CT14+CS15-DB14,IF(A15&lt;'Données projet'!$A$140,$CQ$205^A15,IF(A15='Données projet'!$A$140,'Données projet'!$B$140,CT14+CS15-DB14)))</f>
        <v>32.6</v>
      </c>
      <c r="CU15" s="18">
        <f>CT15*VLOOKUP('Données projet'!$B$13,Paramètres!$A$1:$I$89,3,0)*VLOOKUP('Données projet'!$B$13,Paramètres!$A$1:$I$89,5,0)</f>
        <v>23.90232</v>
      </c>
      <c r="CV15" s="14">
        <f t="shared" si="41"/>
        <v>7.6127522913266521</v>
      </c>
      <c r="CW15" s="22">
        <f t="shared" si="13"/>
        <v>54.88875090739392</v>
      </c>
      <c r="CX15" s="62">
        <f t="shared" si="14"/>
        <v>326.22208424072721</v>
      </c>
      <c r="CY15" s="62">
        <f ca="1">AVERAGE(OFFSET($CX$3,0,0,'Données projet'!$E$13+1,1))-AVERAGE(OFFSET($H$3,0,0,'Données projet'!$E$13+1,1))</f>
        <v>327.81662150328646</v>
      </c>
      <c r="CZ15" s="62">
        <f t="shared" si="42"/>
        <v>320.24200483294322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5.2</v>
      </c>
      <c r="DO15" s="13">
        <f>IF('Données projet'!$A$166&gt;35,DO14+DN15-DW14,IF(A15&lt;'Données projet'!$A$166,$DL$205^A15,IF(A15='Données projet'!$A$166,'Données projet'!$B$166,DO14+DN15-DW14)))</f>
        <v>17.399999999999999</v>
      </c>
      <c r="DP15" s="18">
        <f>DO15*VLOOKUP('Données projet'!$B$14,Paramètres!$A$1:$I$89,3,0)*VLOOKUP('Données projet'!$B$14,Paramètres!$A$1:$I$89,5,0)</f>
        <v>11.400479999999998</v>
      </c>
      <c r="DQ15" s="14">
        <f t="shared" si="43"/>
        <v>3.9577590327332239</v>
      </c>
      <c r="DR15" s="22">
        <f t="shared" si="16"/>
        <v>26.748932982010359</v>
      </c>
      <c r="DS15" s="62">
        <f t="shared" si="17"/>
        <v>298.08226631534365</v>
      </c>
      <c r="DT15" s="62">
        <f ca="1">AVERAGE(OFFSET($DS$3,0,0,'Données projet'!$E$14+1,1))-AVERAGE(OFFSET($H$3,0,0,'Données projet'!$E$14+1,1))</f>
        <v>210.08998695869161</v>
      </c>
      <c r="DU15" s="62">
        <f t="shared" si="44"/>
        <v>207.30911916430881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>
        <f>EXP(-LN(2)/35)*EA14+(1-EXP(-LN(2)/35))/(LN(2)/35)*DW15*DX15*VLOOKUP('Données projet'!$B$14,Paramètres!$A$1:$I$89,3,0)*0.475*44/12</f>
        <v>0</v>
      </c>
      <c r="EB15" s="23">
        <f>EXP(-LN(2)/25)*EB14+(1-EXP(-LN(2)/25))/(LN(2)/25)*Calculateur!DW15*Calculateur!DY15*VLOOKUP('Données projet'!$B$14,Paramètres!$A$1:$I$89,3,0)*0.475*44/12</f>
        <v>0</v>
      </c>
      <c r="EC15" s="23">
        <f>EXP(-LN(2)/2)*EC14+(1-EXP(-LN(2)/2))/(LN(2)/2)*DW15*DZ15*VLOOKUP('Données projet'!$B$14,Paramètres!$A$1:$I$89,3,0)*0.475*44/12</f>
        <v>0</v>
      </c>
      <c r="ED15" s="24">
        <f t="shared" si="18"/>
        <v>0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2.6666666666666665</v>
      </c>
      <c r="EJ15" s="13">
        <f>IF('Données projet'!$A$192&gt;35,EJ14+EI15-ER14,IF(A15&lt;'Données projet'!$A$192,$EG$205^A15,IF(A15='Données projet'!$A$192,'Données projet'!$B$192,EJ14+EI15-ER14)))</f>
        <v>19.127049995800721</v>
      </c>
      <c r="EK15" s="18">
        <f>EJ15*VLOOKUP('Données projet'!$B$15,Paramètres!$A$1:$I$89,3,0)*VLOOKUP('Données projet'!$B$15,Paramètres!$A$1:$I$89,5,0)</f>
        <v>14.919098996724562</v>
      </c>
      <c r="EL15" s="14">
        <f t="shared" si="45"/>
        <v>5.019622097301081</v>
      </c>
      <c r="EM15" s="22">
        <f t="shared" si="19"/>
        <v>34.726605905427995</v>
      </c>
      <c r="EN15" s="62">
        <f t="shared" si="20"/>
        <v>306.05993923876133</v>
      </c>
      <c r="EO15" s="62">
        <f ca="1">AVERAGE(OFFSET($EN$3,0,0,'Données projet'!$E$15+1,1))-AVERAGE(OFFSET($H$3,0,0,'Données projet'!$E$15+1,1))</f>
        <v>288.82868507674738</v>
      </c>
      <c r="EP15" s="62">
        <f t="shared" si="46"/>
        <v>283.48738729114024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>
        <f>EXP(-LN(2)/35)*EV14+(1-EXP(-LN(2)/35))/(LN(2)/35)*ER15*ES15*VLOOKUP('Données projet'!$B$15,Paramètres!$A$1:$I$89,3,0)*0.475*44/12</f>
        <v>0</v>
      </c>
      <c r="EW15" s="23">
        <f>EXP(-LN(2)/25)*EW14+(1-EXP(-LN(2)/25))/(LN(2)/25)*Calculateur!ER15*Calculateur!ET15*VLOOKUP('Données projet'!$B$15,Paramètres!$A$1:$I$89,3,0)*0.475*44/12</f>
        <v>0</v>
      </c>
      <c r="EX15" s="23">
        <f>EXP(-LN(2)/2)*EX14+(1-EXP(-LN(2)/2))/(LN(2)/2)*ER15*EU15*VLOOKUP('Données projet'!$B$15,Paramètres!$A$1:$I$89,3,0)*0.475*44/12</f>
        <v>0</v>
      </c>
      <c r="EY15" s="24">
        <f t="shared" si="21"/>
        <v>0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6.5</v>
      </c>
      <c r="N16" s="14">
        <f>IF('Données projet'!$A$36&gt;35,N15+M16-V15,IF(A16&lt;'Données projet'!$A$36,$K$205^A16,IF(A16='Données projet'!$A$36,'Données projet'!$B$36,N15+M16-V15)))</f>
        <v>9.8253568271186005</v>
      </c>
      <c r="O16" s="14">
        <f>N16*VLOOKUP('Données projet'!$B$9,Paramètres!$A$1:$I$89,3,0)*VLOOKUP('Données projet'!$B$9,Paramètres!$A$1:$I$89,5,0)</f>
        <v>4.5982669950915049</v>
      </c>
      <c r="P16" s="14">
        <f t="shared" si="33"/>
        <v>1.7742723574383734</v>
      </c>
      <c r="Q16" s="22">
        <f t="shared" si="2"/>
        <v>11.098839372322871</v>
      </c>
      <c r="R16" s="62">
        <f t="shared" si="0"/>
        <v>283.6543949278784</v>
      </c>
      <c r="S16" s="62">
        <f ca="1">AVERAGE(OFFSET($R$3,0,0,'Données projet'!$E$9+1,1))-AVERAGE(OFFSET($H$3,0,0,'Données projet'!$E$9+1,1))</f>
        <v>317.54276561627643</v>
      </c>
      <c r="T16" s="62">
        <f t="shared" si="34"/>
        <v>238.92443174298893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6.6</v>
      </c>
      <c r="AI16" s="14">
        <f>IF('Données projet'!$A$62&gt;35,AI15+AH16-AQ15,IF(A16&lt;'Données projet'!$A$62,$AF$205^A16,IF(A16='Données projet'!$A$62,'Données projet'!$B$62,AI15+AH16-AQ15)))</f>
        <v>23.89863273788427</v>
      </c>
      <c r="AJ16" s="14">
        <f>AI16*VLOOKUP('Données projet'!$B$10,Paramètres!$A$1:$I$89,3,0)*VLOOKUP('Données projet'!$B$10,Paramètres!$A$1:$I$89,5,0)</f>
        <v>20.8778455598157</v>
      </c>
      <c r="AK16" s="14">
        <f t="shared" si="35"/>
        <v>6.7550152262411558</v>
      </c>
      <c r="AL16" s="22">
        <f t="shared" si="4"/>
        <v>48.127232535715684</v>
      </c>
      <c r="AM16" s="62">
        <f t="shared" si="5"/>
        <v>320.68278809127122</v>
      </c>
      <c r="AN16" s="62">
        <f ca="1">AVERAGE(OFFSET($AM$3,0,0,'Données projet'!$E$10+1,1))-AVERAGE(OFFSET($H$3,0,0,'Données projet'!$E$10+1,1))</f>
        <v>327.826081588335</v>
      </c>
      <c r="AO16" s="62">
        <f t="shared" si="36"/>
        <v>348.84706693879735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3.65</v>
      </c>
      <c r="BD16" s="13">
        <f>IF('Données projet'!$A$88&gt;35,BD15+BC16-BL15,IF(A16&lt;'Données projet'!$A$88,$BA$205^A16,IF(A16='Données projet'!$A$88,'Données projet'!$B$88,BD15+BC16-BL15)))</f>
        <v>16.261472127148366</v>
      </c>
      <c r="BE16" s="14">
        <f>BD16*VLOOKUP('Données projet'!$B$11,Paramètres!$A$1:$I$89,3,0)*VLOOKUP('Données projet'!$B$11,Paramètres!$A$1:$I$89,5,0)</f>
        <v>16.489132736928447</v>
      </c>
      <c r="BF16" s="14">
        <f t="shared" si="37"/>
        <v>5.4836288594779292</v>
      </c>
      <c r="BG16" s="22">
        <f t="shared" si="7"/>
        <v>38.269226447074438</v>
      </c>
      <c r="BH16" s="62">
        <f t="shared" si="8"/>
        <v>310.82478200263</v>
      </c>
      <c r="BI16" s="62">
        <f ca="1">AVERAGE(OFFSET($BH$3,0,0,'Données projet'!$E$11+1,1))-AVERAGE(OFFSET($H$3,0,0,'Données projet'!$E$11+1,1))</f>
        <v>487.04124684635974</v>
      </c>
      <c r="BJ16" s="62">
        <f t="shared" si="38"/>
        <v>306.61893266146666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3.65</v>
      </c>
      <c r="BY16" s="13">
        <f>IF('Données projet'!$A$114&gt;35,BY15+BX16-CG15,IF(A16&lt;'Données projet'!$A$114,$BV$205^A16,IF(A16='Données projet'!$A$114,'Données projet'!$B$114,BY15+BX16-CG15)))</f>
        <v>16.261472127148366</v>
      </c>
      <c r="BZ16" s="14">
        <f>BY16*VLOOKUP('Données projet'!$B$12,Paramètres!$A$1:$I$89,3,0)*VLOOKUP('Données projet'!$B$12,Paramètres!$A$1:$I$89,5,0)</f>
        <v>14.713379980643843</v>
      </c>
      <c r="CA16" s="14">
        <f t="shared" si="39"/>
        <v>4.9584140165447881</v>
      </c>
      <c r="CB16" s="22">
        <f t="shared" si="10"/>
        <v>34.261707878436859</v>
      </c>
      <c r="CC16" s="62">
        <f t="shared" si="11"/>
        <v>306.81726343399242</v>
      </c>
      <c r="CD16" s="62">
        <f ca="1">AVERAGE(OFFSET($CC$3,0,0,'Données projet'!$E$12+1,1))-AVERAGE(OFFSET($H$3,0,0,'Données projet'!$E$12+1,1))</f>
        <v>439.06700232017681</v>
      </c>
      <c r="CE16" s="62">
        <f t="shared" si="40"/>
        <v>278.21741231699929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10.8</v>
      </c>
      <c r="CT16" s="13">
        <f>IF('Données projet'!$A$140&gt;35,CT15+CS16-DB15,IF(A16&lt;'Données projet'!$A$140,$CQ$205^A16,IF(A16='Données projet'!$A$140,'Données projet'!$B$140,CT15+CS16-DB15)))</f>
        <v>43.400000000000006</v>
      </c>
      <c r="CU16" s="18">
        <f>CT16*VLOOKUP('Données projet'!$B$13,Paramètres!$A$1:$I$89,3,0)*VLOOKUP('Données projet'!$B$13,Paramètres!$A$1:$I$89,5,0)</f>
        <v>31.820880000000006</v>
      </c>
      <c r="CV16" s="14">
        <f t="shared" si="41"/>
        <v>9.8027641140385384</v>
      </c>
      <c r="CW16" s="22">
        <f t="shared" si="13"/>
        <v>72.494513498617124</v>
      </c>
      <c r="CX16" s="62">
        <f t="shared" si="14"/>
        <v>345.0500690541727</v>
      </c>
      <c r="CY16" s="62">
        <f ca="1">AVERAGE(OFFSET($CX$3,0,0,'Données projet'!$E$13+1,1))-AVERAGE(OFFSET($H$3,0,0,'Données projet'!$E$13+1,1))</f>
        <v>327.81662150328646</v>
      </c>
      <c r="CZ16" s="62">
        <f t="shared" si="42"/>
        <v>320.24200483294322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5.2</v>
      </c>
      <c r="DO16" s="13">
        <f>IF('Données projet'!$A$166&gt;35,DO15+DN16-DW15,IF(A16&lt;'Données projet'!$A$166,$DL$205^A16,IF(A16='Données projet'!$A$166,'Données projet'!$B$166,DO15+DN16-DW15)))</f>
        <v>22.599999999999998</v>
      </c>
      <c r="DP16" s="18">
        <f>DO16*VLOOKUP('Données projet'!$B$14,Paramètres!$A$1:$I$89,3,0)*VLOOKUP('Données projet'!$B$14,Paramètres!$A$1:$I$89,5,0)</f>
        <v>14.807519999999998</v>
      </c>
      <c r="DQ16" s="14">
        <f t="shared" si="43"/>
        <v>4.9864360055165786</v>
      </c>
      <c r="DR16" s="22">
        <f t="shared" si="16"/>
        <v>34.474473376274702</v>
      </c>
      <c r="DS16" s="62">
        <f t="shared" si="17"/>
        <v>307.03002893183026</v>
      </c>
      <c r="DT16" s="62">
        <f ca="1">AVERAGE(OFFSET($DS$3,0,0,'Données projet'!$E$14+1,1))-AVERAGE(OFFSET($H$3,0,0,'Données projet'!$E$14+1,1))</f>
        <v>210.08998695869161</v>
      </c>
      <c r="DU16" s="62">
        <f t="shared" si="44"/>
        <v>207.30911916430881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>
        <f>EXP(-LN(2)/35)*EA15+(1-EXP(-LN(2)/35))/(LN(2)/35)*DW16*DX16*VLOOKUP('Données projet'!$B$14,Paramètres!$A$1:$I$89,3,0)*0.475*44/12</f>
        <v>0</v>
      </c>
      <c r="EB16" s="23">
        <f>EXP(-LN(2)/25)*EB15+(1-EXP(-LN(2)/25))/(LN(2)/25)*Calculateur!DW16*Calculateur!DY16*VLOOKUP('Données projet'!$B$14,Paramètres!$A$1:$I$89,3,0)*0.475*44/12</f>
        <v>0</v>
      </c>
      <c r="EC16" s="23">
        <f>EXP(-LN(2)/2)*EC15+(1-EXP(-LN(2)/2))/(LN(2)/2)*DW16*DZ16*VLOOKUP('Données projet'!$B$14,Paramètres!$A$1:$I$89,3,0)*0.475*44/12</f>
        <v>0</v>
      </c>
      <c r="ED16" s="24">
        <f t="shared" si="18"/>
        <v>0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2.6666666666666665</v>
      </c>
      <c r="EJ16" s="13">
        <f>IF('Données projet'!$A$192&gt;35,EJ15+EI16-ER15,IF(A16&lt;'Données projet'!$A$192,$EG$205^A16,IF(A16='Données projet'!$A$192,'Données projet'!$B$192,EJ15+EI16-ER15)))</f>
        <v>24.459748796430759</v>
      </c>
      <c r="EK16" s="18">
        <f>EJ16*VLOOKUP('Données projet'!$B$15,Paramètres!$A$1:$I$89,3,0)*VLOOKUP('Données projet'!$B$15,Paramètres!$A$1:$I$89,5,0)</f>
        <v>19.078604061215994</v>
      </c>
      <c r="EL16" s="14">
        <f t="shared" si="45"/>
        <v>6.2379664748280286</v>
      </c>
      <c r="EM16" s="22">
        <f t="shared" si="19"/>
        <v>44.093027016943331</v>
      </c>
      <c r="EN16" s="62">
        <f t="shared" si="20"/>
        <v>316.64858257249887</v>
      </c>
      <c r="EO16" s="62">
        <f ca="1">AVERAGE(OFFSET($EN$3,0,0,'Données projet'!$E$15+1,1))-AVERAGE(OFFSET($H$3,0,0,'Données projet'!$E$15+1,1))</f>
        <v>288.82868507674738</v>
      </c>
      <c r="EP16" s="62">
        <f t="shared" si="46"/>
        <v>283.48738729114024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>
        <f>EXP(-LN(2)/35)*EV15+(1-EXP(-LN(2)/35))/(LN(2)/35)*ER16*ES16*VLOOKUP('Données projet'!$B$15,Paramètres!$A$1:$I$89,3,0)*0.475*44/12</f>
        <v>0</v>
      </c>
      <c r="EW16" s="23">
        <f>EXP(-LN(2)/25)*EW15+(1-EXP(-LN(2)/25))/(LN(2)/25)*Calculateur!ER16*Calculateur!ET16*VLOOKUP('Données projet'!$B$15,Paramètres!$A$1:$I$89,3,0)*0.475*44/12</f>
        <v>0</v>
      </c>
      <c r="EX16" s="23">
        <f>EXP(-LN(2)/2)*EX15+(1-EXP(-LN(2)/2))/(LN(2)/2)*ER16*EU16*VLOOKUP('Données projet'!$B$15,Paramètres!$A$1:$I$89,3,0)*0.475*44/12</f>
        <v>0</v>
      </c>
      <c r="EY16" s="24">
        <f t="shared" si="21"/>
        <v>0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6.5</v>
      </c>
      <c r="N17" s="14">
        <f>IF('Données projet'!$A$36&gt;35,N16+M17-V16,IF(A17&lt;'Données projet'!$A$36,$K$205^A17,IF(A17='Données projet'!$A$36,'Données projet'!$B$36,N16+M17-V16)))</f>
        <v>11.71339580350498</v>
      </c>
      <c r="O17" s="14">
        <f>N17*VLOOKUP('Données projet'!$B$9,Paramètres!$A$1:$I$89,3,0)*VLOOKUP('Données projet'!$B$9,Paramètres!$A$1:$I$89,5,0)</f>
        <v>5.4818692360403301</v>
      </c>
      <c r="P17" s="14">
        <f t="shared" si="33"/>
        <v>2.0723802234180093</v>
      </c>
      <c r="Q17" s="22">
        <f t="shared" si="2"/>
        <v>13.156984475223274</v>
      </c>
      <c r="R17" s="62">
        <f t="shared" si="0"/>
        <v>286.93476225300105</v>
      </c>
      <c r="S17" s="62">
        <f ca="1">AVERAGE(OFFSET($R$3,0,0,'Données projet'!$E$9+1,1))-AVERAGE(OFFSET($H$3,0,0,'Données projet'!$E$9+1,1))</f>
        <v>317.54276561627643</v>
      </c>
      <c r="T17" s="62">
        <f t="shared" si="34"/>
        <v>238.92443174298893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6.6</v>
      </c>
      <c r="AI17" s="14">
        <f>IF('Données projet'!$A$62&gt;35,AI16+AH17-AQ16,IF(A17&lt;'Données projet'!$A$62,$AF$205^A17,IF(A17='Données projet'!$A$62,'Données projet'!$B$62,AI16+AH17-AQ16)))</f>
        <v>30.50715803683886</v>
      </c>
      <c r="AJ17" s="14">
        <f>AI17*VLOOKUP('Données projet'!$B$10,Paramètres!$A$1:$I$89,3,0)*VLOOKUP('Données projet'!$B$10,Paramètres!$A$1:$I$89,5,0)</f>
        <v>26.651053260982433</v>
      </c>
      <c r="AK17" s="14">
        <f t="shared" si="35"/>
        <v>8.3813367159737684</v>
      </c>
      <c r="AL17" s="22">
        <f t="shared" si="4"/>
        <v>61.014745876532061</v>
      </c>
      <c r="AM17" s="62">
        <f t="shared" si="5"/>
        <v>334.79252365430983</v>
      </c>
      <c r="AN17" s="62">
        <f ca="1">AVERAGE(OFFSET($AM$3,0,0,'Données projet'!$E$10+1,1))-AVERAGE(OFFSET($H$3,0,0,'Données projet'!$E$10+1,1))</f>
        <v>327.826081588335</v>
      </c>
      <c r="AO17" s="62">
        <f t="shared" si="36"/>
        <v>348.84706693879735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3.65</v>
      </c>
      <c r="BD17" s="13">
        <f>IF('Données projet'!$A$88&gt;35,BD16+BC17-BL16,IF(A17&lt;'Données projet'!$A$88,$BA$205^A17,IF(A17='Données projet'!$A$88,'Données projet'!$B$88,BD16+BC17-BL16)))</f>
        <v>20.152364144963837</v>
      </c>
      <c r="BE17" s="14">
        <f>BD17*VLOOKUP('Données projet'!$B$11,Paramètres!$A$1:$I$89,3,0)*VLOOKUP('Données projet'!$B$11,Paramètres!$A$1:$I$89,5,0)</f>
        <v>20.434497242993334</v>
      </c>
      <c r="BF17" s="14">
        <f t="shared" si="37"/>
        <v>6.6281092368495731</v>
      </c>
      <c r="BG17" s="22">
        <f t="shared" si="7"/>
        <v>47.134039619059727</v>
      </c>
      <c r="BH17" s="62">
        <f t="shared" si="8"/>
        <v>320.91181739683748</v>
      </c>
      <c r="BI17" s="62">
        <f ca="1">AVERAGE(OFFSET($BH$3,0,0,'Données projet'!$E$11+1,1))-AVERAGE(OFFSET($H$3,0,0,'Données projet'!$E$11+1,1))</f>
        <v>487.04124684635974</v>
      </c>
      <c r="BJ17" s="62">
        <f t="shared" si="38"/>
        <v>306.61893266146666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3.65</v>
      </c>
      <c r="BY17" s="13">
        <f>IF('Données projet'!$A$114&gt;35,BY16+BX17-CG16,IF(A17&lt;'Données projet'!$A$114,$BV$205^A17,IF(A17='Données projet'!$A$114,'Données projet'!$B$114,BY16+BX17-CG16)))</f>
        <v>20.152364144963837</v>
      </c>
      <c r="BZ17" s="14">
        <f>BY17*VLOOKUP('Données projet'!$B$12,Paramètres!$A$1:$I$89,3,0)*VLOOKUP('Données projet'!$B$12,Paramètres!$A$1:$I$89,5,0)</f>
        <v>18.233859078363277</v>
      </c>
      <c r="CA17" s="14">
        <f t="shared" si="39"/>
        <v>5.9932775513027368</v>
      </c>
      <c r="CB17" s="22">
        <f t="shared" si="10"/>
        <v>42.195596296668306</v>
      </c>
      <c r="CC17" s="62">
        <f t="shared" si="11"/>
        <v>315.9733740744461</v>
      </c>
      <c r="CD17" s="62">
        <f ca="1">AVERAGE(OFFSET($CC$3,0,0,'Données projet'!$E$12+1,1))-AVERAGE(OFFSET($H$3,0,0,'Données projet'!$E$12+1,1))</f>
        <v>439.06700232017681</v>
      </c>
      <c r="CE17" s="62">
        <f t="shared" si="40"/>
        <v>278.21741231699929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10.8</v>
      </c>
      <c r="CT17" s="13">
        <f>IF('Données projet'!$A$140&gt;35,CT16+CS17-DB16,IF(A17&lt;'Données projet'!$A$140,$CQ$205^A17,IF(A17='Données projet'!$A$140,'Données projet'!$B$140,CT16+CS17-DB16)))</f>
        <v>54.2</v>
      </c>
      <c r="CU17" s="18">
        <f>CT17*VLOOKUP('Données projet'!$B$13,Paramètres!$A$1:$I$89,3,0)*VLOOKUP('Données projet'!$B$13,Paramètres!$A$1:$I$89,5,0)</f>
        <v>39.739440000000002</v>
      </c>
      <c r="CV17" s="14">
        <f t="shared" si="41"/>
        <v>11.929559204083212</v>
      </c>
      <c r="CW17" s="22">
        <f t="shared" si="13"/>
        <v>89.990173613778268</v>
      </c>
      <c r="CX17" s="62">
        <f t="shared" si="14"/>
        <v>363.76795139155604</v>
      </c>
      <c r="CY17" s="62">
        <f ca="1">AVERAGE(OFFSET($CX$3,0,0,'Données projet'!$E$13+1,1))-AVERAGE(OFFSET($H$3,0,0,'Données projet'!$E$13+1,1))</f>
        <v>327.81662150328646</v>
      </c>
      <c r="CZ17" s="62">
        <f t="shared" si="42"/>
        <v>320.24200483294322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5.2</v>
      </c>
      <c r="DO17" s="13">
        <f>IF('Données projet'!$A$166&gt;35,DO16+DN17-DW16,IF(A17&lt;'Données projet'!$A$166,$DL$205^A17,IF(A17='Données projet'!$A$166,'Données projet'!$B$166,DO16+DN17-DW16)))</f>
        <v>27.799999999999997</v>
      </c>
      <c r="DP17" s="18">
        <f>DO17*VLOOKUP('Données projet'!$B$14,Paramètres!$A$1:$I$89,3,0)*VLOOKUP('Données projet'!$B$14,Paramètres!$A$1:$I$89,5,0)</f>
        <v>18.214559999999999</v>
      </c>
      <c r="DQ17" s="14">
        <f t="shared" si="43"/>
        <v>5.9876721741946906</v>
      </c>
      <c r="DR17" s="22">
        <f t="shared" si="16"/>
        <v>42.152221036722416</v>
      </c>
      <c r="DS17" s="62">
        <f t="shared" si="17"/>
        <v>315.92999881450021</v>
      </c>
      <c r="DT17" s="62">
        <f ca="1">AVERAGE(OFFSET($DS$3,0,0,'Données projet'!$E$14+1,1))-AVERAGE(OFFSET($H$3,0,0,'Données projet'!$E$14+1,1))</f>
        <v>210.08998695869161</v>
      </c>
      <c r="DU17" s="62">
        <f t="shared" si="44"/>
        <v>207.30911916430881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>
        <f>EXP(-LN(2)/35)*EA16+(1-EXP(-LN(2)/35))/(LN(2)/35)*DW17*DX17*VLOOKUP('Données projet'!$B$14,Paramètres!$A$1:$I$89,3,0)*0.475*44/12</f>
        <v>0</v>
      </c>
      <c r="EB17" s="23">
        <f>EXP(-LN(2)/25)*EB16+(1-EXP(-LN(2)/25))/(LN(2)/25)*Calculateur!DW17*Calculateur!DY17*VLOOKUP('Données projet'!$B$14,Paramètres!$A$1:$I$89,3,0)*0.475*44/12</f>
        <v>0</v>
      </c>
      <c r="EC17" s="23">
        <f>EXP(-LN(2)/2)*EC16+(1-EXP(-LN(2)/2))/(LN(2)/2)*DW17*DZ17*VLOOKUP('Données projet'!$B$14,Paramètres!$A$1:$I$89,3,0)*0.475*44/12</f>
        <v>0</v>
      </c>
      <c r="ED17" s="24">
        <f t="shared" si="18"/>
        <v>0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2.6666666666666665</v>
      </c>
      <c r="EJ17" s="13">
        <f>IF('Données projet'!$A$192&gt;35,EJ16+EI17-ER16,IF(A17&lt;'Données projet'!$A$192,$EG$205^A17,IF(A17='Données projet'!$A$192,'Données projet'!$B$192,EJ16+EI17-ER16)))</f>
        <v>31.279225563578599</v>
      </c>
      <c r="EK17" s="18">
        <f>EJ17*VLOOKUP('Données projet'!$B$15,Paramètres!$A$1:$I$89,3,0)*VLOOKUP('Données projet'!$B$15,Paramètres!$A$1:$I$89,5,0)</f>
        <v>24.397795939591308</v>
      </c>
      <c r="EL17" s="14">
        <f t="shared" si="45"/>
        <v>7.75202295846145</v>
      </c>
      <c r="EM17" s="22">
        <f t="shared" si="19"/>
        <v>55.994267914108548</v>
      </c>
      <c r="EN17" s="62">
        <f t="shared" si="20"/>
        <v>329.77204569188632</v>
      </c>
      <c r="EO17" s="62">
        <f ca="1">AVERAGE(OFFSET($EN$3,0,0,'Données projet'!$E$15+1,1))-AVERAGE(OFFSET($H$3,0,0,'Données projet'!$E$15+1,1))</f>
        <v>288.82868507674738</v>
      </c>
      <c r="EP17" s="62">
        <f t="shared" si="46"/>
        <v>283.48738729114024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>
        <f>EXP(-LN(2)/35)*EV16+(1-EXP(-LN(2)/35))/(LN(2)/35)*ER17*ES17*VLOOKUP('Données projet'!$B$15,Paramètres!$A$1:$I$89,3,0)*0.475*44/12</f>
        <v>0</v>
      </c>
      <c r="EW17" s="23">
        <f>EXP(-LN(2)/25)*EW16+(1-EXP(-LN(2)/25))/(LN(2)/25)*Calculateur!ER17*Calculateur!ET17*VLOOKUP('Données projet'!$B$15,Paramètres!$A$1:$I$89,3,0)*0.475*44/12</f>
        <v>0</v>
      </c>
      <c r="EX17" s="23">
        <f>EXP(-LN(2)/2)*EX16+(1-EXP(-LN(2)/2))/(LN(2)/2)*ER17*EU17*VLOOKUP('Données projet'!$B$15,Paramètres!$A$1:$I$89,3,0)*0.475*44/12</f>
        <v>0</v>
      </c>
      <c r="EY17" s="24">
        <f t="shared" si="21"/>
        <v>0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6.5</v>
      </c>
      <c r="N18" s="14">
        <f>IF('Données projet'!$A$36&gt;35,N17+M18-V17,IF(A18&lt;'Données projet'!$A$36,$K$205^A18,IF(A18='Données projet'!$A$36,'Données projet'!$B$36,N17+M18-V17)))</f>
        <v>13.964240043768939</v>
      </c>
      <c r="O18" s="14">
        <f>N18*VLOOKUP('Données projet'!$B$9,Paramètres!$A$1:$I$89,3,0)*VLOOKUP('Données projet'!$B$9,Paramètres!$A$1:$I$89,5,0)</f>
        <v>6.5352643404838631</v>
      </c>
      <c r="P18" s="14">
        <f t="shared" si="33"/>
        <v>2.4205752698614362</v>
      </c>
      <c r="Q18" s="22">
        <f t="shared" si="2"/>
        <v>15.598087321351393</v>
      </c>
      <c r="R18" s="62">
        <f t="shared" si="0"/>
        <v>290.59808732135139</v>
      </c>
      <c r="S18" s="62">
        <f ca="1">AVERAGE(OFFSET($R$3,0,0,'Données projet'!$E$9+1,1))-AVERAGE(OFFSET($H$3,0,0,'Données projet'!$E$9+1,1))</f>
        <v>317.54276561627643</v>
      </c>
      <c r="T18" s="62">
        <f t="shared" si="34"/>
        <v>238.92443174298893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6.6</v>
      </c>
      <c r="AI18" s="14">
        <f>IF('Données projet'!$A$62&gt;35,AI17+AH18-AQ17,IF(A18&lt;'Données projet'!$A$62,$AF$205^A18,IF(A18='Données projet'!$A$62,'Données projet'!$B$62,AI17+AH18-AQ17)))</f>
        <v>38.943093594192561</v>
      </c>
      <c r="AJ18" s="14">
        <f>AI18*VLOOKUP('Données projet'!$B$10,Paramètres!$A$1:$I$89,3,0)*VLOOKUP('Données projet'!$B$10,Paramètres!$A$1:$I$89,5,0)</f>
        <v>34.02068656388662</v>
      </c>
      <c r="AK18" s="14">
        <f t="shared" si="35"/>
        <v>10.399207521197393</v>
      </c>
      <c r="AL18" s="22">
        <f t="shared" si="4"/>
        <v>77.364648864854644</v>
      </c>
      <c r="AM18" s="62">
        <f t="shared" si="5"/>
        <v>352.36464886485464</v>
      </c>
      <c r="AN18" s="62">
        <f ca="1">AVERAGE(OFFSET($AM$3,0,0,'Données projet'!$E$10+1,1))-AVERAGE(OFFSET($H$3,0,0,'Données projet'!$E$10+1,1))</f>
        <v>327.826081588335</v>
      </c>
      <c r="AO18" s="62">
        <f t="shared" si="36"/>
        <v>348.84706693879735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3.65</v>
      </c>
      <c r="BD18" s="13">
        <f>IF('Données projet'!$A$88&gt;35,BD17+BC18-BL17,IF(A18&lt;'Données projet'!$A$88,$BA$205^A18,IF(A18='Données projet'!$A$88,'Données projet'!$B$88,BD17+BC18-BL17)))</f>
        <v>24.974232188561476</v>
      </c>
      <c r="BE18" s="14">
        <f>BD18*VLOOKUP('Données projet'!$B$11,Paramètres!$A$1:$I$89,3,0)*VLOOKUP('Données projet'!$B$11,Paramètres!$A$1:$I$89,5,0)</f>
        <v>25.323871439201337</v>
      </c>
      <c r="BF18" s="14">
        <f t="shared" si="37"/>
        <v>8.0114524854610902</v>
      </c>
      <c r="BG18" s="22">
        <f t="shared" si="7"/>
        <v>58.059022502120392</v>
      </c>
      <c r="BH18" s="62">
        <f t="shared" si="8"/>
        <v>333.0590225021204</v>
      </c>
      <c r="BI18" s="62">
        <f ca="1">AVERAGE(OFFSET($BH$3,0,0,'Données projet'!$E$11+1,1))-AVERAGE(OFFSET($H$3,0,0,'Données projet'!$E$11+1,1))</f>
        <v>487.04124684635974</v>
      </c>
      <c r="BJ18" s="62">
        <f t="shared" si="38"/>
        <v>306.61893266146666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3.65</v>
      </c>
      <c r="BY18" s="13">
        <f>IF('Données projet'!$A$114&gt;35,BY17+BX18-CG17,IF(A18&lt;'Données projet'!$A$114,$BV$205^A18,IF(A18='Données projet'!$A$114,'Données projet'!$B$114,BY17+BX18-CG17)))</f>
        <v>24.974232188561476</v>
      </c>
      <c r="BZ18" s="14">
        <f>BY18*VLOOKUP('Données projet'!$B$12,Paramètres!$A$1:$I$89,3,0)*VLOOKUP('Données projet'!$B$12,Paramètres!$A$1:$I$89,5,0)</f>
        <v>22.596685284210423</v>
      </c>
      <c r="CA18" s="14">
        <f t="shared" si="39"/>
        <v>7.2441259820371586</v>
      </c>
      <c r="CB18" s="22">
        <f t="shared" si="10"/>
        <v>51.972746288714539</v>
      </c>
      <c r="CC18" s="62">
        <f t="shared" si="11"/>
        <v>326.97274628871452</v>
      </c>
      <c r="CD18" s="62">
        <f ca="1">AVERAGE(OFFSET($CC$3,0,0,'Données projet'!$E$12+1,1))-AVERAGE(OFFSET($H$3,0,0,'Données projet'!$E$12+1,1))</f>
        <v>439.06700232017681</v>
      </c>
      <c r="CE18" s="62">
        <f t="shared" si="40"/>
        <v>278.21741231699929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>
        <f>VLOOKUP(A18,'Données projet'!$A$139:$I$159,2,0)</f>
        <v>65</v>
      </c>
      <c r="CR18" s="13">
        <f>VLOOKUP(A18,'Données projet'!$A$139:$I$159,9,0)</f>
        <v>10.8</v>
      </c>
      <c r="CS18" s="13">
        <f t="array" ref="CS18">INDEX(CR:CR,MIN(IF(ISNUMBER(CR18:CR214),ROW(CR18:CR214),"")))</f>
        <v>10.8</v>
      </c>
      <c r="CT18" s="13">
        <f>IF('Données projet'!$A$140&gt;35,CT17+CS18-DB17,IF(A18&lt;'Données projet'!$A$140,$CQ$205^A18,IF(A18='Données projet'!$A$140,'Données projet'!$B$140,CT17+CS18-DB17)))</f>
        <v>65</v>
      </c>
      <c r="CU18" s="18">
        <f>CT18*VLOOKUP('Données projet'!$B$13,Paramètres!$A$1:$I$89,3,0)*VLOOKUP('Données projet'!$B$13,Paramètres!$A$1:$I$89,5,0)</f>
        <v>47.657999999999994</v>
      </c>
      <c r="CV18" s="14">
        <f t="shared" si="41"/>
        <v>14.007249652087213</v>
      </c>
      <c r="CW18" s="22">
        <f t="shared" si="13"/>
        <v>107.40030981071855</v>
      </c>
      <c r="CX18" s="62">
        <f t="shared" si="14"/>
        <v>382.40030981071857</v>
      </c>
      <c r="CY18" s="62">
        <f ca="1">AVERAGE(OFFSET($CX$3,0,0,'Données projet'!$E$13+1,1))-AVERAGE(OFFSET($H$3,0,0,'Données projet'!$E$13+1,1))</f>
        <v>327.81662150328646</v>
      </c>
      <c r="CZ18" s="62">
        <f t="shared" si="42"/>
        <v>320.24200483294322</v>
      </c>
      <c r="DA18" s="16">
        <f>IF(ISNA(VLOOKUP(A18,'Données projet'!$A$139:$I$159,3,0)),0,VLOOKUP(A18,'Données projet'!$A$139:$I$159,3,0))</f>
        <v>2</v>
      </c>
      <c r="DB18" s="16">
        <f>IF(ISNA(VLOOKUP(A18,'Données projet'!$A$139:$I$159,4,0)),0,VLOOKUP(A18,'Données projet'!$A$139:$I$159,4,0))</f>
        <v>32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>
        <f>VLOOKUP(A18,'Données projet'!$A$165:$I$185,2,0)</f>
        <v>33</v>
      </c>
      <c r="DM18" s="13">
        <f>VLOOKUP(A18,'Données projet'!$A$165:$I$185,9,0)</f>
        <v>5.2</v>
      </c>
      <c r="DN18" s="13">
        <f t="array" ref="DN18">INDEX(DM:DM,MIN(IF(ISNUMBER(DM18:DM214),ROW(DM18:DM214),"")))</f>
        <v>5.2</v>
      </c>
      <c r="DO18" s="13">
        <f>IF('Données projet'!$A$166&gt;35,DO17+DN18-DW17,IF(A18&lt;'Données projet'!$A$166,$DL$205^A18,IF(A18='Données projet'!$A$166,'Données projet'!$B$166,DO17+DN18-DW17)))</f>
        <v>33</v>
      </c>
      <c r="DP18" s="18">
        <f>DO18*VLOOKUP('Données projet'!$B$14,Paramètres!$A$1:$I$89,3,0)*VLOOKUP('Données projet'!$B$14,Paramètres!$A$1:$I$89,5,0)</f>
        <v>21.621600000000001</v>
      </c>
      <c r="DQ18" s="14">
        <f t="shared" si="43"/>
        <v>6.9672107919092996</v>
      </c>
      <c r="DR18" s="22">
        <f t="shared" si="16"/>
        <v>49.792178795908704</v>
      </c>
      <c r="DS18" s="62">
        <f t="shared" si="17"/>
        <v>324.79217879590868</v>
      </c>
      <c r="DT18" s="62">
        <f ca="1">AVERAGE(OFFSET($DS$3,0,0,'Données projet'!$E$14+1,1))-AVERAGE(OFFSET($H$3,0,0,'Données projet'!$E$14+1,1))</f>
        <v>210.08998695869161</v>
      </c>
      <c r="DU18" s="62">
        <f t="shared" si="44"/>
        <v>207.30911916430881</v>
      </c>
      <c r="DV18" s="16">
        <f>IF(ISNA(VLOOKUP(A18,'Données projet'!$A$165:$I$185,3,0)),0,VLOOKUP(A18,'Données projet'!$A$165:$I$185,3,0))</f>
        <v>2</v>
      </c>
      <c r="DW18" s="16">
        <f>IF(ISNA(VLOOKUP(A18,'Données projet'!$A$165:$I$185,4,0)),0,VLOOKUP(A18,'Données projet'!$A$165:$I$185,4,0))</f>
        <v>3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>
        <f>EXP(-LN(2)/35)*EA17+(1-EXP(-LN(2)/35))/(LN(2)/35)*DW18*DX18*VLOOKUP('Données projet'!$B$14,Paramètres!$A$1:$I$89,3,0)*0.475*44/12</f>
        <v>0</v>
      </c>
      <c r="EB18" s="23">
        <f>EXP(-LN(2)/25)*EB17+(1-EXP(-LN(2)/25))/(LN(2)/25)*Calculateur!DW18*Calculateur!DY18*VLOOKUP('Données projet'!$B$14,Paramètres!$A$1:$I$89,3,0)*0.475*44/12</f>
        <v>0</v>
      </c>
      <c r="EC18" s="23">
        <f>EXP(-LN(2)/2)*EC17+(1-EXP(-LN(2)/2))/(LN(2)/2)*DW18*DZ18*VLOOKUP('Données projet'!$B$14,Paramètres!$A$1:$I$89,3,0)*0.475*44/12</f>
        <v>0</v>
      </c>
      <c r="ED18" s="24">
        <f t="shared" si="18"/>
        <v>0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>
        <f>VLOOKUP(A18,'Données projet'!$A$191:$I$211,2,0)</f>
        <v>40</v>
      </c>
      <c r="EH18" s="13">
        <f>VLOOKUP(A18,'Données projet'!$A$191:$I$211,9,0)</f>
        <v>2.6666666666666665</v>
      </c>
      <c r="EI18" s="13">
        <f t="array" ref="EI18">INDEX(EH:EH,MIN(IF(ISNUMBER(EH18:EH214),ROW(EH18:EH214),"")))</f>
        <v>2.6666666666666665</v>
      </c>
      <c r="EJ18" s="13">
        <f>IF('Données projet'!$A$192&gt;35,EJ17+EI18-ER17,IF(A18&lt;'Données projet'!$A$192,$EG$205^A18,IF(A18='Données projet'!$A$192,'Données projet'!$B$192,EJ17+EI18-ER17)))</f>
        <v>40</v>
      </c>
      <c r="EK18" s="18">
        <f>EJ18*VLOOKUP('Données projet'!$B$15,Paramètres!$A$1:$I$89,3,0)*VLOOKUP('Données projet'!$B$15,Paramètres!$A$1:$I$89,5,0)</f>
        <v>31.200000000000003</v>
      </c>
      <c r="EL18" s="14">
        <f t="shared" si="45"/>
        <v>9.6335657126419925</v>
      </c>
      <c r="EM18" s="22">
        <f t="shared" si="19"/>
        <v>71.118460282851473</v>
      </c>
      <c r="EN18" s="62">
        <f t="shared" si="20"/>
        <v>346.11846028285146</v>
      </c>
      <c r="EO18" s="62">
        <f ca="1">AVERAGE(OFFSET($EN$3,0,0,'Données projet'!$E$15+1,1))-AVERAGE(OFFSET($H$3,0,0,'Données projet'!$E$15+1,1))</f>
        <v>288.82868507674738</v>
      </c>
      <c r="EP18" s="62">
        <f t="shared" si="46"/>
        <v>283.48738729114024</v>
      </c>
      <c r="EQ18" s="16">
        <f>IF(ISNA(VLOOKUP(A18,'Données projet'!$A$191:$I$211,3,0)),0,VLOOKUP(A18,'Données projet'!$A$191:$I$211,3,0))</f>
        <v>1</v>
      </c>
      <c r="ER18" s="16">
        <f>IF(ISNA(VLOOKUP(A18,'Données projet'!$A$191:$I$211,4,0)),0,VLOOKUP(A18,'Données projet'!$A$191:$I$211,4,0))</f>
        <v>3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>
        <f>EXP(-LN(2)/35)*EV17+(1-EXP(-LN(2)/35))/(LN(2)/35)*ER18*ES18*VLOOKUP('Données projet'!$B$15,Paramètres!$A$1:$I$89,3,0)*0.475*44/12</f>
        <v>0</v>
      </c>
      <c r="EW18" s="23">
        <f>EXP(-LN(2)/25)*EW17+(1-EXP(-LN(2)/25))/(LN(2)/25)*Calculateur!ER18*Calculateur!ET18*VLOOKUP('Données projet'!$B$15,Paramètres!$A$1:$I$89,3,0)*0.475*44/12</f>
        <v>0</v>
      </c>
      <c r="EX18" s="23">
        <f>EXP(-LN(2)/2)*EX17+(1-EXP(-LN(2)/2))/(LN(2)/2)*ER18*EU18*VLOOKUP('Données projet'!$B$15,Paramètres!$A$1:$I$89,3,0)*0.475*44/12</f>
        <v>0</v>
      </c>
      <c r="EY18" s="24">
        <f t="shared" si="21"/>
        <v>0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6.5</v>
      </c>
      <c r="N19" s="14">
        <f>IF('Données projet'!$A$36&gt;35,N18+M19-V18,IF(A19&lt;'Données projet'!$A$36,$K$205^A19,IF(A19='Données projet'!$A$36,'Données projet'!$B$36,N18+M19-V18)))</f>
        <v>16.647606148649942</v>
      </c>
      <c r="O19" s="14">
        <f>N19*VLOOKUP('Données projet'!$B$9,Paramètres!$A$1:$I$89,3,0)*VLOOKUP('Données projet'!$B$9,Paramètres!$A$1:$I$89,5,0)</f>
        <v>7.791079677568173</v>
      </c>
      <c r="P19" s="14">
        <f t="shared" si="33"/>
        <v>2.8272729930809319</v>
      </c>
      <c r="Q19" s="22">
        <f t="shared" si="2"/>
        <v>18.493630901380524</v>
      </c>
      <c r="R19" s="62">
        <f t="shared" si="0"/>
        <v>294.71585312360276</v>
      </c>
      <c r="S19" s="62">
        <f ca="1">AVERAGE(OFFSET($R$3,0,0,'Données projet'!$E$9+1,1))-AVERAGE(OFFSET($H$3,0,0,'Données projet'!$E$9+1,1))</f>
        <v>317.54276561627643</v>
      </c>
      <c r="T19" s="62">
        <f t="shared" si="34"/>
        <v>238.92443174298893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6.6</v>
      </c>
      <c r="AI19" s="14">
        <f>IF('Données projet'!$A$62&gt;35,AI18+AH19-AQ18,IF(A19&lt;'Données projet'!$A$62,$AF$205^A19,IF(A19='Données projet'!$A$62,'Données projet'!$B$62,AI18+AH19-AQ18)))</f>
        <v>49.711760658095955</v>
      </c>
      <c r="AJ19" s="14">
        <f>AI19*VLOOKUP('Données projet'!$B$10,Paramètres!$A$1:$I$89,3,0)*VLOOKUP('Données projet'!$B$10,Paramètres!$A$1:$I$89,5,0)</f>
        <v>43.428194110912635</v>
      </c>
      <c r="AK19" s="14">
        <f t="shared" si="35"/>
        <v>12.902896129065022</v>
      </c>
      <c r="AL19" s="22">
        <f t="shared" si="4"/>
        <v>98.109982167961064</v>
      </c>
      <c r="AM19" s="62">
        <f t="shared" si="5"/>
        <v>374.33220439018328</v>
      </c>
      <c r="AN19" s="62">
        <f ca="1">AVERAGE(OFFSET($AM$3,0,0,'Données projet'!$E$10+1,1))-AVERAGE(OFFSET($H$3,0,0,'Données projet'!$E$10+1,1))</f>
        <v>327.826081588335</v>
      </c>
      <c r="AO19" s="62">
        <f t="shared" si="36"/>
        <v>348.84706693879735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3.65</v>
      </c>
      <c r="BD19" s="13">
        <f>IF('Données projet'!$A$88&gt;35,BD18+BC19-BL18,IF(A19&lt;'Données projet'!$A$88,$BA$205^A19,IF(A19='Données projet'!$A$88,'Données projet'!$B$88,BD18+BC19-BL18)))</f>
        <v>30.949831440200953</v>
      </c>
      <c r="BE19" s="14">
        <f>BD19*VLOOKUP('Données projet'!$B$11,Paramètres!$A$1:$I$89,3,0)*VLOOKUP('Données projet'!$B$11,Paramètres!$A$1:$I$89,5,0)</f>
        <v>31.383129080363769</v>
      </c>
      <c r="BF19" s="14">
        <f t="shared" si="37"/>
        <v>9.6835113353243223</v>
      </c>
      <c r="BG19" s="22">
        <f t="shared" si="7"/>
        <v>71.524398723990075</v>
      </c>
      <c r="BH19" s="62">
        <f t="shared" si="8"/>
        <v>347.74662094621232</v>
      </c>
      <c r="BI19" s="62">
        <f ca="1">AVERAGE(OFFSET($BH$3,0,0,'Données projet'!$E$11+1,1))-AVERAGE(OFFSET($H$3,0,0,'Données projet'!$E$11+1,1))</f>
        <v>487.04124684635974</v>
      </c>
      <c r="BJ19" s="62">
        <f t="shared" si="38"/>
        <v>306.61893266146666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3.65</v>
      </c>
      <c r="BY19" s="13">
        <f>IF('Données projet'!$A$114&gt;35,BY18+BX19-CG18,IF(A19&lt;'Données projet'!$A$114,$BV$205^A19,IF(A19='Données projet'!$A$114,'Données projet'!$B$114,BY18+BX19-CG18)))</f>
        <v>30.949831440200953</v>
      </c>
      <c r="BZ19" s="14">
        <f>BY19*VLOOKUP('Données projet'!$B$12,Paramètres!$A$1:$I$89,3,0)*VLOOKUP('Données projet'!$B$12,Paramètres!$A$1:$I$89,5,0)</f>
        <v>28.003407487093821</v>
      </c>
      <c r="CA19" s="14">
        <f t="shared" si="39"/>
        <v>8.7560372090925433</v>
      </c>
      <c r="CB19" s="22">
        <f t="shared" si="10"/>
        <v>64.022699512524582</v>
      </c>
      <c r="CC19" s="62">
        <f t="shared" si="11"/>
        <v>340.24492173474681</v>
      </c>
      <c r="CD19" s="62">
        <f ca="1">AVERAGE(OFFSET($CC$3,0,0,'Données projet'!$E$12+1,1))-AVERAGE(OFFSET($H$3,0,0,'Données projet'!$E$12+1,1))</f>
        <v>439.06700232017681</v>
      </c>
      <c r="CE19" s="62">
        <f t="shared" si="40"/>
        <v>278.21741231699929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13.6</v>
      </c>
      <c r="CT19" s="13">
        <f>IF('Données projet'!$A$140&gt;35,CT18+CS19-DB18,IF(A19&lt;'Données projet'!$A$140,$CQ$205^A19,IF(A19='Données projet'!$A$140,'Données projet'!$B$140,CT18+CS19-DB18)))</f>
        <v>46.599999999999994</v>
      </c>
      <c r="CU19" s="18">
        <f>CT19*VLOOKUP('Données projet'!$B$13,Paramètres!$A$1:$I$89,3,0)*VLOOKUP('Données projet'!$B$13,Paramètres!$A$1:$I$89,5,0)</f>
        <v>34.167119999999997</v>
      </c>
      <c r="CV19" s="14">
        <f t="shared" si="41"/>
        <v>10.438748234359947</v>
      </c>
      <c r="CW19" s="22">
        <f t="shared" si="13"/>
        <v>77.688553841510227</v>
      </c>
      <c r="CX19" s="62">
        <f t="shared" si="14"/>
        <v>353.91077606373244</v>
      </c>
      <c r="CY19" s="62">
        <f ca="1">AVERAGE(OFFSET($CX$3,0,0,'Données projet'!$E$13+1,1))-AVERAGE(OFFSET($H$3,0,0,'Données projet'!$E$13+1,1))</f>
        <v>327.81662150328646</v>
      </c>
      <c r="CZ19" s="62">
        <f t="shared" si="42"/>
        <v>320.24200483294322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9</v>
      </c>
      <c r="DO19" s="13">
        <f>IF('Données projet'!$A$166&gt;35,DO18+DN19-DW18,IF(A19&lt;'Données projet'!$A$166,$DL$205^A19,IF(A19='Données projet'!$A$166,'Données projet'!$B$166,DO18+DN19-DW18)))</f>
        <v>39</v>
      </c>
      <c r="DP19" s="18">
        <f>DO19*VLOOKUP('Données projet'!$B$14,Paramètres!$A$1:$I$89,3,0)*VLOOKUP('Données projet'!$B$14,Paramètres!$A$1:$I$89,5,0)</f>
        <v>25.552799999999998</v>
      </c>
      <c r="DQ19" s="14">
        <f t="shared" si="43"/>
        <v>8.0754125740317182</v>
      </c>
      <c r="DR19" s="22">
        <f t="shared" si="16"/>
        <v>58.569136899771898</v>
      </c>
      <c r="DS19" s="62">
        <f t="shared" si="17"/>
        <v>334.79135912199411</v>
      </c>
      <c r="DT19" s="62">
        <f ca="1">AVERAGE(OFFSET($DS$3,0,0,'Données projet'!$E$14+1,1))-AVERAGE(OFFSET($H$3,0,0,'Données projet'!$E$14+1,1))</f>
        <v>210.08998695869161</v>
      </c>
      <c r="DU19" s="62">
        <f t="shared" si="44"/>
        <v>207.30911916430881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>
        <f>EXP(-LN(2)/35)*EA18+(1-EXP(-LN(2)/35))/(LN(2)/35)*DW19*DX19*VLOOKUP('Données projet'!$B$14,Paramètres!$A$1:$I$89,3,0)*0.475*44/12</f>
        <v>0</v>
      </c>
      <c r="EB19" s="23">
        <f>EXP(-LN(2)/25)*EB18+(1-EXP(-LN(2)/25))/(LN(2)/25)*Calculateur!DW19*Calculateur!DY19*VLOOKUP('Données projet'!$B$14,Paramètres!$A$1:$I$89,3,0)*0.475*44/12</f>
        <v>0</v>
      </c>
      <c r="EC19" s="23">
        <f>EXP(-LN(2)/2)*EC18+(1-EXP(-LN(2)/2))/(LN(2)/2)*DW19*DZ19*VLOOKUP('Données projet'!$B$14,Paramètres!$A$1:$I$89,3,0)*0.475*44/12</f>
        <v>0</v>
      </c>
      <c r="ED19" s="24">
        <f t="shared" si="18"/>
        <v>0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9.6</v>
      </c>
      <c r="EJ19" s="13">
        <f>IF('Données projet'!$A$192&gt;35,EJ18+EI19-ER18,IF(A19&lt;'Données projet'!$A$192,$EG$205^A19,IF(A19='Données projet'!$A$192,'Données projet'!$B$192,EJ18+EI19-ER18)))</f>
        <v>46.6</v>
      </c>
      <c r="EK19" s="18">
        <f>EJ19*VLOOKUP('Données projet'!$B$15,Paramètres!$A$1:$I$89,3,0)*VLOOKUP('Données projet'!$B$15,Paramètres!$A$1:$I$89,5,0)</f>
        <v>36.347999999999999</v>
      </c>
      <c r="EL19" s="14">
        <f t="shared" si="45"/>
        <v>11.025356771848859</v>
      </c>
      <c r="EM19" s="22">
        <f t="shared" si="19"/>
        <v>82.508596377636763</v>
      </c>
      <c r="EN19" s="62">
        <f t="shared" si="20"/>
        <v>358.73081859985899</v>
      </c>
      <c r="EO19" s="62">
        <f ca="1">AVERAGE(OFFSET($EN$3,0,0,'Données projet'!$E$15+1,1))-AVERAGE(OFFSET($H$3,0,0,'Données projet'!$E$15+1,1))</f>
        <v>288.82868507674738</v>
      </c>
      <c r="EP19" s="62">
        <f t="shared" si="46"/>
        <v>283.48738729114024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>
        <f>EXP(-LN(2)/35)*EV18+(1-EXP(-LN(2)/35))/(LN(2)/35)*ER19*ES19*VLOOKUP('Données projet'!$B$15,Paramètres!$A$1:$I$89,3,0)*0.475*44/12</f>
        <v>0</v>
      </c>
      <c r="EW19" s="23">
        <f>EXP(-LN(2)/25)*EW18+(1-EXP(-LN(2)/25))/(LN(2)/25)*Calculateur!ER19*Calculateur!ET19*VLOOKUP('Données projet'!$B$15,Paramètres!$A$1:$I$89,3,0)*0.475*44/12</f>
        <v>0</v>
      </c>
      <c r="EX19" s="23">
        <f>EXP(-LN(2)/2)*EX18+(1-EXP(-LN(2)/2))/(LN(2)/2)*ER19*EU19*VLOOKUP('Données projet'!$B$15,Paramètres!$A$1:$I$89,3,0)*0.475*44/12</f>
        <v>0</v>
      </c>
      <c r="EY19" s="24">
        <f t="shared" si="21"/>
        <v>0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6.5</v>
      </c>
      <c r="N20" s="14">
        <f>IF('Données projet'!$A$36&gt;35,N19+M20-V19,IF(A20&lt;'Données projet'!$A$36,$K$205^A20,IF(A20='Données projet'!$A$36,'Données projet'!$B$36,N19+M20-V19)))</f>
        <v>19.846607449592845</v>
      </c>
      <c r="O20" s="14">
        <f>N20*VLOOKUP('Données projet'!$B$9,Paramètres!$A$1:$I$89,3,0)*VLOOKUP('Données projet'!$B$9,Paramètres!$A$1:$I$89,5,0)</f>
        <v>9.2882122864094523</v>
      </c>
      <c r="P20" s="14">
        <f t="shared" si="33"/>
        <v>3.3023028355827138</v>
      </c>
      <c r="Q20" s="22">
        <f t="shared" si="2"/>
        <v>21.928480504136356</v>
      </c>
      <c r="R20" s="62">
        <f t="shared" si="0"/>
        <v>299.37292494858082</v>
      </c>
      <c r="S20" s="62">
        <f ca="1">AVERAGE(OFFSET($R$3,0,0,'Données projet'!$E$9+1,1))-AVERAGE(OFFSET($H$3,0,0,'Données projet'!$E$9+1,1))</f>
        <v>317.54276561627643</v>
      </c>
      <c r="T20" s="62">
        <f t="shared" si="34"/>
        <v>238.92443174298893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6.6</v>
      </c>
      <c r="AI20" s="14">
        <f>IF('Données projet'!$A$62&gt;35,AI19+AH20-AQ19,IF(A20&lt;'Données projet'!$A$62,$AF$205^A20,IF(A20='Données projet'!$A$62,'Données projet'!$B$62,AI19+AH20-AQ19)))</f>
        <v>63.458213501978861</v>
      </c>
      <c r="AJ20" s="14">
        <f>AI20*VLOOKUP('Données projet'!$B$10,Paramètres!$A$1:$I$89,3,0)*VLOOKUP('Données projet'!$B$10,Paramètres!$A$1:$I$89,5,0)</f>
        <v>55.437095315328747</v>
      </c>
      <c r="AK20" s="14">
        <f t="shared" si="35"/>
        <v>16.009366884744278</v>
      </c>
      <c r="AL20" s="22">
        <f t="shared" si="4"/>
        <v>124.4359216651272</v>
      </c>
      <c r="AM20" s="62">
        <f t="shared" si="5"/>
        <v>401.88036610957164</v>
      </c>
      <c r="AN20" s="62">
        <f ca="1">AVERAGE(OFFSET($AM$3,0,0,'Données projet'!$E$10+1,1))-AVERAGE(OFFSET($H$3,0,0,'Données projet'!$E$10+1,1))</f>
        <v>327.826081588335</v>
      </c>
      <c r="AO20" s="62">
        <f t="shared" si="36"/>
        <v>348.84706693879735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3.65</v>
      </c>
      <c r="BD20" s="13">
        <f>IF('Données projet'!$A$88&gt;35,BD19+BC20-BL19,IF(A20&lt;'Données projet'!$A$88,$BA$205^A20,IF(A20='Données projet'!$A$88,'Données projet'!$B$88,BD19+BC20-BL19)))</f>
        <v>38.355215845858055</v>
      </c>
      <c r="BE20" s="14">
        <f>BD20*VLOOKUP('Données projet'!$B$11,Paramètres!$A$1:$I$89,3,0)*VLOOKUP('Données projet'!$B$11,Paramètres!$A$1:$I$89,5,0)</f>
        <v>38.892188867700071</v>
      </c>
      <c r="BF20" s="14">
        <f t="shared" si="37"/>
        <v>11.704543208803392</v>
      </c>
      <c r="BG20" s="22">
        <f t="shared" si="7"/>
        <v>88.122641699910204</v>
      </c>
      <c r="BH20" s="62">
        <f t="shared" si="8"/>
        <v>365.56708614435468</v>
      </c>
      <c r="BI20" s="62">
        <f ca="1">AVERAGE(OFFSET($BH$3,0,0,'Données projet'!$E$11+1,1))-AVERAGE(OFFSET($H$3,0,0,'Données projet'!$E$11+1,1))</f>
        <v>487.04124684635974</v>
      </c>
      <c r="BJ20" s="62">
        <f t="shared" si="38"/>
        <v>306.61893266146666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3.65</v>
      </c>
      <c r="BY20" s="13">
        <f>IF('Données projet'!$A$114&gt;35,BY19+BX20-CG19,IF(A20&lt;'Données projet'!$A$114,$BV$205^A20,IF(A20='Données projet'!$A$114,'Données projet'!$B$114,BY19+BX20-CG19)))</f>
        <v>38.355215845858055</v>
      </c>
      <c r="BZ20" s="14">
        <f>BY20*VLOOKUP('Données projet'!$B$12,Paramètres!$A$1:$I$89,3,0)*VLOOKUP('Données projet'!$B$12,Paramètres!$A$1:$I$89,5,0)</f>
        <v>34.703799297332367</v>
      </c>
      <c r="CA20" s="14">
        <f t="shared" si="39"/>
        <v>10.583497277259243</v>
      </c>
      <c r="CB20" s="22">
        <f t="shared" si="10"/>
        <v>78.875374867413711</v>
      </c>
      <c r="CC20" s="62">
        <f t="shared" si="11"/>
        <v>356.31981931185817</v>
      </c>
      <c r="CD20" s="62">
        <f ca="1">AVERAGE(OFFSET($CC$3,0,0,'Données projet'!$E$12+1,1))-AVERAGE(OFFSET($H$3,0,0,'Données projet'!$E$12+1,1))</f>
        <v>439.06700232017681</v>
      </c>
      <c r="CE20" s="62">
        <f t="shared" si="40"/>
        <v>278.21741231699929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13.6</v>
      </c>
      <c r="CT20" s="13">
        <f>IF('Données projet'!$A$140&gt;35,CT19+CS20-DB19,IF(A20&lt;'Données projet'!$A$140,$CQ$205^A20,IF(A20='Données projet'!$A$140,'Données projet'!$B$140,CT19+CS20-DB19)))</f>
        <v>60.199999999999996</v>
      </c>
      <c r="CU20" s="18">
        <f>CT20*VLOOKUP('Données projet'!$B$13,Paramètres!$A$1:$I$89,3,0)*VLOOKUP('Données projet'!$B$13,Paramètres!$A$1:$I$89,5,0)</f>
        <v>44.138639999999995</v>
      </c>
      <c r="CV20" s="14">
        <f t="shared" si="41"/>
        <v>13.089229634046784</v>
      </c>
      <c r="CW20" s="22">
        <f t="shared" si="13"/>
        <v>99.671872945964807</v>
      </c>
      <c r="CX20" s="62">
        <f t="shared" si="14"/>
        <v>377.11631739040928</v>
      </c>
      <c r="CY20" s="62">
        <f ca="1">AVERAGE(OFFSET($CX$3,0,0,'Données projet'!$E$13+1,1))-AVERAGE(OFFSET($H$3,0,0,'Données projet'!$E$13+1,1))</f>
        <v>327.81662150328646</v>
      </c>
      <c r="CZ20" s="62">
        <f t="shared" si="42"/>
        <v>320.24200483294322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0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9</v>
      </c>
      <c r="DO20" s="13">
        <f>IF('Données projet'!$A$166&gt;35,DO19+DN20-DW19,IF(A20&lt;'Données projet'!$A$166,$DL$205^A20,IF(A20='Données projet'!$A$166,'Données projet'!$B$166,DO19+DN20-DW19)))</f>
        <v>48</v>
      </c>
      <c r="DP20" s="18">
        <f>DO20*VLOOKUP('Données projet'!$B$14,Paramètres!$A$1:$I$89,3,0)*VLOOKUP('Données projet'!$B$14,Paramètres!$A$1:$I$89,5,0)</f>
        <v>31.4496</v>
      </c>
      <c r="DQ20" s="14">
        <f t="shared" si="43"/>
        <v>9.7016318496336797</v>
      </c>
      <c r="DR20" s="22">
        <f t="shared" si="16"/>
        <v>71.671728804778667</v>
      </c>
      <c r="DS20" s="62">
        <f t="shared" si="17"/>
        <v>349.11617324922315</v>
      </c>
      <c r="DT20" s="62">
        <f ca="1">AVERAGE(OFFSET($DS$3,0,0,'Données projet'!$E$14+1,1))-AVERAGE(OFFSET($H$3,0,0,'Données projet'!$E$14+1,1))</f>
        <v>210.08998695869161</v>
      </c>
      <c r="DU20" s="62">
        <f t="shared" si="44"/>
        <v>207.30911916430881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>
        <f>EXP(-LN(2)/35)*EA19+(1-EXP(-LN(2)/35))/(LN(2)/35)*DW20*DX20*VLOOKUP('Données projet'!$B$14,Paramètres!$A$1:$I$89,3,0)*0.475*44/12</f>
        <v>0</v>
      </c>
      <c r="EB20" s="23">
        <f>EXP(-LN(2)/25)*EB19+(1-EXP(-LN(2)/25))/(LN(2)/25)*Calculateur!DW20*Calculateur!DY20*VLOOKUP('Données projet'!$B$14,Paramètres!$A$1:$I$89,3,0)*0.475*44/12</f>
        <v>0</v>
      </c>
      <c r="EC20" s="23">
        <f>EXP(-LN(2)/2)*EC19+(1-EXP(-LN(2)/2))/(LN(2)/2)*DW20*DZ20*VLOOKUP('Données projet'!$B$14,Paramètres!$A$1:$I$89,3,0)*0.475*44/12</f>
        <v>0</v>
      </c>
      <c r="ED20" s="24">
        <f t="shared" si="18"/>
        <v>0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9.6</v>
      </c>
      <c r="EJ20" s="13">
        <f>IF('Données projet'!$A$192&gt;35,EJ19+EI20-ER19,IF(A20&lt;'Données projet'!$A$192,$EG$205^A20,IF(A20='Données projet'!$A$192,'Données projet'!$B$192,EJ19+EI20-ER19)))</f>
        <v>56.2</v>
      </c>
      <c r="EK20" s="18">
        <f>EJ20*VLOOKUP('Données projet'!$B$15,Paramètres!$A$1:$I$89,3,0)*VLOOKUP('Données projet'!$B$15,Paramètres!$A$1:$I$89,5,0)</f>
        <v>43.836000000000006</v>
      </c>
      <c r="EL20" s="14">
        <f t="shared" si="45"/>
        <v>13.009897179721728</v>
      </c>
      <c r="EM20" s="22">
        <f t="shared" si="19"/>
        <v>99.006604254682017</v>
      </c>
      <c r="EN20" s="62">
        <f t="shared" si="20"/>
        <v>376.45104869912649</v>
      </c>
      <c r="EO20" s="62">
        <f ca="1">AVERAGE(OFFSET($EN$3,0,0,'Données projet'!$E$15+1,1))-AVERAGE(OFFSET($H$3,0,0,'Données projet'!$E$15+1,1))</f>
        <v>288.82868507674738</v>
      </c>
      <c r="EP20" s="62">
        <f t="shared" si="46"/>
        <v>283.48738729114024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>
        <f>EXP(-LN(2)/35)*EV19+(1-EXP(-LN(2)/35))/(LN(2)/35)*ER20*ES20*VLOOKUP('Données projet'!$B$15,Paramètres!$A$1:$I$89,3,0)*0.475*44/12</f>
        <v>0</v>
      </c>
      <c r="EW20" s="23">
        <f>EXP(-LN(2)/25)*EW19+(1-EXP(-LN(2)/25))/(LN(2)/25)*Calculateur!ER20*Calculateur!ET20*VLOOKUP('Données projet'!$B$15,Paramètres!$A$1:$I$89,3,0)*0.475*44/12</f>
        <v>0</v>
      </c>
      <c r="EX20" s="23">
        <f>EXP(-LN(2)/2)*EX19+(1-EXP(-LN(2)/2))/(LN(2)/2)*ER20*EU20*VLOOKUP('Données projet'!$B$15,Paramètres!$A$1:$I$89,3,0)*0.475*44/12</f>
        <v>0</v>
      </c>
      <c r="EY20" s="24">
        <f t="shared" si="21"/>
        <v>0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6.5</v>
      </c>
      <c r="N21" s="14">
        <f>IF('Données projet'!$A$36&gt;35,N20+M21-V20,IF(A21&lt;'Données projet'!$A$36,$K$205^A21,IF(A21='Données projet'!$A$36,'Données projet'!$B$36,N20+M21-V20)))</f>
        <v>23.660328322350242</v>
      </c>
      <c r="O21" s="14">
        <f>N21*VLOOKUP('Données projet'!$B$9,Paramètres!$A$1:$I$89,3,0)*VLOOKUP('Données projet'!$B$9,Paramètres!$A$1:$I$89,5,0)</f>
        <v>11.073033654859913</v>
      </c>
      <c r="P21" s="14">
        <f t="shared" si="33"/>
        <v>3.8571457530226052</v>
      </c>
      <c r="Q21" s="22">
        <f t="shared" si="2"/>
        <v>26.003395802062048</v>
      </c>
      <c r="R21" s="62">
        <f t="shared" si="0"/>
        <v>304.67006246872876</v>
      </c>
      <c r="S21" s="62">
        <f ca="1">AVERAGE(OFFSET($R$3,0,0,'Données projet'!$E$9+1,1))-AVERAGE(OFFSET($H$3,0,0,'Données projet'!$E$9+1,1))</f>
        <v>317.54276561627643</v>
      </c>
      <c r="T21" s="62">
        <f t="shared" si="34"/>
        <v>238.92443174298893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6.6</v>
      </c>
      <c r="AI21" s="14">
        <f>IF('Données projet'!$A$62&gt;35,AI20+AH21-AQ20,IF(A21&lt;'Données projet'!$A$62,$AF$205^A21,IF(A21='Données projet'!$A$62,'Données projet'!$B$62,AI20+AH21-AQ20)))</f>
        <v>81.005878841406769</v>
      </c>
      <c r="AJ21" s="14">
        <f>AI21*VLOOKUP('Données projet'!$B$10,Paramètres!$A$1:$I$89,3,0)*VLOOKUP('Données projet'!$B$10,Paramètres!$A$1:$I$89,5,0)</f>
        <v>70.766735755852963</v>
      </c>
      <c r="AK21" s="14">
        <f t="shared" si="35"/>
        <v>19.863744192515547</v>
      </c>
      <c r="AL21" s="22">
        <f t="shared" si="4"/>
        <v>157.84808591007513</v>
      </c>
      <c r="AM21" s="62">
        <f t="shared" si="5"/>
        <v>436.51475257674178</v>
      </c>
      <c r="AN21" s="62">
        <f ca="1">AVERAGE(OFFSET($AM$3,0,0,'Données projet'!$E$10+1,1))-AVERAGE(OFFSET($H$3,0,0,'Données projet'!$E$10+1,1))</f>
        <v>327.826081588335</v>
      </c>
      <c r="AO21" s="62">
        <f t="shared" si="36"/>
        <v>348.84706693879735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3.65</v>
      </c>
      <c r="BD21" s="13">
        <f>IF('Données projet'!$A$88&gt;35,BD20+BC21-BL20,IF(A21&lt;'Données projet'!$A$88,$BA$205^A21,IF(A21='Données projet'!$A$88,'Données projet'!$B$88,BD20+BC21-BL20)))</f>
        <v>47.532490941824946</v>
      </c>
      <c r="BE21" s="14">
        <f>BD21*VLOOKUP('Données projet'!$B$11,Paramètres!$A$1:$I$89,3,0)*VLOOKUP('Données projet'!$B$11,Paramètres!$A$1:$I$89,5,0)</f>
        <v>48.197945815010499</v>
      </c>
      <c r="BF21" s="14">
        <f t="shared" si="37"/>
        <v>14.147381769152156</v>
      </c>
      <c r="BG21" s="22">
        <f t="shared" si="7"/>
        <v>108.58477887574996</v>
      </c>
      <c r="BH21" s="62">
        <f t="shared" si="8"/>
        <v>387.25144554241666</v>
      </c>
      <c r="BI21" s="62">
        <f ca="1">AVERAGE(OFFSET($BH$3,0,0,'Données projet'!$E$11+1,1))-AVERAGE(OFFSET($H$3,0,0,'Données projet'!$E$11+1,1))</f>
        <v>487.04124684635974</v>
      </c>
      <c r="BJ21" s="62">
        <f t="shared" si="38"/>
        <v>306.61893266146666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3.65</v>
      </c>
      <c r="BY21" s="13">
        <f>IF('Données projet'!$A$114&gt;35,BY20+BX21-CG20,IF(A21&lt;'Données projet'!$A$114,$BV$205^A21,IF(A21='Données projet'!$A$114,'Données projet'!$B$114,BY20+BX21-CG20)))</f>
        <v>47.532490941824946</v>
      </c>
      <c r="BZ21" s="14">
        <f>BY21*VLOOKUP('Données projet'!$B$12,Paramètres!$A$1:$I$89,3,0)*VLOOKUP('Données projet'!$B$12,Paramètres!$A$1:$I$89,5,0)</f>
        <v>43.007397804163212</v>
      </c>
      <c r="CA21" s="14">
        <f t="shared" si="39"/>
        <v>12.792363936215189</v>
      </c>
      <c r="CB21" s="22">
        <f t="shared" si="10"/>
        <v>97.184585031159045</v>
      </c>
      <c r="CC21" s="62">
        <f t="shared" si="11"/>
        <v>375.85125169782572</v>
      </c>
      <c r="CD21" s="62">
        <f ca="1">AVERAGE(OFFSET($CC$3,0,0,'Données projet'!$E$12+1,1))-AVERAGE(OFFSET($H$3,0,0,'Données projet'!$E$12+1,1))</f>
        <v>439.06700232017681</v>
      </c>
      <c r="CE21" s="62">
        <f t="shared" si="40"/>
        <v>278.21741231699929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13.6</v>
      </c>
      <c r="CT21" s="13">
        <f>IF('Données projet'!$A$140&gt;35,CT20+CS21-DB20,IF(A21&lt;'Données projet'!$A$140,$CQ$205^A21,IF(A21='Données projet'!$A$140,'Données projet'!$B$140,CT20+CS21-DB20)))</f>
        <v>73.8</v>
      </c>
      <c r="CU21" s="18">
        <f>CT21*VLOOKUP('Données projet'!$B$13,Paramètres!$A$1:$I$89,3,0)*VLOOKUP('Données projet'!$B$13,Paramètres!$A$1:$I$89,5,0)</f>
        <v>54.11016</v>
      </c>
      <c r="CV21" s="14">
        <f t="shared" si="41"/>
        <v>15.670297028888184</v>
      </c>
      <c r="CW21" s="22">
        <f t="shared" si="13"/>
        <v>121.53429599198023</v>
      </c>
      <c r="CX21" s="62">
        <f t="shared" si="14"/>
        <v>400.20096265864692</v>
      </c>
      <c r="CY21" s="62">
        <f ca="1">AVERAGE(OFFSET($CX$3,0,0,'Données projet'!$E$13+1,1))-AVERAGE(OFFSET($H$3,0,0,'Données projet'!$E$13+1,1))</f>
        <v>327.81662150328646</v>
      </c>
      <c r="CZ21" s="62">
        <f t="shared" si="42"/>
        <v>320.24200483294322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0</v>
      </c>
      <c r="DI21" s="24">
        <f t="shared" si="15"/>
        <v>0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9</v>
      </c>
      <c r="DO21" s="13">
        <f>IF('Données projet'!$A$166&gt;35,DO20+DN21-DW20,IF(A21&lt;'Données projet'!$A$166,$DL$205^A21,IF(A21='Données projet'!$A$166,'Données projet'!$B$166,DO20+DN21-DW20)))</f>
        <v>57</v>
      </c>
      <c r="DP21" s="18">
        <f>DO21*VLOOKUP('Données projet'!$B$14,Paramètres!$A$1:$I$89,3,0)*VLOOKUP('Données projet'!$B$14,Paramètres!$A$1:$I$89,5,0)</f>
        <v>37.346399999999996</v>
      </c>
      <c r="DQ21" s="14">
        <f t="shared" si="43"/>
        <v>11.292524863342392</v>
      </c>
      <c r="DR21" s="22">
        <f t="shared" si="16"/>
        <v>84.712794136987995</v>
      </c>
      <c r="DS21" s="62">
        <f t="shared" si="17"/>
        <v>363.37946080365469</v>
      </c>
      <c r="DT21" s="62">
        <f ca="1">AVERAGE(OFFSET($DS$3,0,0,'Données projet'!$E$14+1,1))-AVERAGE(OFFSET($H$3,0,0,'Données projet'!$E$14+1,1))</f>
        <v>210.08998695869161</v>
      </c>
      <c r="DU21" s="62">
        <f t="shared" si="44"/>
        <v>207.30911916430881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>
        <f>EXP(-LN(2)/35)*EA20+(1-EXP(-LN(2)/35))/(LN(2)/35)*DW21*DX21*VLOOKUP('Données projet'!$B$14,Paramètres!$A$1:$I$89,3,0)*0.475*44/12</f>
        <v>0</v>
      </c>
      <c r="EB21" s="23">
        <f>EXP(-LN(2)/25)*EB20+(1-EXP(-LN(2)/25))/(LN(2)/25)*Calculateur!DW21*Calculateur!DY21*VLOOKUP('Données projet'!$B$14,Paramètres!$A$1:$I$89,3,0)*0.475*44/12</f>
        <v>0</v>
      </c>
      <c r="EC21" s="23">
        <f>EXP(-LN(2)/2)*EC20+(1-EXP(-LN(2)/2))/(LN(2)/2)*DW21*DZ21*VLOOKUP('Données projet'!$B$14,Paramètres!$A$1:$I$89,3,0)*0.475*44/12</f>
        <v>0</v>
      </c>
      <c r="ED21" s="24">
        <f t="shared" si="18"/>
        <v>0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9.6</v>
      </c>
      <c r="EJ21" s="13">
        <f>IF('Données projet'!$A$192&gt;35,EJ20+EI21-ER20,IF(A21&lt;'Données projet'!$A$192,$EG$205^A21,IF(A21='Données projet'!$A$192,'Données projet'!$B$192,EJ20+EI21-ER20)))</f>
        <v>65.8</v>
      </c>
      <c r="EK21" s="18">
        <f>EJ21*VLOOKUP('Données projet'!$B$15,Paramètres!$A$1:$I$89,3,0)*VLOOKUP('Données projet'!$B$15,Paramètres!$A$1:$I$89,5,0)</f>
        <v>51.323999999999998</v>
      </c>
      <c r="EL21" s="14">
        <f t="shared" si="45"/>
        <v>14.95516659950003</v>
      </c>
      <c r="EM21" s="22">
        <f t="shared" si="19"/>
        <v>115.43621516079588</v>
      </c>
      <c r="EN21" s="62">
        <f t="shared" si="20"/>
        <v>394.10288182746257</v>
      </c>
      <c r="EO21" s="62">
        <f ca="1">AVERAGE(OFFSET($EN$3,0,0,'Données projet'!$E$15+1,1))-AVERAGE(OFFSET($H$3,0,0,'Données projet'!$E$15+1,1))</f>
        <v>288.82868507674738</v>
      </c>
      <c r="EP21" s="62">
        <f t="shared" si="46"/>
        <v>283.48738729114024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>
        <f>EXP(-LN(2)/35)*EV20+(1-EXP(-LN(2)/35))/(LN(2)/35)*ER21*ES21*VLOOKUP('Données projet'!$B$15,Paramètres!$A$1:$I$89,3,0)*0.475*44/12</f>
        <v>0</v>
      </c>
      <c r="EW21" s="23">
        <f>EXP(-LN(2)/25)*EW20+(1-EXP(-LN(2)/25))/(LN(2)/25)*Calculateur!ER21*Calculateur!ET21*VLOOKUP('Données projet'!$B$15,Paramètres!$A$1:$I$89,3,0)*0.475*44/12</f>
        <v>0</v>
      </c>
      <c r="EX21" s="23">
        <f>EXP(-LN(2)/2)*EX20+(1-EXP(-LN(2)/2))/(LN(2)/2)*ER21*EU21*VLOOKUP('Données projet'!$B$15,Paramètres!$A$1:$I$89,3,0)*0.475*44/12</f>
        <v>0</v>
      </c>
      <c r="EY21" s="24">
        <f t="shared" si="21"/>
        <v>0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6.5</v>
      </c>
      <c r="N22" s="14">
        <f>IF('Données projet'!$A$36&gt;35,N21+M22-V21,IF(A22&lt;'Données projet'!$A$36,$K$205^A22,IF(A22='Données projet'!$A$36,'Données projet'!$B$36,N21+M22-V21)))</f>
        <v>28.206893180269638</v>
      </c>
      <c r="O22" s="14">
        <f>N22*VLOOKUP('Données projet'!$B$9,Paramètres!$A$1:$I$89,3,0)*VLOOKUP('Données projet'!$B$9,Paramètres!$A$1:$I$89,5,0)</f>
        <v>13.200826008366192</v>
      </c>
      <c r="P22" s="14">
        <f t="shared" si="33"/>
        <v>4.5052116964418483</v>
      </c>
      <c r="Q22" s="22">
        <f t="shared" si="2"/>
        <v>30.838015669207337</v>
      </c>
      <c r="R22" s="62">
        <f t="shared" si="0"/>
        <v>310.72690455809618</v>
      </c>
      <c r="S22" s="62">
        <f ca="1">AVERAGE(OFFSET($R$3,0,0,'Données projet'!$E$9+1,1))-AVERAGE(OFFSET($H$3,0,0,'Données projet'!$E$9+1,1))</f>
        <v>317.54276561627643</v>
      </c>
      <c r="T22" s="62">
        <f t="shared" si="34"/>
        <v>238.92443174298893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6.6</v>
      </c>
      <c r="AI22" s="14">
        <f>IF('Données projet'!$A$62&gt;35,AI21+AH22-AQ21,IF(A22&lt;'Données projet'!$A$62,$AF$205^A22,IF(A22='Données projet'!$A$62,'Données projet'!$B$62,AI21+AH22-AQ21)))</f>
        <v>103.40587994435182</v>
      </c>
      <c r="AJ22" s="14">
        <f>AI22*VLOOKUP('Données projet'!$B$10,Paramètres!$A$1:$I$89,3,0)*VLOOKUP('Données projet'!$B$10,Paramètres!$A$1:$I$89,5,0)</f>
        <v>90.335376719385764</v>
      </c>
      <c r="AK22" s="14">
        <f t="shared" si="35"/>
        <v>24.646092265003244</v>
      </c>
      <c r="AL22" s="22">
        <f t="shared" si="4"/>
        <v>200.25939181447754</v>
      </c>
      <c r="AM22" s="62">
        <f t="shared" si="5"/>
        <v>480.14828070336637</v>
      </c>
      <c r="AN22" s="62">
        <f ca="1">AVERAGE(OFFSET($AM$3,0,0,'Données projet'!$E$10+1,1))-AVERAGE(OFFSET($H$3,0,0,'Données projet'!$E$10+1,1))</f>
        <v>327.826081588335</v>
      </c>
      <c r="AO22" s="62">
        <f t="shared" si="36"/>
        <v>348.84706693879735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3.65</v>
      </c>
      <c r="BD22" s="13">
        <f>IF('Données projet'!$A$88&gt;35,BD21+BC22-BL21,IF(A22&lt;'Données projet'!$A$88,$BA$205^A22,IF(A22='Données projet'!$A$88,'Données projet'!$B$88,BD21+BC22-BL21)))</f>
        <v>58.90561805764559</v>
      </c>
      <c r="BE22" s="14">
        <f>BD22*VLOOKUP('Données projet'!$B$11,Paramètres!$A$1:$I$89,3,0)*VLOOKUP('Données projet'!$B$11,Paramètres!$A$1:$I$89,5,0)</f>
        <v>59.730296710452635</v>
      </c>
      <c r="BF22" s="14">
        <f t="shared" si="37"/>
        <v>17.100061689857345</v>
      </c>
      <c r="BG22" s="22">
        <f t="shared" si="7"/>
        <v>133.81287421387319</v>
      </c>
      <c r="BH22" s="62">
        <f t="shared" si="8"/>
        <v>413.70176310276202</v>
      </c>
      <c r="BI22" s="62">
        <f ca="1">AVERAGE(OFFSET($BH$3,0,0,'Données projet'!$E$11+1,1))-AVERAGE(OFFSET($H$3,0,0,'Données projet'!$E$11+1,1))</f>
        <v>487.04124684635974</v>
      </c>
      <c r="BJ22" s="62">
        <f t="shared" si="38"/>
        <v>306.61893266146666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3.65</v>
      </c>
      <c r="BY22" s="13">
        <f>IF('Données projet'!$A$114&gt;35,BY21+BX22-CG21,IF(A22&lt;'Données projet'!$A$114,$BV$205^A22,IF(A22='Données projet'!$A$114,'Données projet'!$B$114,BY21+BX22-CG21)))</f>
        <v>58.90561805764559</v>
      </c>
      <c r="BZ22" s="14">
        <f>BY22*VLOOKUP('Données projet'!$B$12,Paramètres!$A$1:$I$89,3,0)*VLOOKUP('Données projet'!$B$12,Paramètres!$A$1:$I$89,5,0)</f>
        <v>53.297803218557732</v>
      </c>
      <c r="CA22" s="14">
        <f t="shared" si="39"/>
        <v>15.462240012873817</v>
      </c>
      <c r="CB22" s="22">
        <f t="shared" si="10"/>
        <v>119.75707529474329</v>
      </c>
      <c r="CC22" s="62">
        <f t="shared" si="11"/>
        <v>399.64596418363215</v>
      </c>
      <c r="CD22" s="62">
        <f ca="1">AVERAGE(OFFSET($CC$3,0,0,'Données projet'!$E$12+1,1))-AVERAGE(OFFSET($H$3,0,0,'Données projet'!$E$12+1,1))</f>
        <v>439.06700232017681</v>
      </c>
      <c r="CE22" s="62">
        <f t="shared" si="40"/>
        <v>278.21741231699929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13.6</v>
      </c>
      <c r="CT22" s="13">
        <f>IF('Données projet'!$A$140&gt;35,CT21+CS22-DB21,IF(A22&lt;'Données projet'!$A$140,$CQ$205^A22,IF(A22='Données projet'!$A$140,'Données projet'!$B$140,CT21+CS22-DB21)))</f>
        <v>87.399999999999991</v>
      </c>
      <c r="CU22" s="18">
        <f>CT22*VLOOKUP('Données projet'!$B$13,Paramètres!$A$1:$I$89,3,0)*VLOOKUP('Données projet'!$B$13,Paramètres!$A$1:$I$89,5,0)</f>
        <v>64.081679999999992</v>
      </c>
      <c r="CV22" s="14">
        <f t="shared" si="41"/>
        <v>18.196259808900503</v>
      </c>
      <c r="CW22" s="22">
        <f t="shared" si="13"/>
        <v>143.30074516716834</v>
      </c>
      <c r="CX22" s="62">
        <f t="shared" si="14"/>
        <v>423.18963405605723</v>
      </c>
      <c r="CY22" s="62">
        <f ca="1">AVERAGE(OFFSET($CX$3,0,0,'Données projet'!$E$13+1,1))-AVERAGE(OFFSET($H$3,0,0,'Données projet'!$E$13+1,1))</f>
        <v>327.81662150328646</v>
      </c>
      <c r="CZ22" s="62">
        <f t="shared" si="42"/>
        <v>320.24200483294322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0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0</v>
      </c>
      <c r="DI22" s="24">
        <f t="shared" si="15"/>
        <v>0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9</v>
      </c>
      <c r="DO22" s="13">
        <f>IF('Données projet'!$A$166&gt;35,DO21+DN22-DW21,IF(A22&lt;'Données projet'!$A$166,$DL$205^A22,IF(A22='Données projet'!$A$166,'Données projet'!$B$166,DO21+DN22-DW21)))</f>
        <v>66</v>
      </c>
      <c r="DP22" s="18">
        <f>DO22*VLOOKUP('Données projet'!$B$14,Paramètres!$A$1:$I$89,3,0)*VLOOKUP('Données projet'!$B$14,Paramètres!$A$1:$I$89,5,0)</f>
        <v>43.243200000000002</v>
      </c>
      <c r="DQ22" s="14">
        <f t="shared" si="43"/>
        <v>12.854318437990987</v>
      </c>
      <c r="DR22" s="22">
        <f t="shared" si="16"/>
        <v>97.703177946167628</v>
      </c>
      <c r="DS22" s="62">
        <f t="shared" si="17"/>
        <v>377.59206683505647</v>
      </c>
      <c r="DT22" s="62">
        <f ca="1">AVERAGE(OFFSET($DS$3,0,0,'Données projet'!$E$14+1,1))-AVERAGE(OFFSET($H$3,0,0,'Données projet'!$E$14+1,1))</f>
        <v>210.08998695869161</v>
      </c>
      <c r="DU22" s="62">
        <f t="shared" si="44"/>
        <v>207.30911916430881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>
        <f>EXP(-LN(2)/35)*EA21+(1-EXP(-LN(2)/35))/(LN(2)/35)*DW22*DX22*VLOOKUP('Données projet'!$B$14,Paramètres!$A$1:$I$89,3,0)*0.475*44/12</f>
        <v>0</v>
      </c>
      <c r="EB22" s="23">
        <f>EXP(-LN(2)/25)*EB21+(1-EXP(-LN(2)/25))/(LN(2)/25)*Calculateur!DW22*Calculateur!DY22*VLOOKUP('Données projet'!$B$14,Paramètres!$A$1:$I$89,3,0)*0.475*44/12</f>
        <v>0</v>
      </c>
      <c r="EC22" s="23">
        <f>EXP(-LN(2)/2)*EC21+(1-EXP(-LN(2)/2))/(LN(2)/2)*DW22*DZ22*VLOOKUP('Données projet'!$B$14,Paramètres!$A$1:$I$89,3,0)*0.475*44/12</f>
        <v>0</v>
      </c>
      <c r="ED22" s="24">
        <f t="shared" si="18"/>
        <v>0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9.6</v>
      </c>
      <c r="EJ22" s="13">
        <f>IF('Données projet'!$A$192&gt;35,EJ21+EI22-ER21,IF(A22&lt;'Données projet'!$A$192,$EG$205^A22,IF(A22='Données projet'!$A$192,'Données projet'!$B$192,EJ21+EI22-ER21)))</f>
        <v>75.399999999999991</v>
      </c>
      <c r="EK22" s="18">
        <f>EJ22*VLOOKUP('Données projet'!$B$15,Paramètres!$A$1:$I$89,3,0)*VLOOKUP('Données projet'!$B$15,Paramètres!$A$1:$I$89,5,0)</f>
        <v>58.811999999999998</v>
      </c>
      <c r="EL22" s="14">
        <f t="shared" si="45"/>
        <v>16.86755663452599</v>
      </c>
      <c r="EM22" s="22">
        <f t="shared" si="19"/>
        <v>131.8085611384661</v>
      </c>
      <c r="EN22" s="62">
        <f t="shared" si="20"/>
        <v>411.69745002735499</v>
      </c>
      <c r="EO22" s="62">
        <f ca="1">AVERAGE(OFFSET($EN$3,0,0,'Données projet'!$E$15+1,1))-AVERAGE(OFFSET($H$3,0,0,'Données projet'!$E$15+1,1))</f>
        <v>288.82868507674738</v>
      </c>
      <c r="EP22" s="62">
        <f t="shared" si="46"/>
        <v>283.48738729114024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>
        <f>EXP(-LN(2)/35)*EV21+(1-EXP(-LN(2)/35))/(LN(2)/35)*ER22*ES22*VLOOKUP('Données projet'!$B$15,Paramètres!$A$1:$I$89,3,0)*0.475*44/12</f>
        <v>0</v>
      </c>
      <c r="EW22" s="23">
        <f>EXP(-LN(2)/25)*EW21+(1-EXP(-LN(2)/25))/(LN(2)/25)*Calculateur!ER22*Calculateur!ET22*VLOOKUP('Données projet'!$B$15,Paramètres!$A$1:$I$89,3,0)*0.475*44/12</f>
        <v>0</v>
      </c>
      <c r="EX22" s="23">
        <f>EXP(-LN(2)/2)*EX21+(1-EXP(-LN(2)/2))/(LN(2)/2)*ER22*EU22*VLOOKUP('Données projet'!$B$15,Paramètres!$A$1:$I$89,3,0)*0.475*44/12</f>
        <v>0</v>
      </c>
      <c r="EY22" s="24">
        <f t="shared" si="21"/>
        <v>0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6.5</v>
      </c>
      <c r="N23" s="14">
        <f>IF('Données projet'!$A$36&gt;35,N22+M23-V22,IF(A23&lt;'Données projet'!$A$36,$K$205^A23,IF(A23='Données projet'!$A$36,'Données projet'!$B$36,N22+M23-V22)))</f>
        <v>33.627125204833582</v>
      </c>
      <c r="O23" s="14">
        <f>N23*VLOOKUP('Données projet'!$B$9,Paramètres!$A$1:$I$89,3,0)*VLOOKUP('Données projet'!$B$9,Paramètres!$A$1:$I$89,5,0)</f>
        <v>15.737494595862117</v>
      </c>
      <c r="P23" s="14">
        <f t="shared" si="33"/>
        <v>5.2621637162274721</v>
      </c>
      <c r="Q23" s="22">
        <f t="shared" si="2"/>
        <v>36.574404893556029</v>
      </c>
      <c r="R23" s="62">
        <f t="shared" si="0"/>
        <v>317.68551600466719</v>
      </c>
      <c r="S23" s="62">
        <f ca="1">AVERAGE(OFFSET($R$3,0,0,'Données projet'!$E$9+1,1))-AVERAGE(OFFSET($H$3,0,0,'Données projet'!$E$9+1,1))</f>
        <v>317.54276561627643</v>
      </c>
      <c r="T23" s="62">
        <f t="shared" si="34"/>
        <v>238.92443174298893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132</v>
      </c>
      <c r="AG23" s="13">
        <f>VLOOKUP(A23,'Données projet'!$A$61:$I$81,9,0)</f>
        <v>6.6</v>
      </c>
      <c r="AH23" s="13">
        <f t="array" ref="AH23">INDEX(AG:AG,MIN(IF(ISNUMBER(AG23:AG219),ROW(AG23:AG219),"")))</f>
        <v>6.6</v>
      </c>
      <c r="AI23" s="14">
        <f>IF('Données projet'!$A$62&gt;35,AI22+AH23-AQ22,IF(A23&lt;'Données projet'!$A$62,$AF$205^A23,IF(A23='Données projet'!$A$62,'Données projet'!$B$62,AI22+AH23-AQ22)))</f>
        <v>132</v>
      </c>
      <c r="AJ23" s="14">
        <f>AI23*VLOOKUP('Données projet'!$B$10,Paramètres!$A$1:$I$89,3,0)*VLOOKUP('Données projet'!$B$10,Paramètres!$A$1:$I$89,5,0)</f>
        <v>115.3152</v>
      </c>
      <c r="AK23" s="14">
        <f t="shared" si="35"/>
        <v>30.579827148797317</v>
      </c>
      <c r="AL23" s="22">
        <f t="shared" si="4"/>
        <v>254.10050561748861</v>
      </c>
      <c r="AM23" s="62">
        <f t="shared" si="5"/>
        <v>535.21161672859978</v>
      </c>
      <c r="AN23" s="62">
        <f ca="1">AVERAGE(OFFSET($AM$3,0,0,'Données projet'!$E$10+1,1))-AVERAGE(OFFSET($H$3,0,0,'Données projet'!$E$10+1,1))</f>
        <v>327.826081588335</v>
      </c>
      <c r="AO23" s="62">
        <f t="shared" si="36"/>
        <v>348.84706693879735</v>
      </c>
      <c r="AP23" s="16">
        <f>IF(ISNA(VLOOKUP(A23,'Données projet'!$A$61:$I$81,3,0)),0,VLOOKUP(A23,'Données projet'!$A$61:$I$81,3,0))</f>
        <v>1</v>
      </c>
      <c r="AQ23" s="16">
        <f>IF(ISNA(VLOOKUP(A23,'Données projet'!$A$61:$I$81,4,0)),0,VLOOKUP(A23,'Données projet'!$A$61:$I$81,4,0))</f>
        <v>50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>
        <f>VLOOKUP(A23,'Données projet'!$A$87:$I$107,2,0)</f>
        <v>73</v>
      </c>
      <c r="BB23" s="13">
        <f>VLOOKUP(A23,'Données projet'!$A$87:$I$107,9,0)</f>
        <v>3.65</v>
      </c>
      <c r="BC23" s="13">
        <f t="array" ref="BC23">INDEX(BB:BB,MIN(IF(ISNUMBER(BB23:BB219),ROW(BB23:BB219),"")))</f>
        <v>3.65</v>
      </c>
      <c r="BD23" s="13">
        <f>IF('Données projet'!$A$88&gt;35,BD22+BC23-BL22,IF(A23&lt;'Données projet'!$A$88,$BA$205^A23,IF(A23='Données projet'!$A$88,'Données projet'!$B$88,BD22+BC23-BL22)))</f>
        <v>73</v>
      </c>
      <c r="BE23" s="14">
        <f>BD23*VLOOKUP('Données projet'!$B$11,Paramètres!$A$1:$I$89,3,0)*VLOOKUP('Données projet'!$B$11,Paramètres!$A$1:$I$89,5,0)</f>
        <v>74.022000000000006</v>
      </c>
      <c r="BF23" s="14">
        <f t="shared" si="37"/>
        <v>20.668991235856851</v>
      </c>
      <c r="BG23" s="22">
        <f t="shared" si="7"/>
        <v>164.92014306911736</v>
      </c>
      <c r="BH23" s="62">
        <f t="shared" si="8"/>
        <v>446.03125418022853</v>
      </c>
      <c r="BI23" s="62">
        <f ca="1">AVERAGE(OFFSET($BH$3,0,0,'Données projet'!$E$11+1,1))-AVERAGE(OFFSET($H$3,0,0,'Données projet'!$E$11+1,1))</f>
        <v>487.04124684635974</v>
      </c>
      <c r="BJ23" s="62">
        <f t="shared" si="38"/>
        <v>306.61893266146666</v>
      </c>
      <c r="BK23" s="16">
        <f>IF(ISNA(VLOOKUP(A23,'Données projet'!$A$87:$I$107,3,0)),0,VLOOKUP(A23,'Données projet'!$A$87:$I$107,3,0))</f>
        <v>1</v>
      </c>
      <c r="BL23" s="16">
        <f>IF(ISNA(VLOOKUP(A23,'Données projet'!$A$87:$I$107,4,0)),0,VLOOKUP(A23,'Données projet'!$A$87:$I$107,4,0))</f>
        <v>6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>
        <f>VLOOKUP(A23,'Données projet'!$A$113:$I$133,2,0)</f>
        <v>73</v>
      </c>
      <c r="BW23" s="13">
        <f>VLOOKUP(A23,'Données projet'!$A$113:$I$133,9,0)</f>
        <v>3.65</v>
      </c>
      <c r="BX23" s="13">
        <f t="array" ref="BX23">INDEX(BW:BW,MIN(IF(ISNUMBER(BW23:BW219),ROW(BW23:BW219),"")))</f>
        <v>3.65</v>
      </c>
      <c r="BY23" s="13">
        <f>IF('Données projet'!$A$114&gt;35,BY22+BX23-CG22,IF(A23&lt;'Données projet'!$A$114,$BV$205^A23,IF(A23='Données projet'!$A$114,'Données projet'!$B$114,BY22+BX23-CG22)))</f>
        <v>73</v>
      </c>
      <c r="BZ23" s="14">
        <f>BY23*VLOOKUP('Données projet'!$B$12,Paramètres!$A$1:$I$89,3,0)*VLOOKUP('Données projet'!$B$12,Paramètres!$A$1:$I$89,5,0)</f>
        <v>66.050399999999996</v>
      </c>
      <c r="CA23" s="14">
        <f t="shared" si="39"/>
        <v>18.689342126897891</v>
      </c>
      <c r="CB23" s="22">
        <f t="shared" si="10"/>
        <v>147.58838420434714</v>
      </c>
      <c r="CC23" s="62">
        <f t="shared" si="11"/>
        <v>428.69949531545831</v>
      </c>
      <c r="CD23" s="62">
        <f ca="1">AVERAGE(OFFSET($CC$3,0,0,'Données projet'!$E$12+1,1))-AVERAGE(OFFSET($H$3,0,0,'Données projet'!$E$12+1,1))</f>
        <v>439.06700232017681</v>
      </c>
      <c r="CE23" s="62">
        <f t="shared" si="40"/>
        <v>278.21741231699929</v>
      </c>
      <c r="CF23" s="16">
        <f>IF(ISNA(VLOOKUP(A23,'Données projet'!$A$113:$I$133,3,0)),0,VLOOKUP(A23,'Données projet'!$A$113:$I$133,3,0))</f>
        <v>1</v>
      </c>
      <c r="CG23" s="16">
        <f>IF(ISNA(VLOOKUP(A23,'Données projet'!$A$113:$I$133,4,0)),0,VLOOKUP(A23,'Données projet'!$A$113:$I$133,4,0))</f>
        <v>6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>
        <f>VLOOKUP(A23,'Données projet'!$A$139:$I$159,2,0)</f>
        <v>101</v>
      </c>
      <c r="CR23" s="13">
        <f>VLOOKUP(A23,'Données projet'!$A$139:$I$159,9,0)</f>
        <v>13.6</v>
      </c>
      <c r="CS23" s="13">
        <f t="array" ref="CS23">INDEX(CR:CR,MIN(IF(ISNUMBER(CR23:CR219),ROW(CR23:CR219),"")))</f>
        <v>13.6</v>
      </c>
      <c r="CT23" s="13">
        <f>IF('Données projet'!$A$140&gt;35,CT22+CS23-DB22,IF(A23&lt;'Données projet'!$A$140,$CQ$205^A23,IF(A23='Données projet'!$A$140,'Données projet'!$B$140,CT22+CS23-DB22)))</f>
        <v>100.99999999999999</v>
      </c>
      <c r="CU23" s="18">
        <f>CT23*VLOOKUP('Données projet'!$B$13,Paramètres!$A$1:$I$89,3,0)*VLOOKUP('Données projet'!$B$13,Paramètres!$A$1:$I$89,5,0)</f>
        <v>74.05319999999999</v>
      </c>
      <c r="CV23" s="14">
        <f t="shared" si="41"/>
        <v>20.676688885050559</v>
      </c>
      <c r="CW23" s="22">
        <f t="shared" si="13"/>
        <v>164.98788980812969</v>
      </c>
      <c r="CX23" s="62">
        <f t="shared" si="14"/>
        <v>446.09900091924084</v>
      </c>
      <c r="CY23" s="62">
        <f ca="1">AVERAGE(OFFSET($CX$3,0,0,'Données projet'!$E$13+1,1))-AVERAGE(OFFSET($H$3,0,0,'Données projet'!$E$13+1,1))</f>
        <v>327.81662150328646</v>
      </c>
      <c r="CZ23" s="62">
        <f t="shared" si="42"/>
        <v>320.24200483294322</v>
      </c>
      <c r="DA23" s="16">
        <f>IF(ISNA(VLOOKUP(A23,'Données projet'!$A$139:$I$159,3,0)),0,VLOOKUP(A23,'Données projet'!$A$139:$I$159,3,0))</f>
        <v>3</v>
      </c>
      <c r="DB23" s="16">
        <f>IF(ISNA(VLOOKUP(A23,'Données projet'!$A$139:$I$159,4,0)),0,VLOOKUP(A23,'Données projet'!$A$139:$I$159,4,0))</f>
        <v>35</v>
      </c>
      <c r="DC23" s="17">
        <f>IF(ISNA(VLOOKUP(A23,'Données projet'!$A$139:$I$159,5,0)),0%,VLOOKUP(A23,'Données projet'!$A$139:$I$159,5,0)*VLOOKUP('Données projet'!$B$13,Paramètres!$A$1:$I$89,7,0))</f>
        <v>8.6000000000000007E-2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projet'!$B$13,Paramètres!$A$1:$I$89,3,0)*0.475*44/12</f>
        <v>2.4396979556434131</v>
      </c>
      <c r="DG23" s="23">
        <f>EXP(-LN(2)/25)*DG22+(1-EXP(-LN(2)/25))/(LN(2)/25)*Calculateur!DB23*Calculateur!DD23*VLOOKUP('Données projet'!$B$13,Paramètres!$A$1:$I$89,3,0)*0.475*44/12</f>
        <v>0</v>
      </c>
      <c r="DH23" s="23">
        <f>EXP(-LN(2)/2)*DH22+(1-EXP(-LN(2)/2))/(LN(2)/2)*DB23*DE23*VLOOKUP('Données projet'!$B$13,Paramètres!$A$1:$I$89,3,0)*0.475*44/12</f>
        <v>0</v>
      </c>
      <c r="DI23" s="24">
        <f t="shared" si="15"/>
        <v>2.4396979556434131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>
        <f>VLOOKUP(A23,'Données projet'!$A$165:$I$185,2,0)</f>
        <v>75</v>
      </c>
      <c r="DM23" s="13">
        <f>VLOOKUP(A23,'Données projet'!$A$165:$I$185,9,0)</f>
        <v>9</v>
      </c>
      <c r="DN23" s="13">
        <f t="array" ref="DN23">INDEX(DM:DM,MIN(IF(ISNUMBER(DM23:DM219),ROW(DM23:DM219),"")))</f>
        <v>9</v>
      </c>
      <c r="DO23" s="13">
        <f>IF('Données projet'!$A$166&gt;35,DO22+DN23-DW22,IF(A23&lt;'Données projet'!$A$166,$DL$205^A23,IF(A23='Données projet'!$A$166,'Données projet'!$B$166,DO22+DN23-DW22)))</f>
        <v>75</v>
      </c>
      <c r="DP23" s="18">
        <f>DO23*VLOOKUP('Données projet'!$B$14,Paramètres!$A$1:$I$89,3,0)*VLOOKUP('Données projet'!$B$14,Paramètres!$A$1:$I$89,5,0)</f>
        <v>49.14</v>
      </c>
      <c r="DQ23" s="14">
        <f t="shared" si="43"/>
        <v>14.391437147300868</v>
      </c>
      <c r="DR23" s="22">
        <f t="shared" si="16"/>
        <v>110.65058636488233</v>
      </c>
      <c r="DS23" s="62">
        <f t="shared" si="17"/>
        <v>391.76169747599346</v>
      </c>
      <c r="DT23" s="62">
        <f ca="1">AVERAGE(OFFSET($DS$3,0,0,'Données projet'!$E$14+1,1))-AVERAGE(OFFSET($H$3,0,0,'Données projet'!$E$14+1,1))</f>
        <v>210.08998695869161</v>
      </c>
      <c r="DU23" s="62">
        <f t="shared" si="44"/>
        <v>207.30911916430881</v>
      </c>
      <c r="DV23" s="16">
        <f>IF(ISNA(VLOOKUP(A23,'Données projet'!$A$165:$I$185,3,0)),0,VLOOKUP(A23,'Données projet'!$A$165:$I$185,3,0))</f>
        <v>3</v>
      </c>
      <c r="DW23" s="16">
        <f>IF(ISNA(VLOOKUP(A23,'Données projet'!$A$165:$I$185,4,0)),0,VLOOKUP(A23,'Données projet'!$A$165:$I$185,4,0))</f>
        <v>9</v>
      </c>
      <c r="DX23" s="17">
        <f>IF(ISNA(VLOOKUP(A23,'Données projet'!$A$165:$I$185,5,0)),0%,VLOOKUP(A23,'Données projet'!$A$165:$I$185,5,0)*VLOOKUP('Données projet'!$B$14,Paramètres!$A$1:$I$89,7,0))</f>
        <v>8.6000000000000007E-2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>
        <f>EXP(-LN(2)/35)*EA22+(1-EXP(-LN(2)/35))/(LN(2)/35)*DW23*DX23*VLOOKUP('Données projet'!$B$14,Paramètres!$A$1:$I$89,3,0)*0.475*44/12</f>
        <v>0.56061144512657146</v>
      </c>
      <c r="EB23" s="23">
        <f>EXP(-LN(2)/25)*EB22+(1-EXP(-LN(2)/25))/(LN(2)/25)*Calculateur!DW23*Calculateur!DY23*VLOOKUP('Données projet'!$B$14,Paramètres!$A$1:$I$89,3,0)*0.475*44/12</f>
        <v>0</v>
      </c>
      <c r="EC23" s="23">
        <f>EXP(-LN(2)/2)*EC22+(1-EXP(-LN(2)/2))/(LN(2)/2)*DW23*DZ23*VLOOKUP('Données projet'!$B$14,Paramètres!$A$1:$I$89,3,0)*0.475*44/12</f>
        <v>0</v>
      </c>
      <c r="ED23" s="24">
        <f t="shared" si="18"/>
        <v>0.56061144512657146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>
        <f>VLOOKUP(A23,'Données projet'!$A$191:$I$211,2,0)</f>
        <v>85</v>
      </c>
      <c r="EH23" s="13">
        <f>VLOOKUP(A23,'Données projet'!$A$191:$I$211,9,0)</f>
        <v>9.6</v>
      </c>
      <c r="EI23" s="13">
        <f t="array" ref="EI23">INDEX(EH:EH,MIN(IF(ISNUMBER(EH23:EH219),ROW(EH23:EH219),"")))</f>
        <v>9.6</v>
      </c>
      <c r="EJ23" s="13">
        <f>IF('Données projet'!$A$192&gt;35,EJ22+EI23-ER22,IF(A23&lt;'Données projet'!$A$192,$EG$205^A23,IF(A23='Données projet'!$A$192,'Données projet'!$B$192,EJ22+EI23-ER22)))</f>
        <v>84.999999999999986</v>
      </c>
      <c r="EK23" s="18">
        <f>EJ23*VLOOKUP('Données projet'!$B$15,Paramètres!$A$1:$I$89,3,0)*VLOOKUP('Données projet'!$B$15,Paramètres!$A$1:$I$89,5,0)</f>
        <v>66.3</v>
      </c>
      <c r="EL23" s="14">
        <f t="shared" si="45"/>
        <v>18.751733344032118</v>
      </c>
      <c r="EM23" s="22">
        <f t="shared" si="19"/>
        <v>148.13176890752257</v>
      </c>
      <c r="EN23" s="62">
        <f t="shared" si="20"/>
        <v>429.24288001863374</v>
      </c>
      <c r="EO23" s="62">
        <f ca="1">AVERAGE(OFFSET($EN$3,0,0,'Données projet'!$E$15+1,1))-AVERAGE(OFFSET($H$3,0,0,'Données projet'!$E$15+1,1))</f>
        <v>288.82868507674738</v>
      </c>
      <c r="EP23" s="62">
        <f t="shared" si="46"/>
        <v>283.48738729114024</v>
      </c>
      <c r="EQ23" s="16">
        <f>IF(ISNA(VLOOKUP(A23,'Données projet'!$A$191:$I$211,3,0)),0,VLOOKUP(A23,'Données projet'!$A$191:$I$211,3,0))</f>
        <v>2</v>
      </c>
      <c r="ER23" s="16">
        <f>IF(ISNA(VLOOKUP(A23,'Données projet'!$A$191:$I$211,4,0)),0,VLOOKUP(A23,'Données projet'!$A$191:$I$211,4,0))</f>
        <v>25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>
        <f>EXP(-LN(2)/35)*EV22+(1-EXP(-LN(2)/35))/(LN(2)/35)*ER23*ES23*VLOOKUP('Données projet'!$B$15,Paramètres!$A$1:$I$89,3,0)*0.475*44/12</f>
        <v>0</v>
      </c>
      <c r="EW23" s="23">
        <f>EXP(-LN(2)/25)*EW22+(1-EXP(-LN(2)/25))/(LN(2)/25)*Calculateur!ER23*Calculateur!ET23*VLOOKUP('Données projet'!$B$15,Paramètres!$A$1:$I$89,3,0)*0.475*44/12</f>
        <v>0</v>
      </c>
      <c r="EX23" s="23">
        <f>EXP(-LN(2)/2)*EX22+(1-EXP(-LN(2)/2))/(LN(2)/2)*ER23*EU23*VLOOKUP('Données projet'!$B$15,Paramètres!$A$1:$I$89,3,0)*0.475*44/12</f>
        <v>0</v>
      </c>
      <c r="EY23" s="24">
        <f t="shared" si="21"/>
        <v>0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6.5</v>
      </c>
      <c r="N24" s="14">
        <f>IF('Données projet'!$A$36&gt;35,N23+M24-V23,IF(A24&lt;'Données projet'!$A$36,$K$205^A24,IF(A24='Données projet'!$A$36,'Données projet'!$B$36,N23+M24-V23)))</f>
        <v>40.088908137267765</v>
      </c>
      <c r="O24" s="14">
        <f>N24*VLOOKUP('Données projet'!$B$9,Paramètres!$A$1:$I$89,3,0)*VLOOKUP('Données projet'!$B$9,Paramètres!$A$1:$I$89,5,0)</f>
        <v>18.761609008241315</v>
      </c>
      <c r="P24" s="14">
        <f t="shared" si="33"/>
        <v>6.1462965210381464</v>
      </c>
      <c r="Q24" s="22">
        <f t="shared" si="2"/>
        <v>43.381268796828387</v>
      </c>
      <c r="R24" s="62">
        <f t="shared" si="0"/>
        <v>325.71460213016172</v>
      </c>
      <c r="S24" s="62">
        <f ca="1">AVERAGE(OFFSET($R$3,0,0,'Données projet'!$E$9+1,1))-AVERAGE(OFFSET($H$3,0,0,'Données projet'!$E$9+1,1))</f>
        <v>317.54276561627643</v>
      </c>
      <c r="T24" s="62">
        <f t="shared" si="34"/>
        <v>238.92443174298893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12.2</v>
      </c>
      <c r="AI24" s="14">
        <f>IF('Données projet'!$A$62&gt;35,AI23+AH24-AQ23,IF(A24&lt;'Données projet'!$A$62,$AF$205^A24,IF(A24='Données projet'!$A$62,'Données projet'!$B$62,AI23+AH24-AQ23)))</f>
        <v>94.199999999999989</v>
      </c>
      <c r="AJ24" s="14">
        <f>AI24*VLOOKUP('Données projet'!$B$10,Paramètres!$A$1:$I$89,3,0)*VLOOKUP('Données projet'!$B$10,Paramètres!$A$1:$I$89,5,0)</f>
        <v>82.293120000000002</v>
      </c>
      <c r="AK24" s="14">
        <f t="shared" si="35"/>
        <v>22.696938367376966</v>
      </c>
      <c r="AL24" s="22">
        <f t="shared" si="4"/>
        <v>182.85768498984825</v>
      </c>
      <c r="AM24" s="62">
        <f t="shared" si="5"/>
        <v>465.19101832318154</v>
      </c>
      <c r="AN24" s="62">
        <f ca="1">AVERAGE(OFFSET($AM$3,0,0,'Données projet'!$E$10+1,1))-AVERAGE(OFFSET($H$3,0,0,'Données projet'!$E$10+1,1))</f>
        <v>327.826081588335</v>
      </c>
      <c r="AO24" s="62">
        <f t="shared" si="36"/>
        <v>348.84706693879735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7.2</v>
      </c>
      <c r="BD24" s="13">
        <f>IF('Données projet'!$A$88&gt;35,BD23+BC24-BL23,IF(A24&lt;'Données projet'!$A$88,$BA$205^A24,IF(A24='Données projet'!$A$88,'Données projet'!$B$88,BD23+BC24-BL23)))</f>
        <v>74.2</v>
      </c>
      <c r="BE24" s="14">
        <f>BD24*VLOOKUP('Données projet'!$B$11,Paramètres!$A$1:$I$89,3,0)*VLOOKUP('Données projet'!$B$11,Paramètres!$A$1:$I$89,5,0)</f>
        <v>75.238800000000012</v>
      </c>
      <c r="BF24" s="14">
        <f t="shared" si="37"/>
        <v>20.96892143970209</v>
      </c>
      <c r="BG24" s="22">
        <f t="shared" si="7"/>
        <v>167.56178150748116</v>
      </c>
      <c r="BH24" s="62">
        <f t="shared" si="8"/>
        <v>449.89511484081447</v>
      </c>
      <c r="BI24" s="62">
        <f ca="1">AVERAGE(OFFSET($BH$3,0,0,'Données projet'!$E$11+1,1))-AVERAGE(OFFSET($H$3,0,0,'Données projet'!$E$11+1,1))</f>
        <v>487.04124684635974</v>
      </c>
      <c r="BJ24" s="62">
        <f t="shared" si="38"/>
        <v>306.61893266146666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7.2</v>
      </c>
      <c r="BY24" s="13">
        <f>IF('Données projet'!$A$114&gt;35,BY23+BX24-CG23,IF(A24&lt;'Données projet'!$A$114,$BV$205^A24,IF(A24='Données projet'!$A$114,'Données projet'!$B$114,BY23+BX24-CG23)))</f>
        <v>74.2</v>
      </c>
      <c r="BZ24" s="14">
        <f>BY24*VLOOKUP('Données projet'!$B$12,Paramètres!$A$1:$I$89,3,0)*VLOOKUP('Données projet'!$B$12,Paramètres!$A$1:$I$89,5,0)</f>
        <v>67.136160000000004</v>
      </c>
      <c r="CA24" s="14">
        <f t="shared" si="39"/>
        <v>18.960545405756019</v>
      </c>
      <c r="CB24" s="22">
        <f t="shared" si="10"/>
        <v>149.95176191502506</v>
      </c>
      <c r="CC24" s="62">
        <f t="shared" si="11"/>
        <v>432.2850952483584</v>
      </c>
      <c r="CD24" s="62">
        <f ca="1">AVERAGE(OFFSET($CC$3,0,0,'Données projet'!$E$12+1,1))-AVERAGE(OFFSET($H$3,0,0,'Données projet'!$E$12+1,1))</f>
        <v>439.06700232017681</v>
      </c>
      <c r="CE24" s="62">
        <f t="shared" si="40"/>
        <v>278.21741231699929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14.8</v>
      </c>
      <c r="CT24" s="13">
        <f>IF('Données projet'!$A$140&gt;35,CT23+CS24-DB23,IF(A24&lt;'Données projet'!$A$140,$CQ$205^A24,IF(A24='Données projet'!$A$140,'Données projet'!$B$140,CT23+CS24-DB23)))</f>
        <v>80.799999999999983</v>
      </c>
      <c r="CU24" s="18">
        <f>CT24*VLOOKUP('Données projet'!$B$13,Paramètres!$A$1:$I$89,3,0)*VLOOKUP('Données projet'!$B$13,Paramètres!$A$1:$I$89,5,0)</f>
        <v>59.24255999999999</v>
      </c>
      <c r="CV24" s="14">
        <f t="shared" si="41"/>
        <v>16.976623048740109</v>
      </c>
      <c r="CW24" s="22">
        <f t="shared" si="13"/>
        <v>132.74841047655565</v>
      </c>
      <c r="CX24" s="62">
        <f t="shared" si="14"/>
        <v>415.08174380988896</v>
      </c>
      <c r="CY24" s="62">
        <f ca="1">AVERAGE(OFFSET($CX$3,0,0,'Données projet'!$E$13+1,1))-AVERAGE(OFFSET($H$3,0,0,'Données projet'!$E$13+1,1))</f>
        <v>327.81662150328646</v>
      </c>
      <c r="CZ24" s="62">
        <f t="shared" si="42"/>
        <v>320.24200483294322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2.3918569668020639</v>
      </c>
      <c r="DG24" s="23">
        <f>EXP(-LN(2)/25)*DG23+(1-EXP(-LN(2)/25))/(LN(2)/25)*Calculateur!DB24*Calculateur!DD24*VLOOKUP('Données projet'!$B$13,Paramètres!$A$1:$I$89,3,0)*0.475*44/12</f>
        <v>0</v>
      </c>
      <c r="DH24" s="23">
        <f>EXP(-LN(2)/2)*DH23+(1-EXP(-LN(2)/2))/(LN(2)/2)*DB24*DE24*VLOOKUP('Données projet'!$B$13,Paramètres!$A$1:$I$89,3,0)*0.475*44/12</f>
        <v>0</v>
      </c>
      <c r="DI24" s="24">
        <f t="shared" si="15"/>
        <v>2.3918569668020639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6.4</v>
      </c>
      <c r="DO24" s="13">
        <f>IF('Données projet'!$A$166&gt;35,DO23+DN24-DW23,IF(A24&lt;'Données projet'!$A$166,$DL$205^A24,IF(A24='Données projet'!$A$166,'Données projet'!$B$166,DO23+DN24-DW23)))</f>
        <v>72.400000000000006</v>
      </c>
      <c r="DP24" s="18">
        <f>DO24*VLOOKUP('Données projet'!$B$14,Paramètres!$A$1:$I$89,3,0)*VLOOKUP('Données projet'!$B$14,Paramètres!$A$1:$I$89,5,0)</f>
        <v>47.436480000000003</v>
      </c>
      <c r="DQ24" s="14">
        <f t="shared" si="43"/>
        <v>13.949705210568435</v>
      </c>
      <c r="DR24" s="22">
        <f t="shared" si="16"/>
        <v>106.91427257507337</v>
      </c>
      <c r="DS24" s="62">
        <f t="shared" si="17"/>
        <v>389.24760590840668</v>
      </c>
      <c r="DT24" s="62">
        <f ca="1">AVERAGE(OFFSET($DS$3,0,0,'Données projet'!$E$14+1,1))-AVERAGE(OFFSET($H$3,0,0,'Données projet'!$E$14+1,1))</f>
        <v>210.08998695869161</v>
      </c>
      <c r="DU24" s="62">
        <f t="shared" si="44"/>
        <v>207.30911916430881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>
        <f>EXP(-LN(2)/35)*EA23+(1-EXP(-LN(2)/35))/(LN(2)/35)*DW24*DX24*VLOOKUP('Données projet'!$B$14,Paramètres!$A$1:$I$89,3,0)*0.475*44/12</f>
        <v>0.54961819662685718</v>
      </c>
      <c r="EB24" s="23">
        <f>EXP(-LN(2)/25)*EB23+(1-EXP(-LN(2)/25))/(LN(2)/25)*Calculateur!DW24*Calculateur!DY24*VLOOKUP('Données projet'!$B$14,Paramètres!$A$1:$I$89,3,0)*0.475*44/12</f>
        <v>0</v>
      </c>
      <c r="EC24" s="23">
        <f>EXP(-LN(2)/2)*EC23+(1-EXP(-LN(2)/2))/(LN(2)/2)*DW24*DZ24*VLOOKUP('Données projet'!$B$14,Paramètres!$A$1:$I$89,3,0)*0.475*44/12</f>
        <v>0</v>
      </c>
      <c r="ED24" s="24">
        <f t="shared" si="18"/>
        <v>0.54961819662685718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10.6</v>
      </c>
      <c r="EJ24" s="13">
        <f>IF('Données projet'!$A$192&gt;35,EJ23+EI24-ER23,IF(A24&lt;'Données projet'!$A$192,$EG$205^A24,IF(A24='Données projet'!$A$192,'Données projet'!$B$192,EJ23+EI24-ER23)))</f>
        <v>70.59999999999998</v>
      </c>
      <c r="EK24" s="18">
        <f>EJ24*VLOOKUP('Données projet'!$B$15,Paramètres!$A$1:$I$89,3,0)*VLOOKUP('Données projet'!$B$15,Paramètres!$A$1:$I$89,5,0)</f>
        <v>55.067999999999984</v>
      </c>
      <c r="EL24" s="14">
        <f t="shared" si="45"/>
        <v>15.915148294580479</v>
      </c>
      <c r="EM24" s="22">
        <f t="shared" si="19"/>
        <v>123.62898327972762</v>
      </c>
      <c r="EN24" s="62">
        <f t="shared" si="20"/>
        <v>405.96231661306092</v>
      </c>
      <c r="EO24" s="62">
        <f ca="1">AVERAGE(OFFSET($EN$3,0,0,'Données projet'!$E$15+1,1))-AVERAGE(OFFSET($H$3,0,0,'Données projet'!$E$15+1,1))</f>
        <v>288.82868507674738</v>
      </c>
      <c r="EP24" s="62">
        <f t="shared" si="46"/>
        <v>283.48738729114024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>
        <f>EXP(-LN(2)/35)*EV23+(1-EXP(-LN(2)/35))/(LN(2)/35)*ER24*ES24*VLOOKUP('Données projet'!$B$15,Paramètres!$A$1:$I$89,3,0)*0.475*44/12</f>
        <v>0</v>
      </c>
      <c r="EW24" s="23">
        <f>EXP(-LN(2)/25)*EW23+(1-EXP(-LN(2)/25))/(LN(2)/25)*Calculateur!ER24*Calculateur!ET24*VLOOKUP('Données projet'!$B$15,Paramètres!$A$1:$I$89,3,0)*0.475*44/12</f>
        <v>0</v>
      </c>
      <c r="EX24" s="23">
        <f>EXP(-LN(2)/2)*EX23+(1-EXP(-LN(2)/2))/(LN(2)/2)*ER24*EU24*VLOOKUP('Données projet'!$B$15,Paramètres!$A$1:$I$89,3,0)*0.475*44/12</f>
        <v>0</v>
      </c>
      <c r="EY24" s="24">
        <f t="shared" si="21"/>
        <v>0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6.5</v>
      </c>
      <c r="N25" s="14">
        <f>IF('Données projet'!$A$36&gt;35,N24+M25-V24,IF(A25&lt;'Données projet'!$A$36,$K$205^A25,IF(A25='Données projet'!$A$36,'Données projet'!$B$36,N24+M25-V24)))</f>
        <v>47.792386231317963</v>
      </c>
      <c r="O25" s="14">
        <f>N25*VLOOKUP('Données projet'!$B$9,Paramètres!$A$1:$I$89,3,0)*VLOOKUP('Données projet'!$B$9,Paramètres!$A$1:$I$89,5,0)</f>
        <v>22.366836756256806</v>
      </c>
      <c r="P25" s="14">
        <f t="shared" si="33"/>
        <v>7.178978641053865</v>
      </c>
      <c r="Q25" s="22">
        <f t="shared" si="2"/>
        <v>51.458961816982743</v>
      </c>
      <c r="R25" s="62">
        <f t="shared" si="0"/>
        <v>335.01451737253831</v>
      </c>
      <c r="S25" s="62">
        <f ca="1">AVERAGE(OFFSET($R$3,0,0,'Données projet'!$E$9+1,1))-AVERAGE(OFFSET($H$3,0,0,'Données projet'!$E$9+1,1))</f>
        <v>317.54276561627643</v>
      </c>
      <c r="T25" s="62">
        <f t="shared" si="34"/>
        <v>238.92443174298893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12.2</v>
      </c>
      <c r="AI25" s="14">
        <f>IF('Données projet'!$A$62&gt;35,AI24+AH25-AQ24,IF(A25&lt;'Données projet'!$A$62,$AF$205^A25,IF(A25='Données projet'!$A$62,'Données projet'!$B$62,AI24+AH25-AQ24)))</f>
        <v>106.39999999999999</v>
      </c>
      <c r="AJ25" s="14">
        <f>AI25*VLOOKUP('Données projet'!$B$10,Paramètres!$A$1:$I$89,3,0)*VLOOKUP('Données projet'!$B$10,Paramètres!$A$1:$I$89,5,0)</f>
        <v>92.951040000000006</v>
      </c>
      <c r="AK25" s="14">
        <f t="shared" si="35"/>
        <v>25.275602869272223</v>
      </c>
      <c r="AL25" s="22">
        <f t="shared" si="4"/>
        <v>205.9114029973158</v>
      </c>
      <c r="AM25" s="62">
        <f t="shared" si="5"/>
        <v>489.46695855287135</v>
      </c>
      <c r="AN25" s="62">
        <f ca="1">AVERAGE(OFFSET($AM$3,0,0,'Données projet'!$E$10+1,1))-AVERAGE(OFFSET($H$3,0,0,'Données projet'!$E$10+1,1))</f>
        <v>327.826081588335</v>
      </c>
      <c r="AO25" s="62">
        <f t="shared" si="36"/>
        <v>348.84706693879735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7.2</v>
      </c>
      <c r="BD25" s="13">
        <f>IF('Données projet'!$A$88&gt;35,BD24+BC25-BL24,IF(A25&lt;'Données projet'!$A$88,$BA$205^A25,IF(A25='Données projet'!$A$88,'Données projet'!$B$88,BD24+BC25-BL24)))</f>
        <v>81.400000000000006</v>
      </c>
      <c r="BE25" s="14">
        <f>BD25*VLOOKUP('Données projet'!$B$11,Paramètres!$A$1:$I$89,3,0)*VLOOKUP('Données projet'!$B$11,Paramètres!$A$1:$I$89,5,0)</f>
        <v>82.539600000000007</v>
      </c>
      <c r="BF25" s="14">
        <f t="shared" si="37"/>
        <v>22.756995627482848</v>
      </c>
      <c r="BG25" s="22">
        <f t="shared" si="7"/>
        <v>183.39157071786599</v>
      </c>
      <c r="BH25" s="62">
        <f t="shared" si="8"/>
        <v>466.94712627342153</v>
      </c>
      <c r="BI25" s="62">
        <f ca="1">AVERAGE(OFFSET($BH$3,0,0,'Données projet'!$E$11+1,1))-AVERAGE(OFFSET($H$3,0,0,'Données projet'!$E$11+1,1))</f>
        <v>487.04124684635974</v>
      </c>
      <c r="BJ25" s="62">
        <f t="shared" si="38"/>
        <v>306.61893266146666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7.2</v>
      </c>
      <c r="BY25" s="13">
        <f>IF('Données projet'!$A$114&gt;35,BY24+BX25-CG24,IF(A25&lt;'Données projet'!$A$114,$BV$205^A25,IF(A25='Données projet'!$A$114,'Données projet'!$B$114,BY24+BX25-CG24)))</f>
        <v>81.400000000000006</v>
      </c>
      <c r="BZ25" s="14">
        <f>BY25*VLOOKUP('Données projet'!$B$12,Paramètres!$A$1:$I$89,3,0)*VLOOKUP('Données projet'!$B$12,Paramètres!$A$1:$I$89,5,0)</f>
        <v>73.650720000000007</v>
      </c>
      <c r="CA25" s="14">
        <f t="shared" si="39"/>
        <v>20.577360172493922</v>
      </c>
      <c r="CB25" s="22">
        <f t="shared" si="10"/>
        <v>164.11390630042692</v>
      </c>
      <c r="CC25" s="62">
        <f t="shared" si="11"/>
        <v>447.66946185598249</v>
      </c>
      <c r="CD25" s="62">
        <f ca="1">AVERAGE(OFFSET($CC$3,0,0,'Données projet'!$E$12+1,1))-AVERAGE(OFFSET($H$3,0,0,'Données projet'!$E$12+1,1))</f>
        <v>439.06700232017681</v>
      </c>
      <c r="CE25" s="62">
        <f t="shared" si="40"/>
        <v>278.21741231699929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14.8</v>
      </c>
      <c r="CT25" s="13">
        <f>IF('Données projet'!$A$140&gt;35,CT24+CS25-DB24,IF(A25&lt;'Données projet'!$A$140,$CQ$205^A25,IF(A25='Données projet'!$A$140,'Données projet'!$B$140,CT24+CS25-DB24)))</f>
        <v>95.59999999999998</v>
      </c>
      <c r="CU25" s="18">
        <f>CT25*VLOOKUP('Données projet'!$B$13,Paramètres!$A$1:$I$89,3,0)*VLOOKUP('Données projet'!$B$13,Paramètres!$A$1:$I$89,5,0)</f>
        <v>70.093919999999983</v>
      </c>
      <c r="CV25" s="14">
        <f t="shared" si="41"/>
        <v>19.696779397153016</v>
      </c>
      <c r="CW25" s="22">
        <f t="shared" si="13"/>
        <v>156.3854681167081</v>
      </c>
      <c r="CX25" s="62">
        <f t="shared" si="14"/>
        <v>439.94102367226367</v>
      </c>
      <c r="CY25" s="62">
        <f ca="1">AVERAGE(OFFSET($CX$3,0,0,'Données projet'!$E$13+1,1))-AVERAGE(OFFSET($H$3,0,0,'Données projet'!$E$13+1,1))</f>
        <v>327.81662150328646</v>
      </c>
      <c r="CZ25" s="62">
        <f t="shared" si="42"/>
        <v>320.24200483294322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2.3449541105717717</v>
      </c>
      <c r="DG25" s="23">
        <f>EXP(-LN(2)/25)*DG24+(1-EXP(-LN(2)/25))/(LN(2)/25)*Calculateur!DB25*Calculateur!DD25*VLOOKUP('Données projet'!$B$13,Paramètres!$A$1:$I$89,3,0)*0.475*44/12</f>
        <v>0</v>
      </c>
      <c r="DH25" s="23">
        <f>EXP(-LN(2)/2)*DH24+(1-EXP(-LN(2)/2))/(LN(2)/2)*DB25*DE25*VLOOKUP('Données projet'!$B$13,Paramètres!$A$1:$I$89,3,0)*0.475*44/12</f>
        <v>0</v>
      </c>
      <c r="DI25" s="24">
        <f t="shared" si="15"/>
        <v>2.3449541105717717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6.4</v>
      </c>
      <c r="DO25" s="13">
        <f>IF('Données projet'!$A$166&gt;35,DO24+DN25-DW24,IF(A25&lt;'Données projet'!$A$166,$DL$205^A25,IF(A25='Données projet'!$A$166,'Données projet'!$B$166,DO24+DN25-DW24)))</f>
        <v>78.800000000000011</v>
      </c>
      <c r="DP25" s="18">
        <f>DO25*VLOOKUP('Données projet'!$B$14,Paramètres!$A$1:$I$89,3,0)*VLOOKUP('Données projet'!$B$14,Paramètres!$A$1:$I$89,5,0)</f>
        <v>51.629760000000005</v>
      </c>
      <c r="DQ25" s="14">
        <f t="shared" si="43"/>
        <v>15.033863361350585</v>
      </c>
      <c r="DR25" s="22">
        <f t="shared" si="16"/>
        <v>116.1058106876856</v>
      </c>
      <c r="DS25" s="62">
        <f t="shared" si="17"/>
        <v>399.66136624324116</v>
      </c>
      <c r="DT25" s="62">
        <f ca="1">AVERAGE(OFFSET($DS$3,0,0,'Données projet'!$E$14+1,1))-AVERAGE(OFFSET($H$3,0,0,'Données projet'!$E$14+1,1))</f>
        <v>210.08998695869161</v>
      </c>
      <c r="DU25" s="62">
        <f t="shared" si="44"/>
        <v>207.30911916430881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>
        <f>EXP(-LN(2)/35)*EA24+(1-EXP(-LN(2)/35))/(LN(2)/35)*DW25*DX25*VLOOKUP('Données projet'!$B$14,Paramètres!$A$1:$I$89,3,0)*0.475*44/12</f>
        <v>0.53884051902500285</v>
      </c>
      <c r="EB25" s="23">
        <f>EXP(-LN(2)/25)*EB24+(1-EXP(-LN(2)/25))/(LN(2)/25)*Calculateur!DW25*Calculateur!DY25*VLOOKUP('Données projet'!$B$14,Paramètres!$A$1:$I$89,3,0)*0.475*44/12</f>
        <v>0</v>
      </c>
      <c r="EC25" s="23">
        <f>EXP(-LN(2)/2)*EC24+(1-EXP(-LN(2)/2))/(LN(2)/2)*DW25*DZ25*VLOOKUP('Données projet'!$B$14,Paramètres!$A$1:$I$89,3,0)*0.475*44/12</f>
        <v>0</v>
      </c>
      <c r="ED25" s="24">
        <f t="shared" si="18"/>
        <v>0.53884051902500285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10.6</v>
      </c>
      <c r="EJ25" s="13">
        <f>IF('Données projet'!$A$192&gt;35,EJ24+EI25-ER24,IF(A25&lt;'Données projet'!$A$192,$EG$205^A25,IF(A25='Données projet'!$A$192,'Données projet'!$B$192,EJ24+EI25-ER24)))</f>
        <v>81.199999999999974</v>
      </c>
      <c r="EK25" s="18">
        <f>EJ25*VLOOKUP('Données projet'!$B$15,Paramètres!$A$1:$I$89,3,0)*VLOOKUP('Données projet'!$B$15,Paramètres!$A$1:$I$89,5,0)</f>
        <v>63.335999999999984</v>
      </c>
      <c r="EL25" s="14">
        <f t="shared" si="45"/>
        <v>18.009040022946227</v>
      </c>
      <c r="EM25" s="22">
        <f t="shared" si="19"/>
        <v>141.67594470663133</v>
      </c>
      <c r="EN25" s="62">
        <f t="shared" si="20"/>
        <v>425.23150026218684</v>
      </c>
      <c r="EO25" s="62">
        <f ca="1">AVERAGE(OFFSET($EN$3,0,0,'Données projet'!$E$15+1,1))-AVERAGE(OFFSET($H$3,0,0,'Données projet'!$E$15+1,1))</f>
        <v>288.82868507674738</v>
      </c>
      <c r="EP25" s="62">
        <f t="shared" si="46"/>
        <v>283.48738729114024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>
        <f>EXP(-LN(2)/35)*EV24+(1-EXP(-LN(2)/35))/(LN(2)/35)*ER25*ES25*VLOOKUP('Données projet'!$B$15,Paramètres!$A$1:$I$89,3,0)*0.475*44/12</f>
        <v>0</v>
      </c>
      <c r="EW25" s="23">
        <f>EXP(-LN(2)/25)*EW24+(1-EXP(-LN(2)/25))/(LN(2)/25)*Calculateur!ER25*Calculateur!ET25*VLOOKUP('Données projet'!$B$15,Paramètres!$A$1:$I$89,3,0)*0.475*44/12</f>
        <v>0</v>
      </c>
      <c r="EX25" s="23">
        <f>EXP(-LN(2)/2)*EX24+(1-EXP(-LN(2)/2))/(LN(2)/2)*ER25*EU25*VLOOKUP('Données projet'!$B$15,Paramètres!$A$1:$I$89,3,0)*0.475*44/12</f>
        <v>0</v>
      </c>
      <c r="EY25" s="24">
        <f t="shared" si="21"/>
        <v>0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6.5</v>
      </c>
      <c r="N26" s="14">
        <f>IF('Données projet'!$A$36&gt;35,N25+M26-V25,IF(A26&lt;'Données projet'!$A$36,$K$205^A26,IF(A26='Données projet'!$A$36,'Données projet'!$B$36,N25+M26-V25)))</f>
        <v>56.976163428110333</v>
      </c>
      <c r="O26" s="14">
        <f>N26*VLOOKUP('Données projet'!$B$9,Paramètres!$A$1:$I$89,3,0)*VLOOKUP('Données projet'!$B$9,Paramètres!$A$1:$I$89,5,0)</f>
        <v>26.664844484355637</v>
      </c>
      <c r="P26" s="14">
        <f t="shared" si="33"/>
        <v>8.3851688821551527</v>
      </c>
      <c r="Q26" s="22">
        <f t="shared" si="2"/>
        <v>61.045439946672957</v>
      </c>
      <c r="R26" s="62">
        <f t="shared" si="0"/>
        <v>345.82321772445073</v>
      </c>
      <c r="S26" s="62">
        <f ca="1">AVERAGE(OFFSET($R$3,0,0,'Données projet'!$E$9+1,1))-AVERAGE(OFFSET($H$3,0,0,'Données projet'!$E$9+1,1))</f>
        <v>317.54276561627643</v>
      </c>
      <c r="T26" s="62">
        <f t="shared" si="34"/>
        <v>238.92443174298893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12.2</v>
      </c>
      <c r="AI26" s="14">
        <f>IF('Données projet'!$A$62&gt;35,AI25+AH26-AQ25,IF(A26&lt;'Données projet'!$A$62,$AF$205^A26,IF(A26='Données projet'!$A$62,'Données projet'!$B$62,AI25+AH26-AQ25)))</f>
        <v>118.6</v>
      </c>
      <c r="AJ26" s="14">
        <f>AI26*VLOOKUP('Données projet'!$B$10,Paramètres!$A$1:$I$89,3,0)*VLOOKUP('Données projet'!$B$10,Paramètres!$A$1:$I$89,5,0)</f>
        <v>103.60896</v>
      </c>
      <c r="AK26" s="14">
        <f t="shared" si="35"/>
        <v>27.820000397643376</v>
      </c>
      <c r="AL26" s="22">
        <f t="shared" si="4"/>
        <v>228.90543935922889</v>
      </c>
      <c r="AM26" s="62">
        <f t="shared" si="5"/>
        <v>513.68321713700664</v>
      </c>
      <c r="AN26" s="62">
        <f ca="1">AVERAGE(OFFSET($AM$3,0,0,'Données projet'!$E$10+1,1))-AVERAGE(OFFSET($H$3,0,0,'Données projet'!$E$10+1,1))</f>
        <v>327.826081588335</v>
      </c>
      <c r="AO26" s="62">
        <f t="shared" si="36"/>
        <v>348.84706693879735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7.2</v>
      </c>
      <c r="BD26" s="13">
        <f>IF('Données projet'!$A$88&gt;35,BD25+BC26-BL25,IF(A26&lt;'Données projet'!$A$88,$BA$205^A26,IF(A26='Données projet'!$A$88,'Données projet'!$B$88,BD25+BC26-BL25)))</f>
        <v>88.600000000000009</v>
      </c>
      <c r="BE26" s="14">
        <f>BD26*VLOOKUP('Données projet'!$B$11,Paramètres!$A$1:$I$89,3,0)*VLOOKUP('Données projet'!$B$11,Paramètres!$A$1:$I$89,5,0)</f>
        <v>89.840400000000017</v>
      </c>
      <c r="BF26" s="14">
        <f t="shared" si="37"/>
        <v>24.526729341796202</v>
      </c>
      <c r="BG26" s="22">
        <f t="shared" si="7"/>
        <v>199.18941693696172</v>
      </c>
      <c r="BH26" s="62">
        <f t="shared" si="8"/>
        <v>483.96719471473949</v>
      </c>
      <c r="BI26" s="62">
        <f ca="1">AVERAGE(OFFSET($BH$3,0,0,'Données projet'!$E$11+1,1))-AVERAGE(OFFSET($H$3,0,0,'Données projet'!$E$11+1,1))</f>
        <v>487.04124684635974</v>
      </c>
      <c r="BJ26" s="62">
        <f t="shared" si="38"/>
        <v>306.61893266146666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7.2</v>
      </c>
      <c r="BY26" s="13">
        <f>IF('Données projet'!$A$114&gt;35,BY25+BX26-CG25,IF(A26&lt;'Données projet'!$A$114,$BV$205^A26,IF(A26='Données projet'!$A$114,'Données projet'!$B$114,BY25+BX26-CG25)))</f>
        <v>88.600000000000009</v>
      </c>
      <c r="BZ26" s="14">
        <f>BY26*VLOOKUP('Données projet'!$B$12,Paramètres!$A$1:$I$89,3,0)*VLOOKUP('Données projet'!$B$12,Paramètres!$A$1:$I$89,5,0)</f>
        <v>80.165279999999996</v>
      </c>
      <c r="CA26" s="14">
        <f t="shared" si="39"/>
        <v>22.177591092468788</v>
      </c>
      <c r="CB26" s="22">
        <f t="shared" si="10"/>
        <v>178.24716715271646</v>
      </c>
      <c r="CC26" s="62">
        <f t="shared" si="11"/>
        <v>463.02494493049426</v>
      </c>
      <c r="CD26" s="62">
        <f ca="1">AVERAGE(OFFSET($CC$3,0,0,'Données projet'!$E$12+1,1))-AVERAGE(OFFSET($H$3,0,0,'Données projet'!$E$12+1,1))</f>
        <v>439.06700232017681</v>
      </c>
      <c r="CE26" s="62">
        <f t="shared" si="40"/>
        <v>278.21741231699929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14.8</v>
      </c>
      <c r="CT26" s="13">
        <f>IF('Données projet'!$A$140&gt;35,CT25+CS26-DB25,IF(A26&lt;'Données projet'!$A$140,$CQ$205^A26,IF(A26='Données projet'!$A$140,'Données projet'!$B$140,CT25+CS26-DB25)))</f>
        <v>110.39999999999998</v>
      </c>
      <c r="CU26" s="18">
        <f>CT26*VLOOKUP('Données projet'!$B$13,Paramètres!$A$1:$I$89,3,0)*VLOOKUP('Données projet'!$B$13,Paramètres!$A$1:$I$89,5,0)</f>
        <v>80.945279999999983</v>
      </c>
      <c r="CV26" s="14">
        <f t="shared" si="41"/>
        <v>22.368151754215862</v>
      </c>
      <c r="CW26" s="22">
        <f t="shared" si="13"/>
        <v>179.93756030525927</v>
      </c>
      <c r="CX26" s="62">
        <f t="shared" si="14"/>
        <v>464.71533808303707</v>
      </c>
      <c r="CY26" s="62">
        <f ca="1">AVERAGE(OFFSET($CX$3,0,0,'Données projet'!$E$13+1,1))-AVERAGE(OFFSET($H$3,0,0,'Données projet'!$E$13+1,1))</f>
        <v>327.81662150328646</v>
      </c>
      <c r="CZ26" s="62">
        <f t="shared" si="42"/>
        <v>320.24200483294322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2.2989709907442384</v>
      </c>
      <c r="DG26" s="23">
        <f>EXP(-LN(2)/25)*DG25+(1-EXP(-LN(2)/25))/(LN(2)/25)*Calculateur!DB26*Calculateur!DD26*VLOOKUP('Données projet'!$B$13,Paramètres!$A$1:$I$89,3,0)*0.475*44/12</f>
        <v>0</v>
      </c>
      <c r="DH26" s="23">
        <f>EXP(-LN(2)/2)*DH25+(1-EXP(-LN(2)/2))/(LN(2)/2)*DB26*DE26*VLOOKUP('Données projet'!$B$13,Paramètres!$A$1:$I$89,3,0)*0.475*44/12</f>
        <v>0</v>
      </c>
      <c r="DI26" s="24">
        <f t="shared" si="15"/>
        <v>2.2989709907442384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6.4</v>
      </c>
      <c r="DO26" s="13">
        <f>IF('Données projet'!$A$166&gt;35,DO25+DN26-DW25,IF(A26&lt;'Données projet'!$A$166,$DL$205^A26,IF(A26='Données projet'!$A$166,'Données projet'!$B$166,DO25+DN26-DW25)))</f>
        <v>85.200000000000017</v>
      </c>
      <c r="DP26" s="18">
        <f>DO26*VLOOKUP('Données projet'!$B$14,Paramètres!$A$1:$I$89,3,0)*VLOOKUP('Données projet'!$B$14,Paramètres!$A$1:$I$89,5,0)</f>
        <v>55.823040000000013</v>
      </c>
      <c r="DQ26" s="14">
        <f t="shared" si="43"/>
        <v>16.107808541294514</v>
      </c>
      <c r="DR26" s="22">
        <f t="shared" si="16"/>
        <v>125.27956120942127</v>
      </c>
      <c r="DS26" s="62">
        <f t="shared" si="17"/>
        <v>410.05733898719905</v>
      </c>
      <c r="DT26" s="62">
        <f ca="1">AVERAGE(OFFSET($DS$3,0,0,'Données projet'!$E$14+1,1))-AVERAGE(OFFSET($H$3,0,0,'Données projet'!$E$14+1,1))</f>
        <v>210.08998695869161</v>
      </c>
      <c r="DU26" s="62">
        <f t="shared" si="44"/>
        <v>207.30911916430881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>
        <f>EXP(-LN(2)/35)*EA25+(1-EXP(-LN(2)/35))/(LN(2)/35)*DW26*DX26*VLOOKUP('Données projet'!$B$14,Paramètres!$A$1:$I$89,3,0)*0.475*44/12</f>
        <v>0.5282741851071866</v>
      </c>
      <c r="EB26" s="23">
        <f>EXP(-LN(2)/25)*EB25+(1-EXP(-LN(2)/25))/(LN(2)/25)*Calculateur!DW26*Calculateur!DY26*VLOOKUP('Données projet'!$B$14,Paramètres!$A$1:$I$89,3,0)*0.475*44/12</f>
        <v>0</v>
      </c>
      <c r="EC26" s="23">
        <f>EXP(-LN(2)/2)*EC25+(1-EXP(-LN(2)/2))/(LN(2)/2)*DW26*DZ26*VLOOKUP('Données projet'!$B$14,Paramètres!$A$1:$I$89,3,0)*0.475*44/12</f>
        <v>0</v>
      </c>
      <c r="ED26" s="24">
        <f t="shared" si="18"/>
        <v>0.5282741851071866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10.6</v>
      </c>
      <c r="EJ26" s="13">
        <f>IF('Données projet'!$A$192&gt;35,EJ25+EI26-ER25,IF(A26&lt;'Données projet'!$A$192,$EG$205^A26,IF(A26='Données projet'!$A$192,'Données projet'!$B$192,EJ25+EI26-ER25)))</f>
        <v>91.799999999999969</v>
      </c>
      <c r="EK26" s="18">
        <f>EJ26*VLOOKUP('Données projet'!$B$15,Paramètres!$A$1:$I$89,3,0)*VLOOKUP('Données projet'!$B$15,Paramètres!$A$1:$I$89,5,0)</f>
        <v>71.603999999999985</v>
      </c>
      <c r="EL26" s="14">
        <f t="shared" si="45"/>
        <v>20.071260561992585</v>
      </c>
      <c r="EM26" s="22">
        <f t="shared" si="19"/>
        <v>159.66774547880371</v>
      </c>
      <c r="EN26" s="62">
        <f t="shared" si="20"/>
        <v>444.44552325658151</v>
      </c>
      <c r="EO26" s="62">
        <f ca="1">AVERAGE(OFFSET($EN$3,0,0,'Données projet'!$E$15+1,1))-AVERAGE(OFFSET($H$3,0,0,'Données projet'!$E$15+1,1))</f>
        <v>288.82868507674738</v>
      </c>
      <c r="EP26" s="62">
        <f t="shared" si="46"/>
        <v>283.48738729114024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>
        <f>EXP(-LN(2)/35)*EV25+(1-EXP(-LN(2)/35))/(LN(2)/35)*ER26*ES26*VLOOKUP('Données projet'!$B$15,Paramètres!$A$1:$I$89,3,0)*0.475*44/12</f>
        <v>0</v>
      </c>
      <c r="EW26" s="23">
        <f>EXP(-LN(2)/25)*EW25+(1-EXP(-LN(2)/25))/(LN(2)/25)*Calculateur!ER26*Calculateur!ET26*VLOOKUP('Données projet'!$B$15,Paramètres!$A$1:$I$89,3,0)*0.475*44/12</f>
        <v>0</v>
      </c>
      <c r="EX26" s="23">
        <f>EXP(-LN(2)/2)*EX25+(1-EXP(-LN(2)/2))/(LN(2)/2)*ER26*EU26*VLOOKUP('Données projet'!$B$15,Paramètres!$A$1:$I$89,3,0)*0.475*44/12</f>
        <v>0</v>
      </c>
      <c r="EY26" s="24">
        <f t="shared" si="21"/>
        <v>0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6.5</v>
      </c>
      <c r="N27" s="14">
        <f>IF('Données projet'!$A$36&gt;35,N26+M27-V26,IF(A27&lt;'Données projet'!$A$36,$K$205^A27,IF(A27='Données projet'!$A$36,'Données projet'!$B$36,N26+M27-V26)))</f>
        <v>67.924693763448758</v>
      </c>
      <c r="O27" s="14">
        <f>N27*VLOOKUP('Données projet'!$B$9,Paramètres!$A$1:$I$89,3,0)*VLOOKUP('Données projet'!$B$9,Paramètres!$A$1:$I$89,5,0)</f>
        <v>31.788756681294021</v>
      </c>
      <c r="P27" s="14">
        <f t="shared" si="33"/>
        <v>9.7940195531688623</v>
      </c>
      <c r="Q27" s="22">
        <f t="shared" si="2"/>
        <v>72.423335275022851</v>
      </c>
      <c r="R27" s="62">
        <f t="shared" si="0"/>
        <v>358.42333527502285</v>
      </c>
      <c r="S27" s="62">
        <f ca="1">AVERAGE(OFFSET($R$3,0,0,'Données projet'!$E$9+1,1))-AVERAGE(OFFSET($H$3,0,0,'Données projet'!$E$9+1,1))</f>
        <v>317.54276561627643</v>
      </c>
      <c r="T27" s="62">
        <f t="shared" si="34"/>
        <v>238.92443174298893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12.2</v>
      </c>
      <c r="AI27" s="14">
        <f>IF('Données projet'!$A$62&gt;35,AI26+AH27-AQ26,IF(A27&lt;'Données projet'!$A$62,$AF$205^A27,IF(A27='Données projet'!$A$62,'Données projet'!$B$62,AI26+AH27-AQ26)))</f>
        <v>130.79999999999998</v>
      </c>
      <c r="AJ27" s="14">
        <f>AI27*VLOOKUP('Données projet'!$B$10,Paramètres!$A$1:$I$89,3,0)*VLOOKUP('Données projet'!$B$10,Paramètres!$A$1:$I$89,5,0)</f>
        <v>114.26687999999999</v>
      </c>
      <c r="AK27" s="14">
        <f t="shared" si="35"/>
        <v>30.334057329879929</v>
      </c>
      <c r="AL27" s="22">
        <f t="shared" si="4"/>
        <v>251.84663251620748</v>
      </c>
      <c r="AM27" s="62">
        <f t="shared" si="5"/>
        <v>537.84663251620748</v>
      </c>
      <c r="AN27" s="62">
        <f ca="1">AVERAGE(OFFSET($AM$3,0,0,'Données projet'!$E$10+1,1))-AVERAGE(OFFSET($H$3,0,0,'Données projet'!$E$10+1,1))</f>
        <v>327.826081588335</v>
      </c>
      <c r="AO27" s="62">
        <f t="shared" si="36"/>
        <v>348.84706693879735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7.2</v>
      </c>
      <c r="BD27" s="13">
        <f>IF('Données projet'!$A$88&gt;35,BD26+BC27-BL26,IF(A27&lt;'Données projet'!$A$88,$BA$205^A27,IF(A27='Données projet'!$A$88,'Données projet'!$B$88,BD26+BC27-BL26)))</f>
        <v>95.800000000000011</v>
      </c>
      <c r="BE27" s="14">
        <f>BD27*VLOOKUP('Données projet'!$B$11,Paramètres!$A$1:$I$89,3,0)*VLOOKUP('Données projet'!$B$11,Paramètres!$A$1:$I$89,5,0)</f>
        <v>97.141200000000026</v>
      </c>
      <c r="BF27" s="14">
        <f t="shared" si="37"/>
        <v>26.279782450761708</v>
      </c>
      <c r="BG27" s="22">
        <f t="shared" si="7"/>
        <v>214.95821110174333</v>
      </c>
      <c r="BH27" s="62">
        <f t="shared" si="8"/>
        <v>500.95821110174336</v>
      </c>
      <c r="BI27" s="62">
        <f ca="1">AVERAGE(OFFSET($BH$3,0,0,'Données projet'!$E$11+1,1))-AVERAGE(OFFSET($H$3,0,0,'Données projet'!$E$11+1,1))</f>
        <v>487.04124684635974</v>
      </c>
      <c r="BJ27" s="62">
        <f t="shared" si="38"/>
        <v>306.61893266146666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7.2</v>
      </c>
      <c r="BY27" s="13">
        <f>IF('Données projet'!$A$114&gt;35,BY26+BX27-CG26,IF(A27&lt;'Données projet'!$A$114,$BV$205^A27,IF(A27='Données projet'!$A$114,'Données projet'!$B$114,BY26+BX27-CG26)))</f>
        <v>95.800000000000011</v>
      </c>
      <c r="BZ27" s="14">
        <f>BY27*VLOOKUP('Données projet'!$B$12,Paramètres!$A$1:$I$89,3,0)*VLOOKUP('Données projet'!$B$12,Paramètres!$A$1:$I$89,5,0)</f>
        <v>86.679839999999999</v>
      </c>
      <c r="CA27" s="14">
        <f t="shared" si="39"/>
        <v>23.762739053789723</v>
      </c>
      <c r="CB27" s="22">
        <f t="shared" si="10"/>
        <v>192.35415851868379</v>
      </c>
      <c r="CC27" s="62">
        <f t="shared" si="11"/>
        <v>478.35415851868379</v>
      </c>
      <c r="CD27" s="62">
        <f ca="1">AVERAGE(OFFSET($CC$3,0,0,'Données projet'!$E$12+1,1))-AVERAGE(OFFSET($H$3,0,0,'Données projet'!$E$12+1,1))</f>
        <v>439.06700232017681</v>
      </c>
      <c r="CE27" s="62">
        <f t="shared" si="40"/>
        <v>278.21741231699929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14.8</v>
      </c>
      <c r="CT27" s="13">
        <f>IF('Données projet'!$A$140&gt;35,CT26+CS27-DB26,IF(A27&lt;'Données projet'!$A$140,$CQ$205^A27,IF(A27='Données projet'!$A$140,'Données projet'!$B$140,CT26+CS27-DB26)))</f>
        <v>125.19999999999997</v>
      </c>
      <c r="CU27" s="18">
        <f>CT27*VLOOKUP('Données projet'!$B$13,Paramètres!$A$1:$I$89,3,0)*VLOOKUP('Données projet'!$B$13,Paramètres!$A$1:$I$89,5,0)</f>
        <v>91.796639999999982</v>
      </c>
      <c r="CV27" s="14">
        <f t="shared" si="41"/>
        <v>24.99803157268865</v>
      </c>
      <c r="CW27" s="22">
        <f t="shared" si="13"/>
        <v>203.41738632243269</v>
      </c>
      <c r="CX27" s="62">
        <f t="shared" si="14"/>
        <v>489.41738632243266</v>
      </c>
      <c r="CY27" s="62">
        <f ca="1">AVERAGE(OFFSET($CX$3,0,0,'Données projet'!$E$13+1,1))-AVERAGE(OFFSET($H$3,0,0,'Données projet'!$E$13+1,1))</f>
        <v>327.81662150328646</v>
      </c>
      <c r="CZ27" s="62">
        <f t="shared" si="42"/>
        <v>320.24200483294322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2.253889571849589</v>
      </c>
      <c r="DG27" s="23">
        <f>EXP(-LN(2)/25)*DG26+(1-EXP(-LN(2)/25))/(LN(2)/25)*Calculateur!DB27*Calculateur!DD27*VLOOKUP('Données projet'!$B$13,Paramètres!$A$1:$I$89,3,0)*0.475*44/12</f>
        <v>0</v>
      </c>
      <c r="DH27" s="23">
        <f>EXP(-LN(2)/2)*DH26+(1-EXP(-LN(2)/2))/(LN(2)/2)*DB27*DE27*VLOOKUP('Données projet'!$B$13,Paramètres!$A$1:$I$89,3,0)*0.475*44/12</f>
        <v>0</v>
      </c>
      <c r="DI27" s="24">
        <f t="shared" si="15"/>
        <v>2.253889571849589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6.4</v>
      </c>
      <c r="DO27" s="13">
        <f>IF('Données projet'!$A$166&gt;35,DO26+DN27-DW26,IF(A27&lt;'Données projet'!$A$166,$DL$205^A27,IF(A27='Données projet'!$A$166,'Données projet'!$B$166,DO26+DN27-DW26)))</f>
        <v>91.600000000000023</v>
      </c>
      <c r="DP27" s="18">
        <f>DO27*VLOOKUP('Données projet'!$B$14,Paramètres!$A$1:$I$89,3,0)*VLOOKUP('Données projet'!$B$14,Paramètres!$A$1:$I$89,5,0)</f>
        <v>60.016320000000015</v>
      </c>
      <c r="DQ27" s="14">
        <f t="shared" si="43"/>
        <v>17.172395155224251</v>
      </c>
      <c r="DR27" s="22">
        <f t="shared" si="16"/>
        <v>134.43701222868222</v>
      </c>
      <c r="DS27" s="62">
        <f t="shared" si="17"/>
        <v>420.43701222868219</v>
      </c>
      <c r="DT27" s="62">
        <f ca="1">AVERAGE(OFFSET($DS$3,0,0,'Données projet'!$E$14+1,1))-AVERAGE(OFFSET($H$3,0,0,'Données projet'!$E$14+1,1))</f>
        <v>210.08998695869161</v>
      </c>
      <c r="DU27" s="62">
        <f t="shared" si="44"/>
        <v>207.30911916430881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>
        <f>EXP(-LN(2)/35)*EA26+(1-EXP(-LN(2)/35))/(LN(2)/35)*DW27*DX27*VLOOKUP('Données projet'!$B$14,Paramètres!$A$1:$I$89,3,0)*0.475*44/12</f>
        <v>0.51791505055267151</v>
      </c>
      <c r="EB27" s="23">
        <f>EXP(-LN(2)/25)*EB26+(1-EXP(-LN(2)/25))/(LN(2)/25)*Calculateur!DW27*Calculateur!DY27*VLOOKUP('Données projet'!$B$14,Paramètres!$A$1:$I$89,3,0)*0.475*44/12</f>
        <v>0</v>
      </c>
      <c r="EC27" s="23">
        <f>EXP(-LN(2)/2)*EC26+(1-EXP(-LN(2)/2))/(LN(2)/2)*DW27*DZ27*VLOOKUP('Données projet'!$B$14,Paramètres!$A$1:$I$89,3,0)*0.475*44/12</f>
        <v>0</v>
      </c>
      <c r="ED27" s="24">
        <f t="shared" si="18"/>
        <v>0.51791505055267151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10.6</v>
      </c>
      <c r="EJ27" s="13">
        <f>IF('Données projet'!$A$192&gt;35,EJ26+EI27-ER26,IF(A27&lt;'Données projet'!$A$192,$EG$205^A27,IF(A27='Données projet'!$A$192,'Données projet'!$B$192,EJ26+EI27-ER26)))</f>
        <v>102.39999999999996</v>
      </c>
      <c r="EK27" s="18">
        <f>EJ27*VLOOKUP('Données projet'!$B$15,Paramètres!$A$1:$I$89,3,0)*VLOOKUP('Données projet'!$B$15,Paramètres!$A$1:$I$89,5,0)</f>
        <v>79.871999999999971</v>
      </c>
      <c r="EL27" s="14">
        <f t="shared" si="45"/>
        <v>22.105884547145401</v>
      </c>
      <c r="EM27" s="22">
        <f t="shared" si="19"/>
        <v>177.61148225294485</v>
      </c>
      <c r="EN27" s="62">
        <f t="shared" si="20"/>
        <v>463.61148225294482</v>
      </c>
      <c r="EO27" s="62">
        <f ca="1">AVERAGE(OFFSET($EN$3,0,0,'Données projet'!$E$15+1,1))-AVERAGE(OFFSET($H$3,0,0,'Données projet'!$E$15+1,1))</f>
        <v>288.82868507674738</v>
      </c>
      <c r="EP27" s="62">
        <f t="shared" si="46"/>
        <v>283.48738729114024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>
        <f>EXP(-LN(2)/35)*EV26+(1-EXP(-LN(2)/35))/(LN(2)/35)*ER27*ES27*VLOOKUP('Données projet'!$B$15,Paramètres!$A$1:$I$89,3,0)*0.475*44/12</f>
        <v>0</v>
      </c>
      <c r="EW27" s="23">
        <f>EXP(-LN(2)/25)*EW26+(1-EXP(-LN(2)/25))/(LN(2)/25)*Calculateur!ER27*Calculateur!ET27*VLOOKUP('Données projet'!$B$15,Paramètres!$A$1:$I$89,3,0)*0.475*44/12</f>
        <v>0</v>
      </c>
      <c r="EX27" s="23">
        <f>EXP(-LN(2)/2)*EX26+(1-EXP(-LN(2)/2))/(LN(2)/2)*ER27*EU27*VLOOKUP('Données projet'!$B$15,Paramètres!$A$1:$I$89,3,0)*0.475*44/12</f>
        <v>0</v>
      </c>
      <c r="EY27" s="24">
        <f t="shared" si="21"/>
        <v>0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6.5</v>
      </c>
      <c r="N28" s="14">
        <f>IF('Données projet'!$A$36&gt;35,N27+M28-V27,IF(A28&lt;'Données projet'!$A$36,$K$205^A28,IF(A28='Données projet'!$A$36,'Données projet'!$B$36,N27+M28-V27)))</f>
        <v>80.977091914581294</v>
      </c>
      <c r="O28" s="14">
        <f>N28*VLOOKUP('Données projet'!$B$9,Paramètres!$A$1:$I$89,3,0)*VLOOKUP('Données projet'!$B$9,Paramètres!$A$1:$I$89,5,0)</f>
        <v>37.897279016024044</v>
      </c>
      <c r="P28" s="14">
        <f t="shared" si="33"/>
        <v>11.43958104552808</v>
      </c>
      <c r="Q28" s="22">
        <f t="shared" si="2"/>
        <v>85.928364607203278</v>
      </c>
      <c r="R28" s="62">
        <f t="shared" si="0"/>
        <v>373.15058682942549</v>
      </c>
      <c r="S28" s="62">
        <f ca="1">AVERAGE(OFFSET($R$3,0,0,'Données projet'!$E$9+1,1))-AVERAGE(OFFSET($H$3,0,0,'Données projet'!$E$9+1,1))</f>
        <v>317.54276561627643</v>
      </c>
      <c r="T28" s="62">
        <f t="shared" si="34"/>
        <v>238.92443174298893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143</v>
      </c>
      <c r="AG28" s="13">
        <f>VLOOKUP(A28,'Données projet'!$A$61:$I$81,9,0)</f>
        <v>12.2</v>
      </c>
      <c r="AH28" s="13">
        <f t="array" ref="AH28">INDEX(AG:AG,MIN(IF(ISNUMBER(AG28:AG224),ROW(AG28:AG224),"")))</f>
        <v>12.2</v>
      </c>
      <c r="AI28" s="14">
        <f>IF('Données projet'!$A$62&gt;35,AI27+AH28-AQ27,IF(A28&lt;'Données projet'!$A$62,$AF$205^A28,IF(A28='Données projet'!$A$62,'Données projet'!$B$62,AI27+AH28-AQ27)))</f>
        <v>142.99999999999997</v>
      </c>
      <c r="AJ28" s="14">
        <f>AI28*VLOOKUP('Données projet'!$B$10,Paramètres!$A$1:$I$89,3,0)*VLOOKUP('Données projet'!$B$10,Paramètres!$A$1:$I$89,5,0)</f>
        <v>124.9248</v>
      </c>
      <c r="AK28" s="14">
        <f t="shared" si="35"/>
        <v>32.820925500842712</v>
      </c>
      <c r="AL28" s="22">
        <f t="shared" si="4"/>
        <v>274.74047191396772</v>
      </c>
      <c r="AM28" s="62">
        <f t="shared" si="5"/>
        <v>561.96269413618995</v>
      </c>
      <c r="AN28" s="62">
        <f ca="1">AVERAGE(OFFSET($AM$3,0,0,'Données projet'!$E$10+1,1))-AVERAGE(OFFSET($H$3,0,0,'Données projet'!$E$10+1,1))</f>
        <v>327.826081588335</v>
      </c>
      <c r="AO28" s="62">
        <f t="shared" si="36"/>
        <v>348.84706693879735</v>
      </c>
      <c r="AP28" s="16">
        <f>IF(ISNA(VLOOKUP(A28,'Données projet'!$A$61:$I$81,3,0)),0,VLOOKUP(A28,'Données projet'!$A$61:$I$81,3,0))</f>
        <v>2</v>
      </c>
      <c r="AQ28" s="16">
        <f>IF(ISNA(VLOOKUP(A28,'Données projet'!$A$61:$I$81,4,0)),0,VLOOKUP(A28,'Données projet'!$A$61:$I$81,4,0))</f>
        <v>37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0.34400000000000003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12.243527026680789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12.243527026680789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103</v>
      </c>
      <c r="BB28" s="13">
        <f>VLOOKUP(A28,'Données projet'!$A$87:$I$107,9,0)</f>
        <v>7.2</v>
      </c>
      <c r="BC28" s="13">
        <f t="array" ref="BC28">INDEX(BB:BB,MIN(IF(ISNUMBER(BB28:BB224),ROW(BB28:BB224),"")))</f>
        <v>7.2</v>
      </c>
      <c r="BD28" s="13">
        <f>IF('Données projet'!$A$88&gt;35,BD27+BC28-BL27,IF(A28&lt;'Données projet'!$A$88,$BA$205^A28,IF(A28='Données projet'!$A$88,'Données projet'!$B$88,BD27+BC28-BL27)))</f>
        <v>103.00000000000001</v>
      </c>
      <c r="BE28" s="14">
        <f>BD28*VLOOKUP('Données projet'!$B$11,Paramètres!$A$1:$I$89,3,0)*VLOOKUP('Données projet'!$B$11,Paramètres!$A$1:$I$89,5,0)</f>
        <v>104.44200000000004</v>
      </c>
      <c r="BF28" s="14">
        <f t="shared" si="37"/>
        <v>28.01755116176631</v>
      </c>
      <c r="BG28" s="22">
        <f t="shared" si="7"/>
        <v>230.70038494007636</v>
      </c>
      <c r="BH28" s="62">
        <f t="shared" si="8"/>
        <v>517.92260716229862</v>
      </c>
      <c r="BI28" s="62">
        <f ca="1">AVERAGE(OFFSET($BH$3,0,0,'Données projet'!$E$11+1,1))-AVERAGE(OFFSET($H$3,0,0,'Données projet'!$E$11+1,1))</f>
        <v>487.04124684635974</v>
      </c>
      <c r="BJ28" s="62">
        <f t="shared" si="38"/>
        <v>306.61893266146666</v>
      </c>
      <c r="BK28" s="16">
        <f>IF(ISNA(VLOOKUP(A28,'Données projet'!$A$87:$I$107,3,0)),0,VLOOKUP(A28,'Données projet'!$A$87:$I$107,3,0))</f>
        <v>2</v>
      </c>
      <c r="BL28" s="16">
        <f>IF(ISNA(VLOOKUP(A28,'Données projet'!$A$87:$I$107,4,0)),0,VLOOKUP(A28,'Données projet'!$A$87:$I$107,4,0))</f>
        <v>28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>
        <f>VLOOKUP(A28,'Données projet'!$A$113:$I$133,2,0)</f>
        <v>103</v>
      </c>
      <c r="BW28" s="13">
        <f>VLOOKUP(A28,'Données projet'!$A$113:$I$133,9,0)</f>
        <v>7.2</v>
      </c>
      <c r="BX28" s="13">
        <f t="array" ref="BX28">INDEX(BW:BW,MIN(IF(ISNUMBER(BW28:BW224),ROW(BW28:BW224),"")))</f>
        <v>7.2</v>
      </c>
      <c r="BY28" s="13">
        <f>IF('Données projet'!$A$114&gt;35,BY27+BX28-CG27,IF(A28&lt;'Données projet'!$A$114,$BV$205^A28,IF(A28='Données projet'!$A$114,'Données projet'!$B$114,BY27+BX28-CG27)))</f>
        <v>103.00000000000001</v>
      </c>
      <c r="BZ28" s="14">
        <f>BY28*VLOOKUP('Données projet'!$B$12,Paramètres!$A$1:$I$89,3,0)*VLOOKUP('Données projet'!$B$12,Paramètres!$A$1:$I$89,5,0)</f>
        <v>93.194400000000002</v>
      </c>
      <c r="CA28" s="14">
        <f t="shared" si="39"/>
        <v>25.33406653691528</v>
      </c>
      <c r="CB28" s="22">
        <f t="shared" si="10"/>
        <v>206.43707921846078</v>
      </c>
      <c r="CC28" s="62">
        <f t="shared" si="11"/>
        <v>493.65930144068301</v>
      </c>
      <c r="CD28" s="62">
        <f ca="1">AVERAGE(OFFSET($CC$3,0,0,'Données projet'!$E$12+1,1))-AVERAGE(OFFSET($H$3,0,0,'Données projet'!$E$12+1,1))</f>
        <v>439.06700232017681</v>
      </c>
      <c r="CE28" s="62">
        <f t="shared" si="40"/>
        <v>278.21741231699929</v>
      </c>
      <c r="CF28" s="16">
        <f>IF(ISNA(VLOOKUP(A28,'Données projet'!$A$113:$I$133,3,0)),0,VLOOKUP(A28,'Données projet'!$A$113:$I$133,3,0))</f>
        <v>2</v>
      </c>
      <c r="CG28" s="16">
        <f>IF(ISNA(VLOOKUP(A28,'Données projet'!$A$113:$I$133,4,0)),0,VLOOKUP(A28,'Données projet'!$A$113:$I$133,4,0))</f>
        <v>28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0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>
        <f>VLOOKUP(A28,'Données projet'!$A$139:$I$159,2,0)</f>
        <v>140</v>
      </c>
      <c r="CR28" s="13">
        <f>VLOOKUP(A28,'Données projet'!$A$139:$I$159,9,0)</f>
        <v>14.8</v>
      </c>
      <c r="CS28" s="13">
        <f t="array" ref="CS28">INDEX(CR:CR,MIN(IF(ISNUMBER(CR28:CR224),ROW(CR28:CR224),"")))</f>
        <v>14.8</v>
      </c>
      <c r="CT28" s="13">
        <f>IF('Données projet'!$A$140&gt;35,CT27+CS28-DB27,IF(A28&lt;'Données projet'!$A$140,$CQ$205^A28,IF(A28='Données projet'!$A$140,'Données projet'!$B$140,CT27+CS28-DB27)))</f>
        <v>139.99999999999997</v>
      </c>
      <c r="CU28" s="18">
        <f>CT28*VLOOKUP('Données projet'!$B$13,Paramètres!$A$1:$I$89,3,0)*VLOOKUP('Données projet'!$B$13,Paramètres!$A$1:$I$89,5,0)</f>
        <v>102.64799999999998</v>
      </c>
      <c r="CV28" s="14">
        <f t="shared" si="41"/>
        <v>27.591884256813046</v>
      </c>
      <c r="CW28" s="22">
        <f t="shared" si="13"/>
        <v>226.83446508061596</v>
      </c>
      <c r="CX28" s="62">
        <f t="shared" si="14"/>
        <v>514.05668730283821</v>
      </c>
      <c r="CY28" s="62">
        <f ca="1">AVERAGE(OFFSET($CX$3,0,0,'Données projet'!$E$13+1,1))-AVERAGE(OFFSET($H$3,0,0,'Données projet'!$E$13+1,1))</f>
        <v>327.81662150328646</v>
      </c>
      <c r="CZ28" s="62">
        <f t="shared" si="42"/>
        <v>320.24200483294322</v>
      </c>
      <c r="DA28" s="16">
        <f>IF(ISNA(VLOOKUP(A28,'Données projet'!$A$139:$I$159,3,0)),0,VLOOKUP(A28,'Données projet'!$A$139:$I$159,3,0))</f>
        <v>4</v>
      </c>
      <c r="DB28" s="16">
        <f>IF(ISNA(VLOOKUP(A28,'Données projet'!$A$139:$I$159,4,0)),0,VLOOKUP(A28,'Données projet'!$A$139:$I$159,4,0))</f>
        <v>35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projet'!$B$13,Paramètres!$A$1:$I$89,3,0)*0.475*44/12</f>
        <v>2.2096921720825136</v>
      </c>
      <c r="DG28" s="23">
        <f>EXP(-LN(2)/25)*DG27+(1-EXP(-LN(2)/25))/(LN(2)/25)*Calculateur!DB28*Calculateur!DD28*VLOOKUP('Données projet'!$B$13,Paramètres!$A$1:$I$89,3,0)*0.475*44/12</f>
        <v>0</v>
      </c>
      <c r="DH28" s="23">
        <f>EXP(-LN(2)/2)*DH27+(1-EXP(-LN(2)/2))/(LN(2)/2)*DB28*DE28*VLOOKUP('Données projet'!$B$13,Paramètres!$A$1:$I$89,3,0)*0.475*44/12</f>
        <v>0</v>
      </c>
      <c r="DI28" s="24">
        <f t="shared" si="15"/>
        <v>2.2096921720825136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>
        <f>VLOOKUP(A28,'Données projet'!$A$165:$I$185,2,0)</f>
        <v>98</v>
      </c>
      <c r="DM28" s="13">
        <f>VLOOKUP(A28,'Données projet'!$A$165:$I$185,9,0)</f>
        <v>6.4</v>
      </c>
      <c r="DN28" s="13">
        <f t="array" ref="DN28">INDEX(DM:DM,MIN(IF(ISNUMBER(DM28:DM224),ROW(DM28:DM224),"")))</f>
        <v>6.4</v>
      </c>
      <c r="DO28" s="13">
        <f>IF('Données projet'!$A$166&gt;35,DO27+DN28-DW27,IF(A28&lt;'Données projet'!$A$166,$DL$205^A28,IF(A28='Données projet'!$A$166,'Données projet'!$B$166,DO27+DN28-DW27)))</f>
        <v>98.000000000000028</v>
      </c>
      <c r="DP28" s="18">
        <f>DO28*VLOOKUP('Données projet'!$B$14,Paramètres!$A$1:$I$89,3,0)*VLOOKUP('Données projet'!$B$14,Paramètres!$A$1:$I$89,5,0)</f>
        <v>64.209600000000023</v>
      </c>
      <c r="DQ28" s="14">
        <f t="shared" si="43"/>
        <v>18.228351453708495</v>
      </c>
      <c r="DR28" s="22">
        <f t="shared" si="16"/>
        <v>143.57943211520902</v>
      </c>
      <c r="DS28" s="62">
        <f t="shared" si="17"/>
        <v>430.80165433743127</v>
      </c>
      <c r="DT28" s="62">
        <f ca="1">AVERAGE(OFFSET($DS$3,0,0,'Données projet'!$E$14+1,1))-AVERAGE(OFFSET($H$3,0,0,'Données projet'!$E$14+1,1))</f>
        <v>210.08998695869161</v>
      </c>
      <c r="DU28" s="62">
        <f t="shared" si="44"/>
        <v>207.30911916430881</v>
      </c>
      <c r="DV28" s="16">
        <f>IF(ISNA(VLOOKUP(A28,'Données projet'!$A$165:$I$185,3,0)),0,VLOOKUP(A28,'Données projet'!$A$165:$I$185,3,0))</f>
        <v>4</v>
      </c>
      <c r="DW28" s="16">
        <f>IF(ISNA(VLOOKUP(A28,'Données projet'!$A$165:$I$185,4,0)),0,VLOOKUP(A28,'Données projet'!$A$165:$I$185,4,0))</f>
        <v>18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>
        <f>EXP(-LN(2)/35)*EA27+(1-EXP(-LN(2)/35))/(LN(2)/35)*DW28*DX28*VLOOKUP('Données projet'!$B$14,Paramètres!$A$1:$I$89,3,0)*0.475*44/12</f>
        <v>0.50775905230832219</v>
      </c>
      <c r="EB28" s="23">
        <f>EXP(-LN(2)/25)*EB27+(1-EXP(-LN(2)/25))/(LN(2)/25)*Calculateur!DW28*Calculateur!DY28*VLOOKUP('Données projet'!$B$14,Paramètres!$A$1:$I$89,3,0)*0.475*44/12</f>
        <v>0</v>
      </c>
      <c r="EC28" s="23">
        <f>EXP(-LN(2)/2)*EC27+(1-EXP(-LN(2)/2))/(LN(2)/2)*DW28*DZ28*VLOOKUP('Données projet'!$B$14,Paramètres!$A$1:$I$89,3,0)*0.475*44/12</f>
        <v>0</v>
      </c>
      <c r="ED28" s="24">
        <f t="shared" si="18"/>
        <v>0.50775905230832219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>
        <f>VLOOKUP(A28,'Données projet'!$A$191:$I$211,2,0)</f>
        <v>113</v>
      </c>
      <c r="EH28" s="13">
        <f>VLOOKUP(A28,'Données projet'!$A$191:$I$211,9,0)</f>
        <v>10.6</v>
      </c>
      <c r="EI28" s="13">
        <f t="array" ref="EI28">INDEX(EH:EH,MIN(IF(ISNUMBER(EH28:EH224),ROW(EH28:EH224),"")))</f>
        <v>10.6</v>
      </c>
      <c r="EJ28" s="13">
        <f>IF('Données projet'!$A$192&gt;35,EJ27+EI28-ER27,IF(A28&lt;'Données projet'!$A$192,$EG$205^A28,IF(A28='Données projet'!$A$192,'Données projet'!$B$192,EJ27+EI28-ER27)))</f>
        <v>112.99999999999996</v>
      </c>
      <c r="EK28" s="18">
        <f>EJ28*VLOOKUP('Données projet'!$B$15,Paramètres!$A$1:$I$89,3,0)*VLOOKUP('Données projet'!$B$15,Paramètres!$A$1:$I$89,5,0)</f>
        <v>88.139999999999972</v>
      </c>
      <c r="EL28" s="14">
        <f t="shared" si="45"/>
        <v>24.116094026318823</v>
      </c>
      <c r="EM28" s="22">
        <f t="shared" si="19"/>
        <v>195.51269709583855</v>
      </c>
      <c r="EN28" s="62">
        <f t="shared" si="20"/>
        <v>482.73491931806075</v>
      </c>
      <c r="EO28" s="62">
        <f ca="1">AVERAGE(OFFSET($EN$3,0,0,'Données projet'!$E$15+1,1))-AVERAGE(OFFSET($H$3,0,0,'Données projet'!$E$15+1,1))</f>
        <v>288.82868507674738</v>
      </c>
      <c r="EP28" s="62">
        <f t="shared" si="46"/>
        <v>283.48738729114024</v>
      </c>
      <c r="EQ28" s="16">
        <f>IF(ISNA(VLOOKUP(A28,'Données projet'!$A$191:$I$211,3,0)),0,VLOOKUP(A28,'Données projet'!$A$191:$I$211,3,0))</f>
        <v>3</v>
      </c>
      <c r="ER28" s="16">
        <f>IF(ISNA(VLOOKUP(A28,'Données projet'!$A$191:$I$211,4,0)),0,VLOOKUP(A28,'Données projet'!$A$191:$I$211,4,0))</f>
        <v>27</v>
      </c>
      <c r="ES28" s="17">
        <f>IF(ISNA(VLOOKUP(A28,'Données projet'!$A$191:$I$211,5,0)),0%,VLOOKUP(A28,'Données projet'!$A$191:$I$211,5,0)*VLOOKUP('Données projet'!$B$15,Paramètres!$A$1:$I$89,7,0))</f>
        <v>8.6000000000000007E-2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>
        <f>EXP(-LN(2)/35)*EV27+(1-EXP(-LN(2)/35))/(LN(2)/35)*ER28*ES28*VLOOKUP('Données projet'!$B$15,Paramètres!$A$1:$I$89,3,0)*0.475*44/12</f>
        <v>2.0021837325948981</v>
      </c>
      <c r="EW28" s="23">
        <f>EXP(-LN(2)/25)*EW27+(1-EXP(-LN(2)/25))/(LN(2)/25)*Calculateur!ER28*Calculateur!ET28*VLOOKUP('Données projet'!$B$15,Paramètres!$A$1:$I$89,3,0)*0.475*44/12</f>
        <v>0</v>
      </c>
      <c r="EX28" s="23">
        <f>EXP(-LN(2)/2)*EX27+(1-EXP(-LN(2)/2))/(LN(2)/2)*ER28*EU28*VLOOKUP('Données projet'!$B$15,Paramètres!$A$1:$I$89,3,0)*0.475*44/12</f>
        <v>0</v>
      </c>
      <c r="EY28" s="24">
        <f t="shared" si="21"/>
        <v>2.0021837325948981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6.5</v>
      </c>
      <c r="N29" s="14">
        <f>IF('Données projet'!$A$36&gt;35,N28+M29-V28,IF(A29&lt;'Données projet'!$A$36,$K$205^A29,IF(A29='Données projet'!$A$36,'Données projet'!$B$36,N28+M29-V28)))</f>
        <v>96.537636780206071</v>
      </c>
      <c r="O29" s="14">
        <f>N29*VLOOKUP('Données projet'!$B$9,Paramètres!$A$1:$I$89,3,0)*VLOOKUP('Données projet'!$B$9,Paramètres!$A$1:$I$89,5,0)</f>
        <v>45.179614013136444</v>
      </c>
      <c r="P29" s="14">
        <f t="shared" si="33"/>
        <v>13.361624794271938</v>
      </c>
      <c r="Q29" s="22">
        <f t="shared" si="2"/>
        <v>101.95932425623626</v>
      </c>
      <c r="R29" s="62">
        <f t="shared" si="0"/>
        <v>390.4037687006807</v>
      </c>
      <c r="S29" s="62">
        <f ca="1">AVERAGE(OFFSET($R$3,0,0,'Données projet'!$E$9+1,1))-AVERAGE(OFFSET($H$3,0,0,'Données projet'!$E$9+1,1))</f>
        <v>317.54276561627643</v>
      </c>
      <c r="T29" s="62">
        <f t="shared" si="34"/>
        <v>238.92443174298893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11.4</v>
      </c>
      <c r="AI29" s="14">
        <f>IF('Données projet'!$A$62&gt;35,AI28+AH29-AQ28,IF(A29&lt;'Données projet'!$A$62,$AF$205^A29,IF(A29='Données projet'!$A$62,'Données projet'!$B$62,AI28+AH29-AQ28)))</f>
        <v>117.39999999999998</v>
      </c>
      <c r="AJ29" s="14">
        <f>AI29*VLOOKUP('Données projet'!$B$10,Paramètres!$A$1:$I$89,3,0)*VLOOKUP('Données projet'!$B$10,Paramètres!$A$1:$I$89,5,0)</f>
        <v>102.56064000000001</v>
      </c>
      <c r="AK29" s="14">
        <f t="shared" si="35"/>
        <v>27.571134131783779</v>
      </c>
      <c r="AL29" s="22">
        <f t="shared" si="4"/>
        <v>226.64617327952342</v>
      </c>
      <c r="AM29" s="62">
        <f t="shared" si="5"/>
        <v>515.09061772396785</v>
      </c>
      <c r="AN29" s="62">
        <f ca="1">AVERAGE(OFFSET($AM$3,0,0,'Données projet'!$E$10+1,1))-AVERAGE(OFFSET($H$3,0,0,'Données projet'!$E$10+1,1))</f>
        <v>327.826081588335</v>
      </c>
      <c r="AO29" s="62">
        <f t="shared" si="36"/>
        <v>348.84706693879735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11.908727136277101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11.908727136277101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9.1999999999999993</v>
      </c>
      <c r="BD29" s="13">
        <f>IF('Données projet'!$A$88&gt;35,BD28+BC29-BL28,IF(A29&lt;'Données projet'!$A$88,$BA$205^A29,IF(A29='Données projet'!$A$88,'Données projet'!$B$88,BD28+BC29-BL28)))</f>
        <v>84.200000000000017</v>
      </c>
      <c r="BE29" s="14">
        <f>BD29*VLOOKUP('Données projet'!$B$11,Paramètres!$A$1:$I$89,3,0)*VLOOKUP('Données projet'!$B$11,Paramètres!$A$1:$I$89,5,0)</f>
        <v>85.378800000000027</v>
      </c>
      <c r="BF29" s="14">
        <f t="shared" si="37"/>
        <v>23.447306793896516</v>
      </c>
      <c r="BG29" s="22">
        <f t="shared" si="7"/>
        <v>189.53880266603645</v>
      </c>
      <c r="BH29" s="62">
        <f t="shared" si="8"/>
        <v>477.98324711048087</v>
      </c>
      <c r="BI29" s="62">
        <f ca="1">AVERAGE(OFFSET($BH$3,0,0,'Données projet'!$E$11+1,1))-AVERAGE(OFFSET($H$3,0,0,'Données projet'!$E$11+1,1))</f>
        <v>487.04124684635974</v>
      </c>
      <c r="BJ29" s="62">
        <f t="shared" si="38"/>
        <v>306.61893266146666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9.1999999999999993</v>
      </c>
      <c r="BY29" s="13">
        <f>IF('Données projet'!$A$114&gt;35,BY28+BX29-CG28,IF(A29&lt;'Données projet'!$A$114,$BV$205^A29,IF(A29='Données projet'!$A$114,'Données projet'!$B$114,BY28+BX29-CG28)))</f>
        <v>84.200000000000017</v>
      </c>
      <c r="BZ29" s="14">
        <f>BY29*VLOOKUP('Données projet'!$B$12,Paramètres!$A$1:$I$89,3,0)*VLOOKUP('Données projet'!$B$12,Paramètres!$A$1:$I$89,5,0)</f>
        <v>76.184160000000006</v>
      </c>
      <c r="CA29" s="14">
        <f t="shared" si="39"/>
        <v>21.201554232857223</v>
      </c>
      <c r="CB29" s="22">
        <f t="shared" si="10"/>
        <v>169.613452288893</v>
      </c>
      <c r="CC29" s="62">
        <f t="shared" si="11"/>
        <v>458.05789673333743</v>
      </c>
      <c r="CD29" s="62">
        <f ca="1">AVERAGE(OFFSET($CC$3,0,0,'Données projet'!$E$12+1,1))-AVERAGE(OFFSET($H$3,0,0,'Données projet'!$E$12+1,1))</f>
        <v>439.06700232017681</v>
      </c>
      <c r="CE29" s="62">
        <f t="shared" si="40"/>
        <v>278.21741231699929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0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14.2</v>
      </c>
      <c r="CT29" s="13">
        <f>IF('Données projet'!$A$140&gt;35,CT28+CS29-DB28,IF(A29&lt;'Données projet'!$A$140,$CQ$205^A29,IF(A29='Données projet'!$A$140,'Données projet'!$B$140,CT28+CS29-DB28)))</f>
        <v>119.19999999999996</v>
      </c>
      <c r="CU29" s="18">
        <f>CT29*VLOOKUP('Données projet'!$B$13,Paramètres!$A$1:$I$89,3,0)*VLOOKUP('Données projet'!$B$13,Paramètres!$A$1:$I$89,5,0)</f>
        <v>87.397439999999975</v>
      </c>
      <c r="CV29" s="14">
        <f t="shared" si="41"/>
        <v>23.936482276928594</v>
      </c>
      <c r="CW29" s="22">
        <f t="shared" si="13"/>
        <v>193.90658129898392</v>
      </c>
      <c r="CX29" s="62">
        <f t="shared" si="14"/>
        <v>482.35102574342841</v>
      </c>
      <c r="CY29" s="62">
        <f ca="1">AVERAGE(OFFSET($CX$3,0,0,'Données projet'!$E$13+1,1))-AVERAGE(OFFSET($H$3,0,0,'Données projet'!$E$13+1,1))</f>
        <v>327.81662150328646</v>
      </c>
      <c r="CZ29" s="62">
        <f t="shared" si="42"/>
        <v>320.24200483294322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2.1663614563671185</v>
      </c>
      <c r="DG29" s="23">
        <f>EXP(-LN(2)/25)*DG28+(1-EXP(-LN(2)/25))/(LN(2)/25)*Calculateur!DB29*Calculateur!DD29*VLOOKUP('Données projet'!$B$13,Paramètres!$A$1:$I$89,3,0)*0.475*44/12</f>
        <v>0</v>
      </c>
      <c r="DH29" s="23">
        <f>EXP(-LN(2)/2)*DH28+(1-EXP(-LN(2)/2))/(LN(2)/2)*DB29*DE29*VLOOKUP('Données projet'!$B$13,Paramètres!$A$1:$I$89,3,0)*0.475*44/12</f>
        <v>0</v>
      </c>
      <c r="DI29" s="24">
        <f t="shared" si="15"/>
        <v>2.1663614563671185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7.4</v>
      </c>
      <c r="DO29" s="13">
        <f>IF('Données projet'!$A$166&gt;35,DO28+DN29-DW28,IF(A29&lt;'Données projet'!$A$166,$DL$205^A29,IF(A29='Données projet'!$A$166,'Données projet'!$B$166,DO28+DN29-DW28)))</f>
        <v>87.400000000000034</v>
      </c>
      <c r="DP29" s="18">
        <f>DO29*VLOOKUP('Données projet'!$B$14,Paramètres!$A$1:$I$89,3,0)*VLOOKUP('Données projet'!$B$14,Paramètres!$A$1:$I$89,5,0)</f>
        <v>57.26448000000002</v>
      </c>
      <c r="DQ29" s="14">
        <f t="shared" si="43"/>
        <v>16.474776623807379</v>
      </c>
      <c r="DR29" s="22">
        <f t="shared" si="16"/>
        <v>128.42920528646454</v>
      </c>
      <c r="DS29" s="62">
        <f t="shared" si="17"/>
        <v>416.87364973090899</v>
      </c>
      <c r="DT29" s="62">
        <f ca="1">AVERAGE(OFFSET($DS$3,0,0,'Données projet'!$E$14+1,1))-AVERAGE(OFFSET($H$3,0,0,'Données projet'!$E$14+1,1))</f>
        <v>210.08998695869161</v>
      </c>
      <c r="DU29" s="62">
        <f t="shared" si="44"/>
        <v>207.30911916430881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>
        <f>EXP(-LN(2)/35)*EA28+(1-EXP(-LN(2)/35))/(LN(2)/35)*DW29*DX29*VLOOKUP('Données projet'!$B$14,Paramètres!$A$1:$I$89,3,0)*0.475*44/12</f>
        <v>0.49780220699499733</v>
      </c>
      <c r="EB29" s="23">
        <f>EXP(-LN(2)/25)*EB28+(1-EXP(-LN(2)/25))/(LN(2)/25)*Calculateur!DW29*Calculateur!DY29*VLOOKUP('Données projet'!$B$14,Paramètres!$A$1:$I$89,3,0)*0.475*44/12</f>
        <v>0</v>
      </c>
      <c r="EC29" s="23">
        <f>EXP(-LN(2)/2)*EC28+(1-EXP(-LN(2)/2))/(LN(2)/2)*DW29*DZ29*VLOOKUP('Données projet'!$B$14,Paramètres!$A$1:$I$89,3,0)*0.475*44/12</f>
        <v>0</v>
      </c>
      <c r="ED29" s="24">
        <f t="shared" si="18"/>
        <v>0.49780220699499733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11.5</v>
      </c>
      <c r="EJ29" s="13">
        <f>IF('Données projet'!$A$192&gt;35,EJ28+EI29-ER28,IF(A29&lt;'Données projet'!$A$192,$EG$205^A29,IF(A29='Données projet'!$A$192,'Données projet'!$B$192,EJ28+EI29-ER28)))</f>
        <v>97.499999999999957</v>
      </c>
      <c r="EK29" s="18">
        <f>EJ29*VLOOKUP('Données projet'!$B$15,Paramètres!$A$1:$I$89,3,0)*VLOOKUP('Données projet'!$B$15,Paramètres!$A$1:$I$89,5,0)</f>
        <v>76.049999999999969</v>
      </c>
      <c r="EL29" s="14">
        <f t="shared" si="45"/>
        <v>21.168560890749262</v>
      </c>
      <c r="EM29" s="22">
        <f t="shared" si="19"/>
        <v>169.32232688472158</v>
      </c>
      <c r="EN29" s="62">
        <f t="shared" si="20"/>
        <v>457.76677132916603</v>
      </c>
      <c r="EO29" s="62">
        <f ca="1">AVERAGE(OFFSET($EN$3,0,0,'Données projet'!$E$15+1,1))-AVERAGE(OFFSET($H$3,0,0,'Données projet'!$E$15+1,1))</f>
        <v>288.82868507674738</v>
      </c>
      <c r="EP29" s="62">
        <f t="shared" si="46"/>
        <v>283.48738729114024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>
        <f>EXP(-LN(2)/35)*EV28+(1-EXP(-LN(2)/35))/(LN(2)/35)*ER29*ES29*VLOOKUP('Données projet'!$B$15,Paramètres!$A$1:$I$89,3,0)*0.475*44/12</f>
        <v>1.9629221308102045</v>
      </c>
      <c r="EW29" s="23">
        <f>EXP(-LN(2)/25)*EW28+(1-EXP(-LN(2)/25))/(LN(2)/25)*Calculateur!ER29*Calculateur!ET29*VLOOKUP('Données projet'!$B$15,Paramètres!$A$1:$I$89,3,0)*0.475*44/12</f>
        <v>0</v>
      </c>
      <c r="EX29" s="23">
        <f>EXP(-LN(2)/2)*EX28+(1-EXP(-LN(2)/2))/(LN(2)/2)*ER29*EU29*VLOOKUP('Données projet'!$B$15,Paramètres!$A$1:$I$89,3,0)*0.475*44/12</f>
        <v>0</v>
      </c>
      <c r="EY29" s="24">
        <f t="shared" si="21"/>
        <v>1.9629221308102045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6.5</v>
      </c>
      <c r="N30" s="14">
        <f>IF('Données projet'!$A$36&gt;35,N29+M30-V29,IF(A30&lt;'Données projet'!$A$36,$K$205^A30,IF(A30='Données projet'!$A$36,'Données projet'!$B$36,N29+M30-V29)))</f>
        <v>115.08829342671002</v>
      </c>
      <c r="O30" s="14">
        <f>N30*VLOOKUP('Données projet'!$B$9,Paramètres!$A$1:$I$89,3,0)*VLOOKUP('Données projet'!$B$9,Paramètres!$A$1:$I$89,5,0)</f>
        <v>53.861321323700288</v>
      </c>
      <c r="P30" s="14">
        <f t="shared" si="33"/>
        <v>15.606604510459258</v>
      </c>
      <c r="Q30" s="22">
        <f t="shared" si="2"/>
        <v>120.98997082782786</v>
      </c>
      <c r="R30" s="62">
        <f t="shared" si="0"/>
        <v>410.65663749449453</v>
      </c>
      <c r="S30" s="62">
        <f ca="1">AVERAGE(OFFSET($R$3,0,0,'Données projet'!$E$9+1,1))-AVERAGE(OFFSET($H$3,0,0,'Données projet'!$E$9+1,1))</f>
        <v>317.54276561627643</v>
      </c>
      <c r="T30" s="62">
        <f t="shared" si="34"/>
        <v>238.92443174298893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11.4</v>
      </c>
      <c r="AI30" s="14">
        <f>IF('Données projet'!$A$62&gt;35,AI29+AH30-AQ29,IF(A30&lt;'Données projet'!$A$62,$AF$205^A30,IF(A30='Données projet'!$A$62,'Données projet'!$B$62,AI29+AH30-AQ29)))</f>
        <v>128.79999999999998</v>
      </c>
      <c r="AJ30" s="14">
        <f>AI30*VLOOKUP('Données projet'!$B$10,Paramètres!$A$1:$I$89,3,0)*VLOOKUP('Données projet'!$B$10,Paramètres!$A$1:$I$89,5,0)</f>
        <v>112.51968000000001</v>
      </c>
      <c r="AK30" s="14">
        <f t="shared" si="35"/>
        <v>29.923856072189899</v>
      </c>
      <c r="AL30" s="22">
        <f t="shared" si="4"/>
        <v>248.08915865906408</v>
      </c>
      <c r="AM30" s="62">
        <f t="shared" si="5"/>
        <v>537.75582532573071</v>
      </c>
      <c r="AN30" s="62">
        <f ca="1">AVERAGE(OFFSET($AM$3,0,0,'Données projet'!$E$10+1,1))-AVERAGE(OFFSET($H$3,0,0,'Données projet'!$E$10+1,1))</f>
        <v>327.826081588335</v>
      </c>
      <c r="AO30" s="62">
        <f t="shared" si="36"/>
        <v>348.84706693879735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11.583082366482861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11.583082366482861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9.1999999999999993</v>
      </c>
      <c r="BD30" s="13">
        <f>IF('Données projet'!$A$88&gt;35,BD29+BC30-BL29,IF(A30&lt;'Données projet'!$A$88,$BA$205^A30,IF(A30='Données projet'!$A$88,'Données projet'!$B$88,BD29+BC30-BL29)))</f>
        <v>93.40000000000002</v>
      </c>
      <c r="BE30" s="14">
        <f>BD30*VLOOKUP('Données projet'!$B$11,Paramètres!$A$1:$I$89,3,0)*VLOOKUP('Données projet'!$B$11,Paramètres!$A$1:$I$89,5,0)</f>
        <v>94.707600000000028</v>
      </c>
      <c r="BF30" s="14">
        <f t="shared" si="37"/>
        <v>25.697193912523566</v>
      </c>
      <c r="BG30" s="22">
        <f t="shared" si="7"/>
        <v>209.70501606431188</v>
      </c>
      <c r="BH30" s="62">
        <f t="shared" si="8"/>
        <v>499.37168273097859</v>
      </c>
      <c r="BI30" s="62">
        <f ca="1">AVERAGE(OFFSET($BH$3,0,0,'Données projet'!$E$11+1,1))-AVERAGE(OFFSET($H$3,0,0,'Données projet'!$E$11+1,1))</f>
        <v>487.04124684635974</v>
      </c>
      <c r="BJ30" s="62">
        <f t="shared" si="38"/>
        <v>306.61893266146666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9.1999999999999993</v>
      </c>
      <c r="BY30" s="13">
        <f>IF('Données projet'!$A$114&gt;35,BY29+BX30-CG29,IF(A30&lt;'Données projet'!$A$114,$BV$205^A30,IF(A30='Données projet'!$A$114,'Données projet'!$B$114,BY29+BX30-CG29)))</f>
        <v>93.40000000000002</v>
      </c>
      <c r="BZ30" s="14">
        <f>BY30*VLOOKUP('Données projet'!$B$12,Paramètres!$A$1:$I$89,3,0)*VLOOKUP('Données projet'!$B$12,Paramètres!$A$1:$I$89,5,0)</f>
        <v>84.508320000000026</v>
      </c>
      <c r="CA30" s="14">
        <f t="shared" si="39"/>
        <v>23.235950088324714</v>
      </c>
      <c r="CB30" s="22">
        <f t="shared" si="10"/>
        <v>187.65460373716556</v>
      </c>
      <c r="CC30" s="62">
        <f t="shared" si="11"/>
        <v>477.32127040383227</v>
      </c>
      <c r="CD30" s="62">
        <f ca="1">AVERAGE(OFFSET($CC$3,0,0,'Données projet'!$E$12+1,1))-AVERAGE(OFFSET($H$3,0,0,'Données projet'!$E$12+1,1))</f>
        <v>439.06700232017681</v>
      </c>
      <c r="CE30" s="62">
        <f t="shared" si="40"/>
        <v>278.21741231699929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0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14.2</v>
      </c>
      <c r="CT30" s="13">
        <f>IF('Données projet'!$A$140&gt;35,CT29+CS30-DB29,IF(A30&lt;'Données projet'!$A$140,$CQ$205^A30,IF(A30='Données projet'!$A$140,'Données projet'!$B$140,CT29+CS30-DB29)))</f>
        <v>133.39999999999995</v>
      </c>
      <c r="CU30" s="18">
        <f>CT30*VLOOKUP('Données projet'!$B$13,Paramètres!$A$1:$I$89,3,0)*VLOOKUP('Données projet'!$B$13,Paramètres!$A$1:$I$89,5,0)</f>
        <v>97.808879999999959</v>
      </c>
      <c r="CV30" s="14">
        <f t="shared" si="41"/>
        <v>26.439322255227292</v>
      </c>
      <c r="CW30" s="22">
        <f t="shared" si="13"/>
        <v>216.39895226118747</v>
      </c>
      <c r="CX30" s="62">
        <f t="shared" si="14"/>
        <v>506.06561892785419</v>
      </c>
      <c r="CY30" s="62">
        <f ca="1">AVERAGE(OFFSET($CX$3,0,0,'Données projet'!$E$13+1,1))-AVERAGE(OFFSET($H$3,0,0,'Données projet'!$E$13+1,1))</f>
        <v>327.81662150328646</v>
      </c>
      <c r="CZ30" s="62">
        <f t="shared" si="42"/>
        <v>320.24200483294322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2.1238804295577753</v>
      </c>
      <c r="DG30" s="23">
        <f>EXP(-LN(2)/25)*DG29+(1-EXP(-LN(2)/25))/(LN(2)/25)*Calculateur!DB30*Calculateur!DD30*VLOOKUP('Données projet'!$B$13,Paramètres!$A$1:$I$89,3,0)*0.475*44/12</f>
        <v>0</v>
      </c>
      <c r="DH30" s="23">
        <f>EXP(-LN(2)/2)*DH29+(1-EXP(-LN(2)/2))/(LN(2)/2)*DB30*DE30*VLOOKUP('Données projet'!$B$13,Paramètres!$A$1:$I$89,3,0)*0.475*44/12</f>
        <v>0</v>
      </c>
      <c r="DI30" s="24">
        <f t="shared" si="15"/>
        <v>2.1238804295577753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7.4</v>
      </c>
      <c r="DO30" s="13">
        <f>IF('Données projet'!$A$166&gt;35,DO29+DN30-DW29,IF(A30&lt;'Données projet'!$A$166,$DL$205^A30,IF(A30='Données projet'!$A$166,'Données projet'!$B$166,DO29+DN30-DW29)))</f>
        <v>94.80000000000004</v>
      </c>
      <c r="DP30" s="18">
        <f>DO30*VLOOKUP('Données projet'!$B$14,Paramètres!$A$1:$I$89,3,0)*VLOOKUP('Données projet'!$B$14,Paramètres!$A$1:$I$89,5,0)</f>
        <v>62.112960000000029</v>
      </c>
      <c r="DQ30" s="14">
        <f t="shared" si="43"/>
        <v>17.701410754819239</v>
      </c>
      <c r="DR30" s="22">
        <f t="shared" si="16"/>
        <v>139.01002906464356</v>
      </c>
      <c r="DS30" s="62">
        <f t="shared" si="17"/>
        <v>428.67669573131025</v>
      </c>
      <c r="DT30" s="62">
        <f ca="1">AVERAGE(OFFSET($DS$3,0,0,'Données projet'!$E$14+1,1))-AVERAGE(OFFSET($H$3,0,0,'Données projet'!$E$14+1,1))</f>
        <v>210.08998695869161</v>
      </c>
      <c r="DU30" s="62">
        <f t="shared" si="44"/>
        <v>207.30911916430881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>
        <f>EXP(-LN(2)/35)*EA29+(1-EXP(-LN(2)/35))/(LN(2)/35)*DW30*DX30*VLOOKUP('Données projet'!$B$14,Paramètres!$A$1:$I$89,3,0)*0.475*44/12</f>
        <v>0.48804060934519078</v>
      </c>
      <c r="EB30" s="23">
        <f>EXP(-LN(2)/25)*EB29+(1-EXP(-LN(2)/25))/(LN(2)/25)*Calculateur!DW30*Calculateur!DY30*VLOOKUP('Données projet'!$B$14,Paramètres!$A$1:$I$89,3,0)*0.475*44/12</f>
        <v>0</v>
      </c>
      <c r="EC30" s="23">
        <f>EXP(-LN(2)/2)*EC29+(1-EXP(-LN(2)/2))/(LN(2)/2)*DW30*DZ30*VLOOKUP('Données projet'!$B$14,Paramètres!$A$1:$I$89,3,0)*0.475*44/12</f>
        <v>0</v>
      </c>
      <c r="ED30" s="24">
        <f t="shared" si="18"/>
        <v>0.48804060934519078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11.5</v>
      </c>
      <c r="EJ30" s="13">
        <f>IF('Données projet'!$A$192&gt;35,EJ29+EI30-ER29,IF(A30&lt;'Données projet'!$A$192,$EG$205^A30,IF(A30='Données projet'!$A$192,'Données projet'!$B$192,EJ29+EI30-ER29)))</f>
        <v>108.99999999999996</v>
      </c>
      <c r="EK30" s="18">
        <f>EJ30*VLOOKUP('Données projet'!$B$15,Paramètres!$A$1:$I$89,3,0)*VLOOKUP('Données projet'!$B$15,Paramètres!$A$1:$I$89,5,0)</f>
        <v>85.019999999999968</v>
      </c>
      <c r="EL30" s="14">
        <f t="shared" si="45"/>
        <v>23.360218970693097</v>
      </c>
      <c r="EM30" s="22">
        <f t="shared" si="19"/>
        <v>188.76221470729038</v>
      </c>
      <c r="EN30" s="62">
        <f t="shared" si="20"/>
        <v>478.4288813739571</v>
      </c>
      <c r="EO30" s="62">
        <f ca="1">AVERAGE(OFFSET($EN$3,0,0,'Données projet'!$E$15+1,1))-AVERAGE(OFFSET($H$3,0,0,'Données projet'!$E$15+1,1))</f>
        <v>288.82868507674738</v>
      </c>
      <c r="EP30" s="62">
        <f t="shared" si="46"/>
        <v>283.48738729114024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>
        <f>EXP(-LN(2)/35)*EV29+(1-EXP(-LN(2)/35))/(LN(2)/35)*ER30*ES30*VLOOKUP('Données projet'!$B$15,Paramètres!$A$1:$I$89,3,0)*0.475*44/12</f>
        <v>1.9244304250892961</v>
      </c>
      <c r="EW30" s="23">
        <f>EXP(-LN(2)/25)*EW29+(1-EXP(-LN(2)/25))/(LN(2)/25)*Calculateur!ER30*Calculateur!ET30*VLOOKUP('Données projet'!$B$15,Paramètres!$A$1:$I$89,3,0)*0.475*44/12</f>
        <v>0</v>
      </c>
      <c r="EX30" s="23">
        <f>EXP(-LN(2)/2)*EX29+(1-EXP(-LN(2)/2))/(LN(2)/2)*ER30*EU30*VLOOKUP('Données projet'!$B$15,Paramètres!$A$1:$I$89,3,0)*0.475*44/12</f>
        <v>0</v>
      </c>
      <c r="EY30" s="24">
        <f t="shared" si="21"/>
        <v>1.9244304250892961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6.5</v>
      </c>
      <c r="N31" s="14">
        <f>IF('Données projet'!$A$36&gt;35,N30+M31-V30,IF(A31&lt;'Données projet'!$A$36,$K$205^A31,IF(A31='Données projet'!$A$36,'Données projet'!$B$36,N30+M31-V30)))</f>
        <v>137.20364124956808</v>
      </c>
      <c r="O31" s="14">
        <f>N31*VLOOKUP('Données projet'!$B$9,Paramètres!$A$1:$I$89,3,0)*VLOOKUP('Données projet'!$B$9,Paramètres!$A$1:$I$89,5,0)</f>
        <v>64.211304104797861</v>
      </c>
      <c r="P31" s="14">
        <f t="shared" si="33"/>
        <v>18.228778916940001</v>
      </c>
      <c r="Q31" s="22">
        <f t="shared" si="2"/>
        <v>143.58314459619342</v>
      </c>
      <c r="R31" s="62">
        <f t="shared" si="0"/>
        <v>434.47203348508231</v>
      </c>
      <c r="S31" s="62">
        <f ca="1">AVERAGE(OFFSET($R$3,0,0,'Données projet'!$E$9+1,1))-AVERAGE(OFFSET($H$3,0,0,'Données projet'!$E$9+1,1))</f>
        <v>317.54276561627643</v>
      </c>
      <c r="T31" s="62">
        <f t="shared" si="34"/>
        <v>238.92443174298893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11.4</v>
      </c>
      <c r="AI31" s="14">
        <f>IF('Données projet'!$A$62&gt;35,AI30+AH31-AQ30,IF(A31&lt;'Données projet'!$A$62,$AF$205^A31,IF(A31='Données projet'!$A$62,'Données projet'!$B$62,AI30+AH31-AQ30)))</f>
        <v>140.19999999999999</v>
      </c>
      <c r="AJ31" s="14">
        <f>AI31*VLOOKUP('Données projet'!$B$10,Paramètres!$A$1:$I$89,3,0)*VLOOKUP('Données projet'!$B$10,Paramètres!$A$1:$I$89,5,0)</f>
        <v>122.47872000000001</v>
      </c>
      <c r="AK31" s="14">
        <f t="shared" si="35"/>
        <v>32.252430308904003</v>
      </c>
      <c r="AL31" s="22">
        <f t="shared" si="4"/>
        <v>269.49008678800777</v>
      </c>
      <c r="AM31" s="62">
        <f t="shared" si="5"/>
        <v>560.37897567689663</v>
      </c>
      <c r="AN31" s="62">
        <f ca="1">AVERAGE(OFFSET($AM$3,0,0,'Données projet'!$E$10+1,1))-AVERAGE(OFFSET($H$3,0,0,'Données projet'!$E$10+1,1))</f>
        <v>327.826081588335</v>
      </c>
      <c r="AO31" s="62">
        <f t="shared" si="36"/>
        <v>348.84706693879735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11.266342370043558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11.266342370043558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9.1999999999999993</v>
      </c>
      <c r="BD31" s="13">
        <f>IF('Données projet'!$A$88&gt;35,BD30+BC31-BL30,IF(A31&lt;'Données projet'!$A$88,$BA$205^A31,IF(A31='Données projet'!$A$88,'Données projet'!$B$88,BD30+BC31-BL30)))</f>
        <v>102.60000000000002</v>
      </c>
      <c r="BE31" s="14">
        <f>BD31*VLOOKUP('Données projet'!$B$11,Paramètres!$A$1:$I$89,3,0)*VLOOKUP('Données projet'!$B$11,Paramètres!$A$1:$I$89,5,0)</f>
        <v>104.03640000000003</v>
      </c>
      <c r="BF31" s="14">
        <f t="shared" si="37"/>
        <v>27.921388397820998</v>
      </c>
      <c r="BG31" s="22">
        <f t="shared" si="7"/>
        <v>229.82648145953826</v>
      </c>
      <c r="BH31" s="62">
        <f t="shared" si="8"/>
        <v>520.71537034842709</v>
      </c>
      <c r="BI31" s="62">
        <f ca="1">AVERAGE(OFFSET($BH$3,0,0,'Données projet'!$E$11+1,1))-AVERAGE(OFFSET($H$3,0,0,'Données projet'!$E$11+1,1))</f>
        <v>487.04124684635974</v>
      </c>
      <c r="BJ31" s="62">
        <f t="shared" si="38"/>
        <v>306.61893266146666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9.1999999999999993</v>
      </c>
      <c r="BY31" s="13">
        <f>IF('Données projet'!$A$114&gt;35,BY30+BX31-CG30,IF(A31&lt;'Données projet'!$A$114,$BV$205^A31,IF(A31='Données projet'!$A$114,'Données projet'!$B$114,BY30+BX31-CG30)))</f>
        <v>102.60000000000002</v>
      </c>
      <c r="BZ31" s="14">
        <f>BY31*VLOOKUP('Données projet'!$B$12,Paramètres!$A$1:$I$89,3,0)*VLOOKUP('Données projet'!$B$12,Paramètres!$A$1:$I$89,5,0)</f>
        <v>92.832480000000018</v>
      </c>
      <c r="CA31" s="14">
        <f t="shared" si="39"/>
        <v>25.247114117480137</v>
      </c>
      <c r="CB31" s="22">
        <f t="shared" si="10"/>
        <v>205.65529308794461</v>
      </c>
      <c r="CC31" s="62">
        <f t="shared" si="11"/>
        <v>496.54418197683344</v>
      </c>
      <c r="CD31" s="62">
        <f ca="1">AVERAGE(OFFSET($CC$3,0,0,'Données projet'!$E$12+1,1))-AVERAGE(OFFSET($H$3,0,0,'Données projet'!$E$12+1,1))</f>
        <v>439.06700232017681</v>
      </c>
      <c r="CE31" s="62">
        <f t="shared" si="40"/>
        <v>278.21741231699929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0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14.2</v>
      </c>
      <c r="CT31" s="13">
        <f>IF('Données projet'!$A$140&gt;35,CT30+CS31-DB30,IF(A31&lt;'Données projet'!$A$140,$CQ$205^A31,IF(A31='Données projet'!$A$140,'Données projet'!$B$140,CT30+CS31-DB30)))</f>
        <v>147.59999999999994</v>
      </c>
      <c r="CU31" s="18">
        <f>CT31*VLOOKUP('Données projet'!$B$13,Paramètres!$A$1:$I$89,3,0)*VLOOKUP('Données projet'!$B$13,Paramètres!$A$1:$I$89,5,0)</f>
        <v>108.22031999999996</v>
      </c>
      <c r="CV31" s="14">
        <f t="shared" si="41"/>
        <v>28.911280861653452</v>
      </c>
      <c r="CW31" s="22">
        <f t="shared" si="13"/>
        <v>238.83753816737965</v>
      </c>
      <c r="CX31" s="62">
        <f t="shared" si="14"/>
        <v>529.72642705626845</v>
      </c>
      <c r="CY31" s="62">
        <f ca="1">AVERAGE(OFFSET($CX$3,0,0,'Données projet'!$E$13+1,1))-AVERAGE(OFFSET($H$3,0,0,'Données projet'!$E$13+1,1))</f>
        <v>327.81662150328646</v>
      </c>
      <c r="CZ31" s="62">
        <f t="shared" si="42"/>
        <v>320.24200483294322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2.0822324297732955</v>
      </c>
      <c r="DG31" s="23">
        <f>EXP(-LN(2)/25)*DG30+(1-EXP(-LN(2)/25))/(LN(2)/25)*Calculateur!DB31*Calculateur!DD31*VLOOKUP('Données projet'!$B$13,Paramètres!$A$1:$I$89,3,0)*0.475*44/12</f>
        <v>0</v>
      </c>
      <c r="DH31" s="23">
        <f>EXP(-LN(2)/2)*DH30+(1-EXP(-LN(2)/2))/(LN(2)/2)*DB31*DE31*VLOOKUP('Données projet'!$B$13,Paramètres!$A$1:$I$89,3,0)*0.475*44/12</f>
        <v>0</v>
      </c>
      <c r="DI31" s="24">
        <f t="shared" si="15"/>
        <v>2.0822324297732955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7.4</v>
      </c>
      <c r="DO31" s="13">
        <f>IF('Données projet'!$A$166&gt;35,DO30+DN31-DW30,IF(A31&lt;'Données projet'!$A$166,$DL$205^A31,IF(A31='Données projet'!$A$166,'Données projet'!$B$166,DO30+DN31-DW30)))</f>
        <v>102.20000000000005</v>
      </c>
      <c r="DP31" s="18">
        <f>DO31*VLOOKUP('Données projet'!$B$14,Paramètres!$A$1:$I$89,3,0)*VLOOKUP('Données projet'!$B$14,Paramètres!$A$1:$I$89,5,0)</f>
        <v>66.961440000000039</v>
      </c>
      <c r="DQ31" s="14">
        <f t="shared" si="43"/>
        <v>18.916938176250515</v>
      </c>
      <c r="DR31" s="22">
        <f t="shared" si="16"/>
        <v>149.57150865696971</v>
      </c>
      <c r="DS31" s="62">
        <f t="shared" si="17"/>
        <v>440.46039754585854</v>
      </c>
      <c r="DT31" s="62">
        <f ca="1">AVERAGE(OFFSET($DS$3,0,0,'Données projet'!$E$14+1,1))-AVERAGE(OFFSET($H$3,0,0,'Données projet'!$E$14+1,1))</f>
        <v>210.08998695869161</v>
      </c>
      <c r="DU31" s="62">
        <f t="shared" si="44"/>
        <v>207.30911916430881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>
        <f>EXP(-LN(2)/35)*EA30+(1-EXP(-LN(2)/35))/(LN(2)/35)*DW31*DX31*VLOOKUP('Données projet'!$B$14,Paramètres!$A$1:$I$89,3,0)*0.475*44/12</f>
        <v>0.47847043067131029</v>
      </c>
      <c r="EB31" s="23">
        <f>EXP(-LN(2)/25)*EB30+(1-EXP(-LN(2)/25))/(LN(2)/25)*Calculateur!DW31*Calculateur!DY31*VLOOKUP('Données projet'!$B$14,Paramètres!$A$1:$I$89,3,0)*0.475*44/12</f>
        <v>0</v>
      </c>
      <c r="EC31" s="23">
        <f>EXP(-LN(2)/2)*EC30+(1-EXP(-LN(2)/2))/(LN(2)/2)*DW31*DZ31*VLOOKUP('Données projet'!$B$14,Paramètres!$A$1:$I$89,3,0)*0.475*44/12</f>
        <v>0</v>
      </c>
      <c r="ED31" s="24">
        <f t="shared" si="18"/>
        <v>0.47847043067131029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11.5</v>
      </c>
      <c r="EJ31" s="13">
        <f>IF('Données projet'!$A$192&gt;35,EJ30+EI31-ER30,IF(A31&lt;'Données projet'!$A$192,$EG$205^A31,IF(A31='Données projet'!$A$192,'Données projet'!$B$192,EJ30+EI31-ER30)))</f>
        <v>120.49999999999996</v>
      </c>
      <c r="EK31" s="18">
        <f>EJ31*VLOOKUP('Données projet'!$B$15,Paramètres!$A$1:$I$89,3,0)*VLOOKUP('Données projet'!$B$15,Paramètres!$A$1:$I$89,5,0)</f>
        <v>93.989999999999966</v>
      </c>
      <c r="EL31" s="14">
        <f t="shared" si="45"/>
        <v>25.525074036970054</v>
      </c>
      <c r="EM31" s="22">
        <f t="shared" si="19"/>
        <v>208.15542061438944</v>
      </c>
      <c r="EN31" s="62">
        <f t="shared" si="20"/>
        <v>499.04430950327833</v>
      </c>
      <c r="EO31" s="62">
        <f ca="1">AVERAGE(OFFSET($EN$3,0,0,'Données projet'!$E$15+1,1))-AVERAGE(OFFSET($H$3,0,0,'Données projet'!$E$15+1,1))</f>
        <v>288.82868507674738</v>
      </c>
      <c r="EP31" s="62">
        <f t="shared" si="46"/>
        <v>283.48738729114024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>
        <f>EXP(-LN(2)/35)*EV30+(1-EXP(-LN(2)/35))/(LN(2)/35)*ER31*ES31*VLOOKUP('Données projet'!$B$15,Paramètres!$A$1:$I$89,3,0)*0.475*44/12</f>
        <v>1.8866935182399525</v>
      </c>
      <c r="EW31" s="23">
        <f>EXP(-LN(2)/25)*EW30+(1-EXP(-LN(2)/25))/(LN(2)/25)*Calculateur!ER31*Calculateur!ET31*VLOOKUP('Données projet'!$B$15,Paramètres!$A$1:$I$89,3,0)*0.475*44/12</f>
        <v>0</v>
      </c>
      <c r="EX31" s="23">
        <f>EXP(-LN(2)/2)*EX30+(1-EXP(-LN(2)/2))/(LN(2)/2)*ER31*EU31*VLOOKUP('Données projet'!$B$15,Paramètres!$A$1:$I$89,3,0)*0.475*44/12</f>
        <v>0</v>
      </c>
      <c r="EY31" s="24">
        <f t="shared" si="21"/>
        <v>1.8866935182399525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6.5</v>
      </c>
      <c r="N32" s="14">
        <f>IF('Données projet'!$A$36&gt;35,N31+M32-V31,IF(A32&lt;'Données projet'!$A$36,$K$205^A32,IF(A32='Données projet'!$A$36,'Données projet'!$B$36,N31+M32-V31)))</f>
        <v>163.5686707278193</v>
      </c>
      <c r="O32" s="14">
        <f>N32*VLOOKUP('Données projet'!$B$9,Paramètres!$A$1:$I$89,3,0)*VLOOKUP('Données projet'!$B$9,Paramètres!$A$1:$I$89,5,0)</f>
        <v>76.550137900619433</v>
      </c>
      <c r="P32" s="14">
        <f t="shared" si="33"/>
        <v>21.291523122789648</v>
      </c>
      <c r="Q32" s="22">
        <f t="shared" si="2"/>
        <v>170.40755961577079</v>
      </c>
      <c r="R32" s="62">
        <f t="shared" si="0"/>
        <v>462.51867072688196</v>
      </c>
      <c r="S32" s="62">
        <f ca="1">AVERAGE(OFFSET($R$3,0,0,'Données projet'!$E$9+1,1))-AVERAGE(OFFSET($H$3,0,0,'Données projet'!$E$9+1,1))</f>
        <v>317.54276561627643</v>
      </c>
      <c r="T32" s="62">
        <f t="shared" si="34"/>
        <v>238.92443174298893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11.4</v>
      </c>
      <c r="AI32" s="14">
        <f>IF('Données projet'!$A$62&gt;35,AI31+AH32-AQ31,IF(A32&lt;'Données projet'!$A$62,$AF$205^A32,IF(A32='Données projet'!$A$62,'Données projet'!$B$62,AI31+AH32-AQ31)))</f>
        <v>151.6</v>
      </c>
      <c r="AJ32" s="14">
        <f>AI32*VLOOKUP('Données projet'!$B$10,Paramètres!$A$1:$I$89,3,0)*VLOOKUP('Données projet'!$B$10,Paramètres!$A$1:$I$89,5,0)</f>
        <v>132.43776</v>
      </c>
      <c r="AK32" s="14">
        <f t="shared" si="35"/>
        <v>34.559043580858436</v>
      </c>
      <c r="AL32" s="22">
        <f t="shared" si="4"/>
        <v>290.85276623666175</v>
      </c>
      <c r="AM32" s="62">
        <f t="shared" si="5"/>
        <v>582.96387734777295</v>
      </c>
      <c r="AN32" s="62">
        <f ca="1">AVERAGE(OFFSET($AM$3,0,0,'Données projet'!$E$10+1,1))-AVERAGE(OFFSET($H$3,0,0,'Données projet'!$E$10+1,1))</f>
        <v>327.826081588335</v>
      </c>
      <c r="AO32" s="62">
        <f t="shared" si="36"/>
        <v>348.84706693879735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10.958263645463521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10.958263645463521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9.1999999999999993</v>
      </c>
      <c r="BD32" s="13">
        <f>IF('Données projet'!$A$88&gt;35,BD31+BC32-BL31,IF(A32&lt;'Données projet'!$A$88,$BA$205^A32,IF(A32='Données projet'!$A$88,'Données projet'!$B$88,BD31+BC32-BL31)))</f>
        <v>111.80000000000003</v>
      </c>
      <c r="BE32" s="14">
        <f>BD32*VLOOKUP('Données projet'!$B$11,Paramètres!$A$1:$I$89,3,0)*VLOOKUP('Données projet'!$B$11,Paramètres!$A$1:$I$89,5,0)</f>
        <v>113.36520000000003</v>
      </c>
      <c r="BF32" s="14">
        <f t="shared" si="37"/>
        <v>30.122456058687614</v>
      </c>
      <c r="BG32" s="22">
        <f t="shared" si="7"/>
        <v>249.9076676355476</v>
      </c>
      <c r="BH32" s="62">
        <f t="shared" si="8"/>
        <v>542.01877874665877</v>
      </c>
      <c r="BI32" s="62">
        <f ca="1">AVERAGE(OFFSET($BH$3,0,0,'Données projet'!$E$11+1,1))-AVERAGE(OFFSET($H$3,0,0,'Données projet'!$E$11+1,1))</f>
        <v>487.04124684635974</v>
      </c>
      <c r="BJ32" s="62">
        <f t="shared" si="38"/>
        <v>306.61893266146666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9.1999999999999993</v>
      </c>
      <c r="BY32" s="13">
        <f>IF('Données projet'!$A$114&gt;35,BY31+BX32-CG31,IF(A32&lt;'Données projet'!$A$114,$BV$205^A32,IF(A32='Données projet'!$A$114,'Données projet'!$B$114,BY31+BX32-CG31)))</f>
        <v>111.80000000000003</v>
      </c>
      <c r="BZ32" s="14">
        <f>BY32*VLOOKUP('Données projet'!$B$12,Paramètres!$A$1:$I$89,3,0)*VLOOKUP('Données projet'!$B$12,Paramètres!$A$1:$I$89,5,0)</f>
        <v>101.15664000000001</v>
      </c>
      <c r="CA32" s="14">
        <f t="shared" si="39"/>
        <v>27.237366379381644</v>
      </c>
      <c r="CB32" s="22">
        <f t="shared" si="10"/>
        <v>223.61956111075639</v>
      </c>
      <c r="CC32" s="62">
        <f t="shared" si="11"/>
        <v>515.73067222186751</v>
      </c>
      <c r="CD32" s="62">
        <f ca="1">AVERAGE(OFFSET($CC$3,0,0,'Données projet'!$E$12+1,1))-AVERAGE(OFFSET($H$3,0,0,'Données projet'!$E$12+1,1))</f>
        <v>439.06700232017681</v>
      </c>
      <c r="CE32" s="62">
        <f t="shared" si="40"/>
        <v>278.21741231699929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0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14.2</v>
      </c>
      <c r="CT32" s="13">
        <f>IF('Données projet'!$A$140&gt;35,CT31+CS32-DB31,IF(A32&lt;'Données projet'!$A$140,$CQ$205^A32,IF(A32='Données projet'!$A$140,'Données projet'!$B$140,CT31+CS32-DB31)))</f>
        <v>161.79999999999993</v>
      </c>
      <c r="CU32" s="18">
        <f>CT32*VLOOKUP('Données projet'!$B$13,Paramètres!$A$1:$I$89,3,0)*VLOOKUP('Données projet'!$B$13,Paramètres!$A$1:$I$89,5,0)</f>
        <v>118.63175999999994</v>
      </c>
      <c r="CV32" s="14">
        <f t="shared" si="41"/>
        <v>31.355667112617319</v>
      </c>
      <c r="CW32" s="22">
        <f t="shared" si="13"/>
        <v>261.22810222114174</v>
      </c>
      <c r="CX32" s="62">
        <f t="shared" si="14"/>
        <v>553.33921333225294</v>
      </c>
      <c r="CY32" s="62">
        <f ca="1">AVERAGE(OFFSET($CX$3,0,0,'Données projet'!$E$13+1,1))-AVERAGE(OFFSET($H$3,0,0,'Données projet'!$E$13+1,1))</f>
        <v>327.81662150328646</v>
      </c>
      <c r="CZ32" s="62">
        <f t="shared" si="42"/>
        <v>320.24200483294322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2.0414011218618175</v>
      </c>
      <c r="DG32" s="23">
        <f>EXP(-LN(2)/25)*DG31+(1-EXP(-LN(2)/25))/(LN(2)/25)*Calculateur!DB32*Calculateur!DD32*VLOOKUP('Données projet'!$B$13,Paramètres!$A$1:$I$89,3,0)*0.475*44/12</f>
        <v>0</v>
      </c>
      <c r="DH32" s="23">
        <f>EXP(-LN(2)/2)*DH31+(1-EXP(-LN(2)/2))/(LN(2)/2)*DB32*DE32*VLOOKUP('Données projet'!$B$13,Paramètres!$A$1:$I$89,3,0)*0.475*44/12</f>
        <v>0</v>
      </c>
      <c r="DI32" s="24">
        <f t="shared" si="15"/>
        <v>2.0414011218618175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7.4</v>
      </c>
      <c r="DO32" s="13">
        <f>IF('Données projet'!$A$166&gt;35,DO31+DN32-DW31,IF(A32&lt;'Données projet'!$A$166,$DL$205^A32,IF(A32='Données projet'!$A$166,'Données projet'!$B$166,DO31+DN32-DW31)))</f>
        <v>109.60000000000005</v>
      </c>
      <c r="DP32" s="18">
        <f>DO32*VLOOKUP('Données projet'!$B$14,Paramètres!$A$1:$I$89,3,0)*VLOOKUP('Données projet'!$B$14,Paramètres!$A$1:$I$89,5,0)</f>
        <v>71.809920000000034</v>
      </c>
      <c r="DQ32" s="14">
        <f t="shared" si="43"/>
        <v>20.122254550813</v>
      </c>
      <c r="DR32" s="22">
        <f t="shared" si="16"/>
        <v>160.1152040093327</v>
      </c>
      <c r="DS32" s="62">
        <f t="shared" si="17"/>
        <v>452.22631512044381</v>
      </c>
      <c r="DT32" s="62">
        <f ca="1">AVERAGE(OFFSET($DS$3,0,0,'Données projet'!$E$14+1,1))-AVERAGE(OFFSET($H$3,0,0,'Données projet'!$E$14+1,1))</f>
        <v>210.08998695869161</v>
      </c>
      <c r="DU32" s="62">
        <f t="shared" si="44"/>
        <v>207.30911916430881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>
        <f>EXP(-LN(2)/35)*EA31+(1-EXP(-LN(2)/35))/(LN(2)/35)*DW32*DX32*VLOOKUP('Données projet'!$B$14,Paramètres!$A$1:$I$89,3,0)*0.475*44/12</f>
        <v>0.46908791736399197</v>
      </c>
      <c r="EB32" s="23">
        <f>EXP(-LN(2)/25)*EB31+(1-EXP(-LN(2)/25))/(LN(2)/25)*Calculateur!DW32*Calculateur!DY32*VLOOKUP('Données projet'!$B$14,Paramètres!$A$1:$I$89,3,0)*0.475*44/12</f>
        <v>0</v>
      </c>
      <c r="EC32" s="23">
        <f>EXP(-LN(2)/2)*EC31+(1-EXP(-LN(2)/2))/(LN(2)/2)*DW32*DZ32*VLOOKUP('Données projet'!$B$14,Paramètres!$A$1:$I$89,3,0)*0.475*44/12</f>
        <v>0</v>
      </c>
      <c r="ED32" s="24">
        <f t="shared" si="18"/>
        <v>0.46908791736399197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11.5</v>
      </c>
      <c r="EJ32" s="13">
        <f>IF('Données projet'!$A$192&gt;35,EJ31+EI32-ER31,IF(A32&lt;'Données projet'!$A$192,$EG$205^A32,IF(A32='Données projet'!$A$192,'Données projet'!$B$192,EJ31+EI32-ER31)))</f>
        <v>131.99999999999994</v>
      </c>
      <c r="EK32" s="18">
        <f>EJ32*VLOOKUP('Données projet'!$B$15,Paramètres!$A$1:$I$89,3,0)*VLOOKUP('Données projet'!$B$15,Paramètres!$A$1:$I$89,5,0)</f>
        <v>102.95999999999997</v>
      </c>
      <c r="EL32" s="14">
        <f t="shared" si="45"/>
        <v>27.665975080374633</v>
      </c>
      <c r="EM32" s="22">
        <f t="shared" si="19"/>
        <v>227.50690659831903</v>
      </c>
      <c r="EN32" s="62">
        <f t="shared" si="20"/>
        <v>519.61801770943021</v>
      </c>
      <c r="EO32" s="62">
        <f ca="1">AVERAGE(OFFSET($EN$3,0,0,'Données projet'!$E$15+1,1))-AVERAGE(OFFSET($H$3,0,0,'Données projet'!$E$15+1,1))</f>
        <v>288.82868507674738</v>
      </c>
      <c r="EP32" s="62">
        <f t="shared" si="46"/>
        <v>283.48738729114024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>
        <f>EXP(-LN(2)/35)*EV31+(1-EXP(-LN(2)/35))/(LN(2)/35)*ER32*ES32*VLOOKUP('Données projet'!$B$15,Paramètres!$A$1:$I$89,3,0)*0.475*44/12</f>
        <v>1.849696609116684</v>
      </c>
      <c r="EW32" s="23">
        <f>EXP(-LN(2)/25)*EW31+(1-EXP(-LN(2)/25))/(LN(2)/25)*Calculateur!ER32*Calculateur!ET32*VLOOKUP('Données projet'!$B$15,Paramètres!$A$1:$I$89,3,0)*0.475*44/12</f>
        <v>0</v>
      </c>
      <c r="EX32" s="23">
        <f>EXP(-LN(2)/2)*EX31+(1-EXP(-LN(2)/2))/(LN(2)/2)*ER32*EU32*VLOOKUP('Données projet'!$B$15,Paramètres!$A$1:$I$89,3,0)*0.475*44/12</f>
        <v>0</v>
      </c>
      <c r="EY32" s="24">
        <f t="shared" si="21"/>
        <v>1.849696609116684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195</v>
      </c>
      <c r="L33" s="13">
        <f>VLOOKUP(A33,'Données projet'!$A$35:$I$55,9,0)</f>
        <v>6.5</v>
      </c>
      <c r="M33" s="13">
        <f t="array" ref="M33">INDEX(L:L,MIN(IF(ISNUMBER(L33:L229),ROW(L33:L229),"")))</f>
        <v>6.5</v>
      </c>
      <c r="N33" s="14">
        <f>IF('Données projet'!$A$36&gt;35,N32+M33-V32,IF(A33&lt;'Données projet'!$A$36,$K$205^A33,IF(A33='Données projet'!$A$36,'Données projet'!$B$36,N32+M33-V32)))</f>
        <v>195</v>
      </c>
      <c r="O33" s="14">
        <f>N33*VLOOKUP('Données projet'!$B$9,Paramètres!$A$1:$I$89,3,0)*VLOOKUP('Données projet'!$B$9,Paramètres!$A$1:$I$89,5,0)</f>
        <v>91.26</v>
      </c>
      <c r="P33" s="14">
        <f t="shared" si="33"/>
        <v>24.868860330902777</v>
      </c>
      <c r="Q33" s="22">
        <f t="shared" si="2"/>
        <v>202.25776507632233</v>
      </c>
      <c r="R33" s="62">
        <f t="shared" si="0"/>
        <v>495.59109840965561</v>
      </c>
      <c r="S33" s="62">
        <f ca="1">AVERAGE(OFFSET($R$3,0,0,'Données projet'!$E$9+1,1))-AVERAGE(OFFSET($H$3,0,0,'Données projet'!$E$9+1,1))</f>
        <v>317.54276561627643</v>
      </c>
      <c r="T33" s="62">
        <f t="shared" si="34"/>
        <v>238.92443174298893</v>
      </c>
      <c r="U33" s="16">
        <f>IF(ISNA(VLOOKUP(A33,'Données projet'!$A$35:$I$55,3,0)),0,VLOOKUP(A33,'Données projet'!$A$35:$I$55,3,0))</f>
        <v>1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163</v>
      </c>
      <c r="AG33" s="13">
        <f>VLOOKUP(A33,'Données projet'!$A$61:$I$81,9,0)</f>
        <v>11.4</v>
      </c>
      <c r="AH33" s="13">
        <f t="array" ref="AH33">INDEX(AG:AG,MIN(IF(ISNUMBER(AG33:AG229),ROW(AG33:AG229),"")))</f>
        <v>11.4</v>
      </c>
      <c r="AI33" s="14">
        <f>IF('Données projet'!$A$62&gt;35,AI32+AH33-AQ32,IF(A33&lt;'Données projet'!$A$62,$AF$205^A33,IF(A33='Données projet'!$A$62,'Données projet'!$B$62,AI32+AH33-AQ32)))</f>
        <v>163</v>
      </c>
      <c r="AJ33" s="14">
        <f>AI33*VLOOKUP('Données projet'!$B$10,Paramètres!$A$1:$I$89,3,0)*VLOOKUP('Données projet'!$B$10,Paramètres!$A$1:$I$89,5,0)</f>
        <v>142.39680000000004</v>
      </c>
      <c r="AK33" s="14">
        <f t="shared" si="35"/>
        <v>36.845535084476985</v>
      </c>
      <c r="AL33" s="22">
        <f t="shared" si="4"/>
        <v>312.18040027213078</v>
      </c>
      <c r="AM33" s="62">
        <f t="shared" si="5"/>
        <v>605.51373360546404</v>
      </c>
      <c r="AN33" s="62">
        <f ca="1">AVERAGE(OFFSET($AM$3,0,0,'Données projet'!$E$10+1,1))-AVERAGE(OFFSET($H$3,0,0,'Données projet'!$E$10+1,1))</f>
        <v>327.826081588335</v>
      </c>
      <c r="AO33" s="62">
        <f t="shared" si="36"/>
        <v>348.84706693879735</v>
      </c>
      <c r="AP33" s="16">
        <f>IF(ISNA(VLOOKUP(A33,'Données projet'!$A$61:$I$81,3,0)),0,VLOOKUP(A33,'Données projet'!$A$61:$I$81,3,0))</f>
        <v>3</v>
      </c>
      <c r="AQ33" s="16">
        <f>IF(ISNA(VLOOKUP(A33,'Données projet'!$A$61:$I$81,4,0)),0,VLOOKUP(A33,'Données projet'!$A$61:$I$81,4,0))</f>
        <v>37</v>
      </c>
      <c r="AR33" s="17">
        <f>IF(ISNA(VLOOKUP(A33,'Données projet'!$A$61:$I$81,5,0)),0%,VLOOKUP(A33,'Données projet'!$A$61:$I$81,5,0)*VLOOKUP('Données projet'!$B$10,Paramètres!$A$1:$I$89,7,0))</f>
        <v>0.17200000000000001</v>
      </c>
      <c r="AS33" s="17">
        <f>IF(ISNA(VLOOKUP(A33,'Données projet'!$A$61:$I$81,6,0)),0%,VLOOKUP(A33,'Données projet'!$A$61:$I$81,6,0)*VLOOKUP('Données projet'!$B$10,Paramètres!$A$1:$I$89,7,0))</f>
        <v>8.6000000000000007E-2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6.1459625095357469</v>
      </c>
      <c r="AV33" s="23">
        <f>EXP(-LN(2)/25)*AV32+(1-EXP(-LN(2)/25))/(LN(2)/25)*Calculateur!AQ33*Calculateur!AS33*VLOOKUP('Données projet'!$B$10,Paramètres!$A$1:$I$89,3,0)*0.475*44/12</f>
        <v>13.719491106478479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19.865453616014225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121</v>
      </c>
      <c r="BB33" s="13">
        <f>VLOOKUP(A33,'Données projet'!$A$87:$I$107,9,0)</f>
        <v>9.1999999999999993</v>
      </c>
      <c r="BC33" s="13">
        <f t="array" ref="BC33">INDEX(BB:BB,MIN(IF(ISNUMBER(BB33:BB229),ROW(BB33:BB229),"")))</f>
        <v>9.1999999999999993</v>
      </c>
      <c r="BD33" s="13">
        <f>IF('Données projet'!$A$88&gt;35,BD32+BC33-BL32,IF(A33&lt;'Données projet'!$A$88,$BA$205^A33,IF(A33='Données projet'!$A$88,'Données projet'!$B$88,BD32+BC33-BL32)))</f>
        <v>121.00000000000003</v>
      </c>
      <c r="BE33" s="14">
        <f>BD33*VLOOKUP('Données projet'!$B$11,Paramètres!$A$1:$I$89,3,0)*VLOOKUP('Données projet'!$B$11,Paramètres!$A$1:$I$89,5,0)</f>
        <v>122.69400000000003</v>
      </c>
      <c r="BF33" s="14">
        <f t="shared" si="37"/>
        <v>32.302516360650685</v>
      </c>
      <c r="BG33" s="22">
        <f t="shared" si="7"/>
        <v>269.95226599480003</v>
      </c>
      <c r="BH33" s="62">
        <f t="shared" si="8"/>
        <v>563.28559932813334</v>
      </c>
      <c r="BI33" s="62">
        <f ca="1">AVERAGE(OFFSET($BH$3,0,0,'Données projet'!$E$11+1,1))-AVERAGE(OFFSET($H$3,0,0,'Données projet'!$E$11+1,1))</f>
        <v>487.04124684635974</v>
      </c>
      <c r="BJ33" s="62">
        <f t="shared" si="38"/>
        <v>306.61893266146666</v>
      </c>
      <c r="BK33" s="16">
        <f>IF(ISNA(VLOOKUP(A33,'Données projet'!$A$87:$I$107,3,0)),0,VLOOKUP(A33,'Données projet'!$A$87:$I$107,3,0))</f>
        <v>3</v>
      </c>
      <c r="BL33" s="16">
        <f>IF(ISNA(VLOOKUP(A33,'Données projet'!$A$87:$I$107,4,0)),0,VLOOKUP(A33,'Données projet'!$A$87:$I$107,4,0))</f>
        <v>28</v>
      </c>
      <c r="BM33" s="17">
        <f>IF(ISNA(VLOOKUP(A33,'Données projet'!$A$87:$I$107,5,0)),0%,VLOOKUP(A33,'Données projet'!$A$87:$I$107,5,0)*VLOOKUP('Données projet'!$B$11,Paramètres!$A$1:$I$89,7,0))</f>
        <v>8.6000000000000007E-2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2.6992402913501592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2.6992402913501592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121</v>
      </c>
      <c r="BW33" s="13">
        <f>VLOOKUP(A33,'Données projet'!$A$113:$I$133,9,0)</f>
        <v>9.1999999999999993</v>
      </c>
      <c r="BX33" s="13">
        <f t="array" ref="BX33">INDEX(BW:BW,MIN(IF(ISNUMBER(BW33:BW229),ROW(BW33:BW229),"")))</f>
        <v>9.1999999999999993</v>
      </c>
      <c r="BY33" s="13">
        <f>IF('Données projet'!$A$114&gt;35,BY32+BX33-CG32,IF(A33&lt;'Données projet'!$A$114,$BV$205^A33,IF(A33='Données projet'!$A$114,'Données projet'!$B$114,BY32+BX33-CG32)))</f>
        <v>121.00000000000003</v>
      </c>
      <c r="BZ33" s="14">
        <f>BY33*VLOOKUP('Données projet'!$B$12,Paramètres!$A$1:$I$89,3,0)*VLOOKUP('Données projet'!$B$12,Paramètres!$A$1:$I$89,5,0)</f>
        <v>109.48080000000002</v>
      </c>
      <c r="CA33" s="14">
        <f t="shared" si="39"/>
        <v>29.208623339903898</v>
      </c>
      <c r="CB33" s="22">
        <f t="shared" si="10"/>
        <v>241.55074565033269</v>
      </c>
      <c r="CC33" s="62">
        <f t="shared" si="11"/>
        <v>534.88407898366597</v>
      </c>
      <c r="CD33" s="62">
        <f ca="1">AVERAGE(OFFSET($CC$3,0,0,'Données projet'!$E$12+1,1))-AVERAGE(OFFSET($H$3,0,0,'Données projet'!$E$12+1,1))</f>
        <v>439.06700232017681</v>
      </c>
      <c r="CE33" s="62">
        <f t="shared" si="40"/>
        <v>278.21741231699929</v>
      </c>
      <c r="CF33" s="16">
        <f>IF(ISNA(VLOOKUP(A33,'Données projet'!$A$113:$I$133,3,0)),0,VLOOKUP(A33,'Données projet'!$A$113:$I$133,3,0))</f>
        <v>3</v>
      </c>
      <c r="CG33" s="16">
        <f>IF(ISNA(VLOOKUP(A33,'Données projet'!$A$113:$I$133,4,0)),0,VLOOKUP(A33,'Données projet'!$A$113:$I$133,4,0))</f>
        <v>28</v>
      </c>
      <c r="CH33" s="17">
        <f>IF(ISNA(VLOOKUP(A33,'Données projet'!$A$113:$I$133,5,0)),0%,VLOOKUP(A33,'Données projet'!$A$113:$I$133,5,0)*VLOOKUP('Données projet'!$B$12,Paramètres!$A$1:$I$89,7,0))</f>
        <v>8.6000000000000007E-2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2.4085528753586032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2.4085528753586032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>
        <f>VLOOKUP(A33,'Données projet'!$A$139:$I$159,2,0)</f>
        <v>176</v>
      </c>
      <c r="CR33" s="13">
        <f>VLOOKUP(A33,'Données projet'!$A$139:$I$159,9,0)</f>
        <v>14.2</v>
      </c>
      <c r="CS33" s="13">
        <f t="array" ref="CS33">INDEX(CR:CR,MIN(IF(ISNUMBER(CR33:CR229),ROW(CR33:CR229),"")))</f>
        <v>14.2</v>
      </c>
      <c r="CT33" s="13">
        <f>IF('Données projet'!$A$140&gt;35,CT32+CS33-DB32,IF(A33&lt;'Données projet'!$A$140,$CQ$205^A33,IF(A33='Données projet'!$A$140,'Données projet'!$B$140,CT32+CS33-DB32)))</f>
        <v>175.99999999999991</v>
      </c>
      <c r="CU33" s="18">
        <f>CT33*VLOOKUP('Données projet'!$B$13,Paramètres!$A$1:$I$89,3,0)*VLOOKUP('Données projet'!$B$13,Paramètres!$A$1:$I$89,5,0)</f>
        <v>129.04319999999993</v>
      </c>
      <c r="CV33" s="14">
        <f t="shared" si="41"/>
        <v>33.775175980637393</v>
      </c>
      <c r="CW33" s="22">
        <f t="shared" si="13"/>
        <v>283.57533816627659</v>
      </c>
      <c r="CX33" s="62">
        <f t="shared" si="14"/>
        <v>576.90867149960991</v>
      </c>
      <c r="CY33" s="62">
        <f ca="1">AVERAGE(OFFSET($CX$3,0,0,'Données projet'!$E$13+1,1))-AVERAGE(OFFSET($H$3,0,0,'Données projet'!$E$13+1,1))</f>
        <v>327.81662150328646</v>
      </c>
      <c r="CZ33" s="62">
        <f t="shared" si="42"/>
        <v>320.24200483294322</v>
      </c>
      <c r="DA33" s="16">
        <f>IF(ISNA(VLOOKUP(A33,'Données projet'!$A$139:$I$159,3,0)),0,VLOOKUP(A33,'Données projet'!$A$139:$I$159,3,0))</f>
        <v>5</v>
      </c>
      <c r="DB33" s="16">
        <f>IF(ISNA(VLOOKUP(A33,'Données projet'!$A$139:$I$159,4,0)),0,VLOOKUP(A33,'Données projet'!$A$139:$I$159,4,0))</f>
        <v>35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projet'!$B$13,Paramètres!$A$1:$I$89,3,0)*0.475*44/12</f>
        <v>2.0013704909938452</v>
      </c>
      <c r="DG33" s="23">
        <f>EXP(-LN(2)/25)*DG32+(1-EXP(-LN(2)/25))/(LN(2)/25)*Calculateur!DB33*Calculateur!DD33*VLOOKUP('Données projet'!$B$13,Paramètres!$A$1:$I$89,3,0)*0.475*44/12</f>
        <v>0</v>
      </c>
      <c r="DH33" s="23">
        <f>EXP(-LN(2)/2)*DH32+(1-EXP(-LN(2)/2))/(LN(2)/2)*DB33*DE33*VLOOKUP('Données projet'!$B$13,Paramètres!$A$1:$I$89,3,0)*0.475*44/12</f>
        <v>0</v>
      </c>
      <c r="DI33" s="24">
        <f t="shared" si="15"/>
        <v>2.0013704909938452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>
        <f>VLOOKUP(A33,'Données projet'!$A$165:$I$185,2,0)</f>
        <v>117</v>
      </c>
      <c r="DM33" s="13">
        <f>VLOOKUP(A33,'Données projet'!$A$165:$I$185,9,0)</f>
        <v>7.4</v>
      </c>
      <c r="DN33" s="13">
        <f t="array" ref="DN33">INDEX(DM:DM,MIN(IF(ISNUMBER(DM33:DM229),ROW(DM33:DM229),"")))</f>
        <v>7.4</v>
      </c>
      <c r="DO33" s="13">
        <f>IF('Données projet'!$A$166&gt;35,DO32+DN33-DW32,IF(A33&lt;'Données projet'!$A$166,$DL$205^A33,IF(A33='Données projet'!$A$166,'Données projet'!$B$166,DO32+DN33-DW32)))</f>
        <v>117.00000000000006</v>
      </c>
      <c r="DP33" s="18">
        <f>DO33*VLOOKUP('Données projet'!$B$14,Paramètres!$A$1:$I$89,3,0)*VLOOKUP('Données projet'!$B$14,Paramètres!$A$1:$I$89,5,0)</f>
        <v>76.658400000000043</v>
      </c>
      <c r="DQ33" s="14">
        <f t="shared" si="43"/>
        <v>21.318127749842365</v>
      </c>
      <c r="DR33" s="22">
        <f t="shared" si="16"/>
        <v>170.64245249764218</v>
      </c>
      <c r="DS33" s="62">
        <f t="shared" si="17"/>
        <v>463.9757858309755</v>
      </c>
      <c r="DT33" s="62">
        <f ca="1">AVERAGE(OFFSET($DS$3,0,0,'Données projet'!$E$14+1,1))-AVERAGE(OFFSET($H$3,0,0,'Données projet'!$E$14+1,1))</f>
        <v>210.08998695869161</v>
      </c>
      <c r="DU33" s="62">
        <f t="shared" si="44"/>
        <v>207.30911916430881</v>
      </c>
      <c r="DV33" s="16">
        <f>IF(ISNA(VLOOKUP(A33,'Données projet'!$A$165:$I$185,3,0)),0,VLOOKUP(A33,'Données projet'!$A$165:$I$185,3,0))</f>
        <v>5</v>
      </c>
      <c r="DW33" s="16">
        <f>IF(ISNA(VLOOKUP(A33,'Données projet'!$A$165:$I$185,4,0)),0,VLOOKUP(A33,'Données projet'!$A$165:$I$185,4,0))</f>
        <v>20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>
        <f>EXP(-LN(2)/35)*EA32+(1-EXP(-LN(2)/35))/(LN(2)/35)*DW33*DX33*VLOOKUP('Données projet'!$B$14,Paramètres!$A$1:$I$89,3,0)*0.475*44/12</f>
        <v>0.45988938941986213</v>
      </c>
      <c r="EB33" s="23">
        <f>EXP(-LN(2)/25)*EB32+(1-EXP(-LN(2)/25))/(LN(2)/25)*Calculateur!DW33*Calculateur!DY33*VLOOKUP('Données projet'!$B$14,Paramètres!$A$1:$I$89,3,0)*0.475*44/12</f>
        <v>0</v>
      </c>
      <c r="EC33" s="23">
        <f>EXP(-LN(2)/2)*EC32+(1-EXP(-LN(2)/2))/(LN(2)/2)*DW33*DZ33*VLOOKUP('Données projet'!$B$14,Paramètres!$A$1:$I$89,3,0)*0.475*44/12</f>
        <v>0</v>
      </c>
      <c r="ED33" s="24">
        <f t="shared" si="18"/>
        <v>0.45988938941986213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11.5</v>
      </c>
      <c r="EJ33" s="13">
        <f>IF('Données projet'!$A$192&gt;35,EJ32+EI33-ER32,IF(A33&lt;'Données projet'!$A$192,$EG$205^A33,IF(A33='Données projet'!$A$192,'Données projet'!$B$192,EJ32+EI33-ER32)))</f>
        <v>143.49999999999994</v>
      </c>
      <c r="EK33" s="18">
        <f>EJ33*VLOOKUP('Données projet'!$B$15,Paramètres!$A$1:$I$89,3,0)*VLOOKUP('Données projet'!$B$15,Paramètres!$A$1:$I$89,5,0)</f>
        <v>111.92999999999996</v>
      </c>
      <c r="EL33" s="14">
        <f t="shared" si="45"/>
        <v>29.785246291563833</v>
      </c>
      <c r="EM33" s="22">
        <f t="shared" si="19"/>
        <v>246.82072062447358</v>
      </c>
      <c r="EN33" s="62">
        <f t="shared" si="20"/>
        <v>540.15405395780692</v>
      </c>
      <c r="EO33" s="62">
        <f ca="1">AVERAGE(OFFSET($EN$3,0,0,'Données projet'!$E$15+1,1))-AVERAGE(OFFSET($H$3,0,0,'Données projet'!$E$15+1,1))</f>
        <v>288.82868507674738</v>
      </c>
      <c r="EP33" s="62">
        <f t="shared" si="46"/>
        <v>283.48738729114024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>
        <f>EXP(-LN(2)/35)*EV32+(1-EXP(-LN(2)/35))/(LN(2)/35)*ER33*ES33*VLOOKUP('Données projet'!$B$15,Paramètres!$A$1:$I$89,3,0)*0.475*44/12</f>
        <v>1.8134251868154365</v>
      </c>
      <c r="EW33" s="23">
        <f>EXP(-LN(2)/25)*EW32+(1-EXP(-LN(2)/25))/(LN(2)/25)*Calculateur!ER33*Calculateur!ET33*VLOOKUP('Données projet'!$B$15,Paramètres!$A$1:$I$89,3,0)*0.475*44/12</f>
        <v>0</v>
      </c>
      <c r="EX33" s="23">
        <f>EXP(-LN(2)/2)*EX32+(1-EXP(-LN(2)/2))/(LN(2)/2)*ER33*EU33*VLOOKUP('Données projet'!$B$15,Paramètres!$A$1:$I$89,3,0)*0.475*44/12</f>
        <v>0</v>
      </c>
      <c r="EY33" s="24">
        <f t="shared" si="21"/>
        <v>1.8134251868154365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17</v>
      </c>
      <c r="N34" s="14">
        <f>IF('Données projet'!$A$36&gt;35,N33+M34-V33,IF(A34&lt;'Données projet'!$A$36,$K$205^A34,IF(A34='Données projet'!$A$36,'Données projet'!$B$36,N33+M34-V33)))</f>
        <v>212</v>
      </c>
      <c r="O34" s="14">
        <f>N34*VLOOKUP('Données projet'!$B$9,Paramètres!$A$1:$I$89,3,0)*VLOOKUP('Données projet'!$B$9,Paramètres!$A$1:$I$89,5,0)</f>
        <v>99.215999999999994</v>
      </c>
      <c r="P34" s="14">
        <f t="shared" si="33"/>
        <v>26.775134885576414</v>
      </c>
      <c r="Q34" s="22">
        <f t="shared" si="2"/>
        <v>219.43455992571219</v>
      </c>
      <c r="R34" s="62">
        <f t="shared" si="0"/>
        <v>512.76789325904554</v>
      </c>
      <c r="S34" s="62">
        <f ca="1">AVERAGE(OFFSET($R$3,0,0,'Données projet'!$E$9+1,1))-AVERAGE(OFFSET($H$3,0,0,'Données projet'!$E$9+1,1))</f>
        <v>317.54276561627643</v>
      </c>
      <c r="T34" s="62">
        <f t="shared" si="34"/>
        <v>238.92443174298893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10.6</v>
      </c>
      <c r="AI34" s="14">
        <f>IF('Données projet'!$A$62&gt;35,AI33+AH34-AQ33,IF(A34&lt;'Données projet'!$A$62,$AF$205^A34,IF(A34='Données projet'!$A$62,'Données projet'!$B$62,AI33+AH34-AQ33)))</f>
        <v>136.6</v>
      </c>
      <c r="AJ34" s="14">
        <f>AI34*VLOOKUP('Données projet'!$B$10,Paramètres!$A$1:$I$89,3,0)*VLOOKUP('Données projet'!$B$10,Paramètres!$A$1:$I$89,5,0)</f>
        <v>119.33376000000001</v>
      </c>
      <c r="AK34" s="14">
        <f t="shared" si="35"/>
        <v>31.519559440518702</v>
      </c>
      <c r="AL34" s="22">
        <f t="shared" si="4"/>
        <v>262.7361980255701</v>
      </c>
      <c r="AM34" s="62">
        <f t="shared" si="5"/>
        <v>556.06953135890342</v>
      </c>
      <c r="AN34" s="62">
        <f ca="1">AVERAGE(OFFSET($AM$3,0,0,'Données projet'!$E$10+1,1))-AVERAGE(OFFSET($H$3,0,0,'Données projet'!$E$10+1,1))</f>
        <v>327.826081588335</v>
      </c>
      <c r="AO34" s="62">
        <f t="shared" si="36"/>
        <v>348.84706693879735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6.0254439333907319</v>
      </c>
      <c r="AV34" s="23">
        <f>EXP(-LN(2)/25)*AV33+(1-EXP(-LN(2)/25))/(LN(2)/25)*Calculateur!AQ34*Calculateur!AS34*VLOOKUP('Données projet'!$B$10,Paramètres!$A$1:$I$89,3,0)*0.475*44/12</f>
        <v>13.344330900695144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19.369774834085877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10.8</v>
      </c>
      <c r="BD34" s="13">
        <f>IF('Données projet'!$A$88&gt;35,BD33+BC34-BL33,IF(A34&lt;'Données projet'!$A$88,$BA$205^A34,IF(A34='Données projet'!$A$88,'Données projet'!$B$88,BD33+BC34-BL33)))</f>
        <v>103.80000000000004</v>
      </c>
      <c r="BE34" s="14">
        <f>BD34*VLOOKUP('Données projet'!$B$11,Paramètres!$A$1:$I$89,3,0)*VLOOKUP('Données projet'!$B$11,Paramètres!$A$1:$I$89,5,0)</f>
        <v>105.25320000000005</v>
      </c>
      <c r="BF34" s="14">
        <f t="shared" si="37"/>
        <v>28.209746498519422</v>
      </c>
      <c r="BG34" s="22">
        <f t="shared" si="7"/>
        <v>232.44796515158808</v>
      </c>
      <c r="BH34" s="62">
        <f t="shared" si="8"/>
        <v>525.78129848492142</v>
      </c>
      <c r="BI34" s="62">
        <f ca="1">AVERAGE(OFFSET($BH$3,0,0,'Données projet'!$E$11+1,1))-AVERAGE(OFFSET($H$3,0,0,'Données projet'!$E$11+1,1))</f>
        <v>487.04124684635974</v>
      </c>
      <c r="BJ34" s="62">
        <f t="shared" si="38"/>
        <v>306.61893266146666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2.6463098356107944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2.6463098356107944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10.8</v>
      </c>
      <c r="BY34" s="13">
        <f>IF('Données projet'!$A$114&gt;35,BY33+BX34-CG33,IF(A34&lt;'Données projet'!$A$114,$BV$205^A34,IF(A34='Données projet'!$A$114,'Données projet'!$B$114,BY33+BX34-CG33)))</f>
        <v>103.80000000000004</v>
      </c>
      <c r="BZ34" s="14">
        <f>BY34*VLOOKUP('Données projet'!$B$12,Paramètres!$A$1:$I$89,3,0)*VLOOKUP('Données projet'!$B$12,Paramètres!$A$1:$I$89,5,0)</f>
        <v>93.91824000000004</v>
      </c>
      <c r="CA34" s="14">
        <f t="shared" si="39"/>
        <v>25.507853654186022</v>
      </c>
      <c r="CB34" s="22">
        <f t="shared" si="10"/>
        <v>208.00044644770739</v>
      </c>
      <c r="CC34" s="62">
        <f t="shared" si="11"/>
        <v>501.33377978104068</v>
      </c>
      <c r="CD34" s="62">
        <f ca="1">AVERAGE(OFFSET($CC$3,0,0,'Données projet'!$E$12+1,1))-AVERAGE(OFFSET($H$3,0,0,'Données projet'!$E$12+1,1))</f>
        <v>439.06700232017681</v>
      </c>
      <c r="CE34" s="62">
        <f t="shared" si="40"/>
        <v>278.21741231699929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2.3613226225450159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2.3613226225450159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13</v>
      </c>
      <c r="CT34" s="13">
        <f>IF('Données projet'!$A$140&gt;35,CT33+CS34-DB33,IF(A34&lt;'Données projet'!$A$140,$CQ$205^A34,IF(A34='Données projet'!$A$140,'Données projet'!$B$140,CT33+CS34-DB33)))</f>
        <v>153.99999999999991</v>
      </c>
      <c r="CU34" s="18">
        <f>CT34*VLOOKUP('Données projet'!$B$13,Paramètres!$A$1:$I$89,3,0)*VLOOKUP('Données projet'!$B$13,Paramètres!$A$1:$I$89,5,0)</f>
        <v>112.91279999999993</v>
      </c>
      <c r="CV34" s="14">
        <f t="shared" si="41"/>
        <v>30.016215601722546</v>
      </c>
      <c r="CW34" s="22">
        <f t="shared" si="13"/>
        <v>248.93470217300001</v>
      </c>
      <c r="CX34" s="62">
        <f t="shared" si="14"/>
        <v>542.26803550633326</v>
      </c>
      <c r="CY34" s="62">
        <f ca="1">AVERAGE(OFFSET($CX$3,0,0,'Données projet'!$E$13+1,1))-AVERAGE(OFFSET($H$3,0,0,'Données projet'!$E$13+1,1))</f>
        <v>327.81662150328646</v>
      </c>
      <c r="CZ34" s="62">
        <f t="shared" si="42"/>
        <v>320.24200483294322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1.9621248363809198</v>
      </c>
      <c r="DG34" s="23">
        <f>EXP(-LN(2)/25)*DG33+(1-EXP(-LN(2)/25))/(LN(2)/25)*Calculateur!DB34*Calculateur!DD34*VLOOKUP('Données projet'!$B$13,Paramètres!$A$1:$I$89,3,0)*0.475*44/12</f>
        <v>0</v>
      </c>
      <c r="DH34" s="23">
        <f>EXP(-LN(2)/2)*DH33+(1-EXP(-LN(2)/2))/(LN(2)/2)*DB34*DE34*VLOOKUP('Données projet'!$B$13,Paramètres!$A$1:$I$89,3,0)*0.475*44/12</f>
        <v>0</v>
      </c>
      <c r="DI34" s="24">
        <f t="shared" si="15"/>
        <v>1.9621248363809198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7</v>
      </c>
      <c r="DO34" s="13">
        <f>IF('Données projet'!$A$166&gt;35,DO33+DN34-DW33,IF(A34&lt;'Données projet'!$A$166,$DL$205^A34,IF(A34='Données projet'!$A$166,'Données projet'!$B$166,DO33+DN34-DW33)))</f>
        <v>104.00000000000006</v>
      </c>
      <c r="DP34" s="18">
        <f>DO34*VLOOKUP('Données projet'!$B$14,Paramètres!$A$1:$I$89,3,0)*VLOOKUP('Données projet'!$B$14,Paramètres!$A$1:$I$89,5,0)</f>
        <v>68.140800000000041</v>
      </c>
      <c r="DQ34" s="14">
        <f t="shared" si="43"/>
        <v>19.211031830304478</v>
      </c>
      <c r="DR34" s="22">
        <f t="shared" si="16"/>
        <v>152.13777377111367</v>
      </c>
      <c r="DS34" s="62">
        <f t="shared" si="17"/>
        <v>445.47110710444701</v>
      </c>
      <c r="DT34" s="62">
        <f ca="1">AVERAGE(OFFSET($DS$3,0,0,'Données projet'!$E$14+1,1))-AVERAGE(OFFSET($H$3,0,0,'Données projet'!$E$14+1,1))</f>
        <v>210.08998695869161</v>
      </c>
      <c r="DU34" s="62">
        <f t="shared" si="44"/>
        <v>207.30911916430881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>
        <f>EXP(-LN(2)/35)*EA33+(1-EXP(-LN(2)/35))/(LN(2)/35)*DW34*DX34*VLOOKUP('Données projet'!$B$14,Paramètres!$A$1:$I$89,3,0)*0.475*44/12</f>
        <v>0.45087123899816861</v>
      </c>
      <c r="EB34" s="23">
        <f>EXP(-LN(2)/25)*EB33+(1-EXP(-LN(2)/25))/(LN(2)/25)*Calculateur!DW34*Calculateur!DY34*VLOOKUP('Données projet'!$B$14,Paramètres!$A$1:$I$89,3,0)*0.475*44/12</f>
        <v>0</v>
      </c>
      <c r="EC34" s="23">
        <f>EXP(-LN(2)/2)*EC33+(1-EXP(-LN(2)/2))/(LN(2)/2)*DW34*DZ34*VLOOKUP('Données projet'!$B$14,Paramètres!$A$1:$I$89,3,0)*0.475*44/12</f>
        <v>0</v>
      </c>
      <c r="ED34" s="24">
        <f t="shared" si="18"/>
        <v>0.45087123899816861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>
        <f>VLOOKUP(A34,'Données projet'!$A$191:$I$211,2,0)</f>
        <v>155</v>
      </c>
      <c r="EH34" s="13">
        <f>VLOOKUP(A34,'Données projet'!$A$191:$I$211,9,0)</f>
        <v>11.5</v>
      </c>
      <c r="EI34" s="13">
        <f t="array" ref="EI34">INDEX(EH:EH,MIN(IF(ISNUMBER(EH34:EH230),ROW(EH34:EH230),"")))</f>
        <v>11.5</v>
      </c>
      <c r="EJ34" s="13">
        <f>IF('Données projet'!$A$192&gt;35,EJ33+EI34-ER33,IF(A34&lt;'Données projet'!$A$192,$EG$205^A34,IF(A34='Données projet'!$A$192,'Données projet'!$B$192,EJ33+EI34-ER33)))</f>
        <v>154.99999999999994</v>
      </c>
      <c r="EK34" s="18">
        <f>EJ34*VLOOKUP('Données projet'!$B$15,Paramètres!$A$1:$I$89,3,0)*VLOOKUP('Données projet'!$B$15,Paramètres!$A$1:$I$89,5,0)</f>
        <v>120.89999999999996</v>
      </c>
      <c r="EL34" s="14">
        <f t="shared" si="45"/>
        <v>31.884818143351602</v>
      </c>
      <c r="EM34" s="22">
        <f t="shared" si="19"/>
        <v>266.10022493300397</v>
      </c>
      <c r="EN34" s="62">
        <f t="shared" si="20"/>
        <v>559.43355826633729</v>
      </c>
      <c r="EO34" s="62">
        <f ca="1">AVERAGE(OFFSET($EN$3,0,0,'Données projet'!$E$15+1,1))-AVERAGE(OFFSET($H$3,0,0,'Données projet'!$E$15+1,1))</f>
        <v>288.82868507674738</v>
      </c>
      <c r="EP34" s="62">
        <f t="shared" si="46"/>
        <v>283.48738729114024</v>
      </c>
      <c r="EQ34" s="16">
        <f>IF(ISNA(VLOOKUP(A34,'Données projet'!$A$191:$I$211,3,0)),0,VLOOKUP(A34,'Données projet'!$A$191:$I$211,3,0))</f>
        <v>4</v>
      </c>
      <c r="ER34" s="16">
        <f>IF(ISNA(VLOOKUP(A34,'Données projet'!$A$191:$I$211,4,0)),0,VLOOKUP(A34,'Données projet'!$A$191:$I$211,4,0))</f>
        <v>36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>
        <f>EXP(-LN(2)/35)*EV33+(1-EXP(-LN(2)/35))/(LN(2)/35)*ER34*ES34*VLOOKUP('Données projet'!$B$15,Paramètres!$A$1:$I$89,3,0)*0.475*44/12</f>
        <v>1.7778650249821335</v>
      </c>
      <c r="EW34" s="23">
        <f>EXP(-LN(2)/25)*EW33+(1-EXP(-LN(2)/25))/(LN(2)/25)*Calculateur!ER34*Calculateur!ET34*VLOOKUP('Données projet'!$B$15,Paramètres!$A$1:$I$89,3,0)*0.475*44/12</f>
        <v>0</v>
      </c>
      <c r="EX34" s="23">
        <f>EXP(-LN(2)/2)*EX33+(1-EXP(-LN(2)/2))/(LN(2)/2)*ER34*EU34*VLOOKUP('Données projet'!$B$15,Paramètres!$A$1:$I$89,3,0)*0.475*44/12</f>
        <v>0</v>
      </c>
      <c r="EY34" s="24">
        <f t="shared" si="21"/>
        <v>1.7778650249821335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17</v>
      </c>
      <c r="N35" s="14">
        <f>IF('Données projet'!$A$36&gt;35,N34+M35-V34,IF(A35&lt;'Données projet'!$A$36,$K$205^A35,IF(A35='Données projet'!$A$36,'Données projet'!$B$36,N34+M35-V34)))</f>
        <v>229</v>
      </c>
      <c r="O35" s="14">
        <f>N35*VLOOKUP('Données projet'!$B$9,Paramètres!$A$1:$I$89,3,0)*VLOOKUP('Données projet'!$B$9,Paramètres!$A$1:$I$89,5,0)</f>
        <v>107.172</v>
      </c>
      <c r="P35" s="14">
        <f t="shared" si="33"/>
        <v>28.663679082578788</v>
      </c>
      <c r="Q35" s="22">
        <f t="shared" ref="Q35:Q66" si="53">(O35+P35)*0.475*44/12</f>
        <v>236.58047440215805</v>
      </c>
      <c r="R35" s="62">
        <f t="shared" si="0"/>
        <v>529.91380773549133</v>
      </c>
      <c r="S35" s="62">
        <f ca="1">AVERAGE(OFFSET($R$3,0,0,'Données projet'!$E$9+1,1))-AVERAGE(OFFSET($H$3,0,0,'Données projet'!$E$9+1,1))</f>
        <v>317.54276561627643</v>
      </c>
      <c r="T35" s="62">
        <f t="shared" si="34"/>
        <v>238.92443174298893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10.6</v>
      </c>
      <c r="AI35" s="14">
        <f>IF('Données projet'!$A$62&gt;35,AI34+AH35-AQ34,IF(A35&lt;'Données projet'!$A$62,$AF$205^A35,IF(A35='Données projet'!$A$62,'Données projet'!$B$62,AI34+AH35-AQ34)))</f>
        <v>147.19999999999999</v>
      </c>
      <c r="AJ35" s="14">
        <f>AI35*VLOOKUP('Données projet'!$B$10,Paramètres!$A$1:$I$89,3,0)*VLOOKUP('Données projet'!$B$10,Paramètres!$A$1:$I$89,5,0)</f>
        <v>128.59392</v>
      </c>
      <c r="AK35" s="14">
        <f t="shared" si="35"/>
        <v>33.671250175837564</v>
      </c>
      <c r="AL35" s="22">
        <f t="shared" si="4"/>
        <v>282.61183805625041</v>
      </c>
      <c r="AM35" s="62">
        <f t="shared" si="5"/>
        <v>575.94517138958372</v>
      </c>
      <c r="AN35" s="62">
        <f ca="1">AVERAGE(OFFSET($AM$3,0,0,'Données projet'!$E$10+1,1))-AVERAGE(OFFSET($H$3,0,0,'Données projet'!$E$10+1,1))</f>
        <v>327.826081588335</v>
      </c>
      <c r="AO35" s="62">
        <f t="shared" si="36"/>
        <v>348.84706693879735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5.907288653014847</v>
      </c>
      <c r="AV35" s="23">
        <f>EXP(-LN(2)/25)*AV34+(1-EXP(-LN(2)/25))/(LN(2)/25)*Calculateur!AQ35*Calculateur!AS35*VLOOKUP('Données projet'!$B$10,Paramètres!$A$1:$I$89,3,0)*0.475*44/12</f>
        <v>12.979429470467773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18.88671812348262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10.8</v>
      </c>
      <c r="BD35" s="13">
        <f>IF('Données projet'!$A$88&gt;35,BD34+BC35-BL34,IF(A35&lt;'Données projet'!$A$88,$BA$205^A35,IF(A35='Données projet'!$A$88,'Données projet'!$B$88,BD34+BC35-BL34)))</f>
        <v>114.60000000000004</v>
      </c>
      <c r="BE35" s="14">
        <f>BD35*VLOOKUP('Données projet'!$B$11,Paramètres!$A$1:$I$89,3,0)*VLOOKUP('Données projet'!$B$11,Paramètres!$A$1:$I$89,5,0)</f>
        <v>116.20440000000004</v>
      </c>
      <c r="BF35" s="14">
        <f t="shared" si="37"/>
        <v>30.788088768016376</v>
      </c>
      <c r="BG35" s="22">
        <f t="shared" si="7"/>
        <v>256.01191793762854</v>
      </c>
      <c r="BH35" s="62">
        <f t="shared" si="8"/>
        <v>549.34525127096185</v>
      </c>
      <c r="BI35" s="62">
        <f ca="1">AVERAGE(OFFSET($BH$3,0,0,'Données projet'!$E$11+1,1))-AVERAGE(OFFSET($H$3,0,0,'Données projet'!$E$11+1,1))</f>
        <v>487.04124684635974</v>
      </c>
      <c r="BJ35" s="62">
        <f t="shared" si="38"/>
        <v>306.61893266146666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2.5944173138240885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2.5944173138240885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10.8</v>
      </c>
      <c r="BY35" s="13">
        <f>IF('Données projet'!$A$114&gt;35,BY34+BX35-CG34,IF(A35&lt;'Données projet'!$A$114,$BV$205^A35,IF(A35='Données projet'!$A$114,'Données projet'!$B$114,BY34+BX35-CG34)))</f>
        <v>114.60000000000004</v>
      </c>
      <c r="BZ35" s="14">
        <f>BY35*VLOOKUP('Données projet'!$B$12,Paramètres!$A$1:$I$89,3,0)*VLOOKUP('Données projet'!$B$12,Paramètres!$A$1:$I$89,5,0)</f>
        <v>103.69008000000004</v>
      </c>
      <c r="CA35" s="14">
        <f t="shared" si="39"/>
        <v>27.83924565319537</v>
      </c>
      <c r="CB35" s="22">
        <f t="shared" si="10"/>
        <v>229.08024217931529</v>
      </c>
      <c r="CC35" s="62">
        <f t="shared" si="11"/>
        <v>522.41357551264855</v>
      </c>
      <c r="CD35" s="62">
        <f ca="1">AVERAGE(OFFSET($CC$3,0,0,'Données projet'!$E$12+1,1))-AVERAGE(OFFSET($H$3,0,0,'Données projet'!$E$12+1,1))</f>
        <v>439.06700232017681</v>
      </c>
      <c r="CE35" s="62">
        <f t="shared" si="40"/>
        <v>278.21741231699929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2.3150185261814937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2.3150185261814937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13</v>
      </c>
      <c r="CT35" s="13">
        <f>IF('Données projet'!$A$140&gt;35,CT34+CS35-DB34,IF(A35&lt;'Données projet'!$A$140,$CQ$205^A35,IF(A35='Données projet'!$A$140,'Données projet'!$B$140,CT34+CS35-DB34)))</f>
        <v>166.99999999999991</v>
      </c>
      <c r="CU35" s="18">
        <f>CT35*VLOOKUP('Données projet'!$B$13,Paramètres!$A$1:$I$89,3,0)*VLOOKUP('Données projet'!$B$13,Paramètres!$A$1:$I$89,5,0)</f>
        <v>122.44439999999993</v>
      </c>
      <c r="CV35" s="14">
        <f t="shared" si="41"/>
        <v>32.244444629402452</v>
      </c>
      <c r="CW35" s="22">
        <f t="shared" si="13"/>
        <v>269.41640439620915</v>
      </c>
      <c r="CX35" s="62">
        <f t="shared" si="14"/>
        <v>562.7497377295424</v>
      </c>
      <c r="CY35" s="62">
        <f ca="1">AVERAGE(OFFSET($CX$3,0,0,'Données projet'!$E$13+1,1))-AVERAGE(OFFSET($H$3,0,0,'Données projet'!$E$13+1,1))</f>
        <v>327.81662150328646</v>
      </c>
      <c r="CZ35" s="62">
        <f t="shared" si="42"/>
        <v>320.24200483294322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1.9236487651174681</v>
      </c>
      <c r="DG35" s="23">
        <f>EXP(-LN(2)/25)*DG34+(1-EXP(-LN(2)/25))/(LN(2)/25)*Calculateur!DB35*Calculateur!DD35*VLOOKUP('Données projet'!$B$13,Paramètres!$A$1:$I$89,3,0)*0.475*44/12</f>
        <v>0</v>
      </c>
      <c r="DH35" s="23">
        <f>EXP(-LN(2)/2)*DH34+(1-EXP(-LN(2)/2))/(LN(2)/2)*DB35*DE35*VLOOKUP('Données projet'!$B$13,Paramètres!$A$1:$I$89,3,0)*0.475*44/12</f>
        <v>0</v>
      </c>
      <c r="DI35" s="24">
        <f t="shared" si="15"/>
        <v>1.9236487651174681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7</v>
      </c>
      <c r="DO35" s="13">
        <f>IF('Données projet'!$A$166&gt;35,DO34+DN35-DW34,IF(A35&lt;'Données projet'!$A$166,$DL$205^A35,IF(A35='Données projet'!$A$166,'Données projet'!$B$166,DO34+DN35-DW34)))</f>
        <v>111.00000000000006</v>
      </c>
      <c r="DP35" s="18">
        <f>DO35*VLOOKUP('Données projet'!$B$14,Paramètres!$A$1:$I$89,3,0)*VLOOKUP('Données projet'!$B$14,Paramètres!$A$1:$I$89,5,0)</f>
        <v>72.727200000000025</v>
      </c>
      <c r="DQ35" s="14">
        <f t="shared" si="43"/>
        <v>20.349203598669767</v>
      </c>
      <c r="DR35" s="22">
        <f t="shared" si="16"/>
        <v>162.10806960101658</v>
      </c>
      <c r="DS35" s="62">
        <f t="shared" si="17"/>
        <v>455.44140293434987</v>
      </c>
      <c r="DT35" s="62">
        <f ca="1">AVERAGE(OFFSET($DS$3,0,0,'Données projet'!$E$14+1,1))-AVERAGE(OFFSET($H$3,0,0,'Données projet'!$E$14+1,1))</f>
        <v>210.08998695869161</v>
      </c>
      <c r="DU35" s="62">
        <f t="shared" si="44"/>
        <v>207.30911916430881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>
        <f>EXP(-LN(2)/35)*EA34+(1-EXP(-LN(2)/35))/(LN(2)/35)*DW35*DX35*VLOOKUP('Données projet'!$B$14,Paramètres!$A$1:$I$89,3,0)*0.475*44/12</f>
        <v>0.44202992900571592</v>
      </c>
      <c r="EB35" s="23">
        <f>EXP(-LN(2)/25)*EB34+(1-EXP(-LN(2)/25))/(LN(2)/25)*Calculateur!DW35*Calculateur!DY35*VLOOKUP('Données projet'!$B$14,Paramètres!$A$1:$I$89,3,0)*0.475*44/12</f>
        <v>0</v>
      </c>
      <c r="EC35" s="23">
        <f>EXP(-LN(2)/2)*EC34+(1-EXP(-LN(2)/2))/(LN(2)/2)*DW35*DZ35*VLOOKUP('Données projet'!$B$14,Paramètres!$A$1:$I$89,3,0)*0.475*44/12</f>
        <v>0</v>
      </c>
      <c r="ED35" s="24">
        <f t="shared" si="18"/>
        <v>0.44202992900571592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11.5</v>
      </c>
      <c r="EJ35" s="13">
        <f>IF('Données projet'!$A$192&gt;35,EJ34+EI35-ER34,IF(A35&lt;'Données projet'!$A$192,$EG$205^A35,IF(A35='Données projet'!$A$192,'Données projet'!$B$192,EJ34+EI35-ER34)))</f>
        <v>130.49999999999994</v>
      </c>
      <c r="EK35" s="18">
        <f>EJ35*VLOOKUP('Données projet'!$B$15,Paramètres!$A$1:$I$89,3,0)*VLOOKUP('Données projet'!$B$15,Paramètres!$A$1:$I$89,5,0)</f>
        <v>101.78999999999996</v>
      </c>
      <c r="EL35" s="14">
        <f t="shared" si="45"/>
        <v>27.38799903683508</v>
      </c>
      <c r="EM35" s="22">
        <f t="shared" si="19"/>
        <v>224.98501498915437</v>
      </c>
      <c r="EN35" s="62">
        <f t="shared" si="20"/>
        <v>518.31834832248774</v>
      </c>
      <c r="EO35" s="62">
        <f ca="1">AVERAGE(OFFSET($EN$3,0,0,'Données projet'!$E$15+1,1))-AVERAGE(OFFSET($H$3,0,0,'Données projet'!$E$15+1,1))</f>
        <v>288.82868507674738</v>
      </c>
      <c r="EP35" s="62">
        <f t="shared" si="46"/>
        <v>283.48738729114024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>
        <f>EXP(-LN(2)/35)*EV34+(1-EXP(-LN(2)/35))/(LN(2)/35)*ER35*ES35*VLOOKUP('Données projet'!$B$15,Paramètres!$A$1:$I$89,3,0)*0.475*44/12</f>
        <v>1.7430021762328245</v>
      </c>
      <c r="EW35" s="23">
        <f>EXP(-LN(2)/25)*EW34+(1-EXP(-LN(2)/25))/(LN(2)/25)*Calculateur!ER35*Calculateur!ET35*VLOOKUP('Données projet'!$B$15,Paramètres!$A$1:$I$89,3,0)*0.475*44/12</f>
        <v>0</v>
      </c>
      <c r="EX35" s="23">
        <f>EXP(-LN(2)/2)*EX34+(1-EXP(-LN(2)/2))/(LN(2)/2)*ER35*EU35*VLOOKUP('Données projet'!$B$15,Paramètres!$A$1:$I$89,3,0)*0.475*44/12</f>
        <v>0</v>
      </c>
      <c r="EY35" s="24">
        <f t="shared" si="21"/>
        <v>1.7430021762328245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17</v>
      </c>
      <c r="N36" s="14">
        <f>IF('Données projet'!$A$36&gt;35,N35+M36-V35,IF(A36&lt;'Données projet'!$A$36,$K$205^A36,IF(A36='Données projet'!$A$36,'Données projet'!$B$36,N35+M36-V35)))</f>
        <v>246</v>
      </c>
      <c r="O36" s="14">
        <f>N36*VLOOKUP('Données projet'!$B$9,Paramètres!$A$1:$I$89,3,0)*VLOOKUP('Données projet'!$B$9,Paramètres!$A$1:$I$89,5,0)</f>
        <v>115.128</v>
      </c>
      <c r="P36" s="14">
        <f t="shared" si="33"/>
        <v>30.53595882135</v>
      </c>
      <c r="Q36" s="22">
        <f t="shared" si="53"/>
        <v>253.69806161385125</v>
      </c>
      <c r="R36" s="62">
        <f t="shared" si="0"/>
        <v>547.03139494718459</v>
      </c>
      <c r="S36" s="62">
        <f ca="1">AVERAGE(OFFSET($R$3,0,0,'Données projet'!$E$9+1,1))-AVERAGE(OFFSET($H$3,0,0,'Données projet'!$E$9+1,1))</f>
        <v>317.54276561627643</v>
      </c>
      <c r="T36" s="62">
        <f t="shared" si="34"/>
        <v>238.92443174298893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10.6</v>
      </c>
      <c r="AI36" s="14">
        <f>IF('Données projet'!$A$62&gt;35,AI35+AH36-AQ35,IF(A36&lt;'Données projet'!$A$62,$AF$205^A36,IF(A36='Données projet'!$A$62,'Données projet'!$B$62,AI35+AH36-AQ35)))</f>
        <v>157.79999999999998</v>
      </c>
      <c r="AJ36" s="14">
        <f>AI36*VLOOKUP('Données projet'!$B$10,Paramètres!$A$1:$I$89,3,0)*VLOOKUP('Données projet'!$B$10,Paramètres!$A$1:$I$89,5,0)</f>
        <v>137.85408000000001</v>
      </c>
      <c r="AK36" s="14">
        <f t="shared" si="35"/>
        <v>35.804964283629964</v>
      </c>
      <c r="AL36" s="22">
        <f t="shared" si="4"/>
        <v>302.45616879398887</v>
      </c>
      <c r="AM36" s="62">
        <f t="shared" si="5"/>
        <v>595.78950212732218</v>
      </c>
      <c r="AN36" s="62">
        <f ca="1">AVERAGE(OFFSET($AM$3,0,0,'Données projet'!$E$10+1,1))-AVERAGE(OFFSET($H$3,0,0,'Données projet'!$E$10+1,1))</f>
        <v>327.826081588335</v>
      </c>
      <c r="AO36" s="62">
        <f t="shared" si="36"/>
        <v>348.84706693879735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5.7914503256195289</v>
      </c>
      <c r="AV36" s="23">
        <f>EXP(-LN(2)/25)*AV35+(1-EXP(-LN(2)/25))/(LN(2)/25)*Calculateur!AQ36*Calculateur!AS36*VLOOKUP('Données projet'!$B$10,Paramètres!$A$1:$I$89,3,0)*0.475*44/12</f>
        <v>12.624506289039301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18.415956614658832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10.8</v>
      </c>
      <c r="BD36" s="13">
        <f>IF('Données projet'!$A$88&gt;35,BD35+BC36-BL35,IF(A36&lt;'Données projet'!$A$88,$BA$205^A36,IF(A36='Données projet'!$A$88,'Données projet'!$B$88,BD35+BC36-BL35)))</f>
        <v>125.40000000000003</v>
      </c>
      <c r="BE36" s="14">
        <f>BD36*VLOOKUP('Données projet'!$B$11,Paramètres!$A$1:$I$89,3,0)*VLOOKUP('Données projet'!$B$11,Paramètres!$A$1:$I$89,5,0)</f>
        <v>127.15560000000004</v>
      </c>
      <c r="BF36" s="14">
        <f t="shared" si="37"/>
        <v>33.338258149231912</v>
      </c>
      <c r="BG36" s="22">
        <f t="shared" si="7"/>
        <v>279.52680294324563</v>
      </c>
      <c r="BH36" s="62">
        <f t="shared" si="8"/>
        <v>572.86013627657894</v>
      </c>
      <c r="BI36" s="62">
        <f ca="1">AVERAGE(OFFSET($BH$3,0,0,'Données projet'!$E$11+1,1))-AVERAGE(OFFSET($H$3,0,0,'Données projet'!$E$11+1,1))</f>
        <v>487.04124684635974</v>
      </c>
      <c r="BJ36" s="62">
        <f t="shared" si="38"/>
        <v>306.61893266146666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2.5435423727383069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2.5435423727383069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10.8</v>
      </c>
      <c r="BY36" s="13">
        <f>IF('Données projet'!$A$114&gt;35,BY35+BX36-CG35,IF(A36&lt;'Données projet'!$A$114,$BV$205^A36,IF(A36='Données projet'!$A$114,'Données projet'!$B$114,BY35+BX36-CG35)))</f>
        <v>125.40000000000003</v>
      </c>
      <c r="BZ36" s="14">
        <f>BY36*VLOOKUP('Données projet'!$B$12,Paramètres!$A$1:$I$89,3,0)*VLOOKUP('Données projet'!$B$12,Paramètres!$A$1:$I$89,5,0)</f>
        <v>113.46192000000002</v>
      </c>
      <c r="CA36" s="14">
        <f t="shared" si="39"/>
        <v>30.145163126535493</v>
      </c>
      <c r="CB36" s="22">
        <f t="shared" si="10"/>
        <v>250.11566977871598</v>
      </c>
      <c r="CC36" s="62">
        <f t="shared" si="11"/>
        <v>543.44900311204924</v>
      </c>
      <c r="CD36" s="62">
        <f ca="1">AVERAGE(OFFSET($CC$3,0,0,'Données projet'!$E$12+1,1))-AVERAGE(OFFSET($H$3,0,0,'Données projet'!$E$12+1,1))</f>
        <v>439.06700232017681</v>
      </c>
      <c r="CE36" s="62">
        <f t="shared" si="40"/>
        <v>278.21741231699929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2.2696224249049499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2.2696224249049499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13</v>
      </c>
      <c r="CT36" s="13">
        <f>IF('Données projet'!$A$140&gt;35,CT35+CS36-DB35,IF(A36&lt;'Données projet'!$A$140,$CQ$205^A36,IF(A36='Données projet'!$A$140,'Données projet'!$B$140,CT35+CS36-DB35)))</f>
        <v>179.99999999999991</v>
      </c>
      <c r="CU36" s="18">
        <f>CT36*VLOOKUP('Données projet'!$B$13,Paramètres!$A$1:$I$89,3,0)*VLOOKUP('Données projet'!$B$13,Paramètres!$A$1:$I$89,5,0)</f>
        <v>131.97599999999994</v>
      </c>
      <c r="CV36" s="14">
        <f t="shared" si="41"/>
        <v>34.452553259401945</v>
      </c>
      <c r="CW36" s="22">
        <f t="shared" si="13"/>
        <v>289.86306359345826</v>
      </c>
      <c r="CX36" s="62">
        <f t="shared" si="14"/>
        <v>583.19639692679152</v>
      </c>
      <c r="CY36" s="62">
        <f ca="1">AVERAGE(OFFSET($CX$3,0,0,'Données projet'!$E$13+1,1))-AVERAGE(OFFSET($H$3,0,0,'Données projet'!$E$13+1,1))</f>
        <v>327.81662150328646</v>
      </c>
      <c r="CZ36" s="62">
        <f t="shared" si="42"/>
        <v>320.24200483294322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1.8859271861434066</v>
      </c>
      <c r="DG36" s="23">
        <f>EXP(-LN(2)/25)*DG35+(1-EXP(-LN(2)/25))/(LN(2)/25)*Calculateur!DB36*Calculateur!DD36*VLOOKUP('Données projet'!$B$13,Paramètres!$A$1:$I$89,3,0)*0.475*44/12</f>
        <v>0</v>
      </c>
      <c r="DH36" s="23">
        <f>EXP(-LN(2)/2)*DH35+(1-EXP(-LN(2)/2))/(LN(2)/2)*DB36*DE36*VLOOKUP('Données projet'!$B$13,Paramètres!$A$1:$I$89,3,0)*0.475*44/12</f>
        <v>0</v>
      </c>
      <c r="DI36" s="24">
        <f t="shared" si="15"/>
        <v>1.8859271861434066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7</v>
      </c>
      <c r="DO36" s="13">
        <f>IF('Données projet'!$A$166&gt;35,DO35+DN36-DW35,IF(A36&lt;'Données projet'!$A$166,$DL$205^A36,IF(A36='Données projet'!$A$166,'Données projet'!$B$166,DO35+DN36-DW35)))</f>
        <v>118.00000000000006</v>
      </c>
      <c r="DP36" s="18">
        <f>DO36*VLOOKUP('Données projet'!$B$14,Paramètres!$A$1:$I$89,3,0)*VLOOKUP('Données projet'!$B$14,Paramètres!$A$1:$I$89,5,0)</f>
        <v>77.313600000000037</v>
      </c>
      <c r="DQ36" s="14">
        <f t="shared" si="43"/>
        <v>21.479045333592058</v>
      </c>
      <c r="DR36" s="22">
        <f t="shared" si="16"/>
        <v>172.06385728933955</v>
      </c>
      <c r="DS36" s="62">
        <f t="shared" si="17"/>
        <v>465.39719062267284</v>
      </c>
      <c r="DT36" s="62">
        <f ca="1">AVERAGE(OFFSET($DS$3,0,0,'Données projet'!$E$14+1,1))-AVERAGE(OFFSET($H$3,0,0,'Données projet'!$E$14+1,1))</f>
        <v>210.08998695869161</v>
      </c>
      <c r="DU36" s="62">
        <f t="shared" si="44"/>
        <v>207.30911916430881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>
        <f>EXP(-LN(2)/35)*EA35+(1-EXP(-LN(2)/35))/(LN(2)/35)*DW36*DX36*VLOOKUP('Données projet'!$B$14,Paramètres!$A$1:$I$89,3,0)*0.475*44/12</f>
        <v>0.43336199170954859</v>
      </c>
      <c r="EB36" s="23">
        <f>EXP(-LN(2)/25)*EB35+(1-EXP(-LN(2)/25))/(LN(2)/25)*Calculateur!DW36*Calculateur!DY36*VLOOKUP('Données projet'!$B$14,Paramètres!$A$1:$I$89,3,0)*0.475*44/12</f>
        <v>0</v>
      </c>
      <c r="EC36" s="23">
        <f>EXP(-LN(2)/2)*EC35+(1-EXP(-LN(2)/2))/(LN(2)/2)*DW36*DZ36*VLOOKUP('Données projet'!$B$14,Paramètres!$A$1:$I$89,3,0)*0.475*44/12</f>
        <v>0</v>
      </c>
      <c r="ED36" s="24">
        <f t="shared" si="18"/>
        <v>0.43336199170954859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11.5</v>
      </c>
      <c r="EJ36" s="13">
        <f>IF('Données projet'!$A$192&gt;35,EJ35+EI36-ER35,IF(A36&lt;'Données projet'!$A$192,$EG$205^A36,IF(A36='Données projet'!$A$192,'Données projet'!$B$192,EJ35+EI36-ER35)))</f>
        <v>141.99999999999994</v>
      </c>
      <c r="EK36" s="18">
        <f>EJ36*VLOOKUP('Données projet'!$B$15,Paramètres!$A$1:$I$89,3,0)*VLOOKUP('Données projet'!$B$15,Paramètres!$A$1:$I$89,5,0)</f>
        <v>110.75999999999996</v>
      </c>
      <c r="EL36" s="14">
        <f t="shared" si="45"/>
        <v>29.509974682362923</v>
      </c>
      <c r="EM36" s="22">
        <f t="shared" si="19"/>
        <v>244.30353923844871</v>
      </c>
      <c r="EN36" s="62">
        <f t="shared" si="20"/>
        <v>537.63687257178208</v>
      </c>
      <c r="EO36" s="62">
        <f ca="1">AVERAGE(OFFSET($EN$3,0,0,'Données projet'!$E$15+1,1))-AVERAGE(OFFSET($H$3,0,0,'Données projet'!$E$15+1,1))</f>
        <v>288.82868507674738</v>
      </c>
      <c r="EP36" s="62">
        <f t="shared" si="46"/>
        <v>283.48738729114024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>
        <f>EXP(-LN(2)/35)*EV35+(1-EXP(-LN(2)/35))/(LN(2)/35)*ER36*ES36*VLOOKUP('Données projet'!$B$15,Paramètres!$A$1:$I$89,3,0)*0.475*44/12</f>
        <v>1.7088229666832513</v>
      </c>
      <c r="EW36" s="23">
        <f>EXP(-LN(2)/25)*EW35+(1-EXP(-LN(2)/25))/(LN(2)/25)*Calculateur!ER36*Calculateur!ET36*VLOOKUP('Données projet'!$B$15,Paramètres!$A$1:$I$89,3,0)*0.475*44/12</f>
        <v>0</v>
      </c>
      <c r="EX36" s="23">
        <f>EXP(-LN(2)/2)*EX35+(1-EXP(-LN(2)/2))/(LN(2)/2)*ER36*EU36*VLOOKUP('Données projet'!$B$15,Paramètres!$A$1:$I$89,3,0)*0.475*44/12</f>
        <v>0</v>
      </c>
      <c r="EY36" s="24">
        <f t="shared" si="21"/>
        <v>1.7088229666832513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17</v>
      </c>
      <c r="N37" s="14">
        <f>IF('Données projet'!$A$36&gt;35,N36+M37-V36,IF(A37&lt;'Données projet'!$A$36,$K$205^A37,IF(A37='Données projet'!$A$36,'Données projet'!$B$36,N36+M37-V36)))</f>
        <v>263</v>
      </c>
      <c r="O37" s="14">
        <f>N37*VLOOKUP('Données projet'!$B$9,Paramètres!$A$1:$I$89,3,0)*VLOOKUP('Données projet'!$B$9,Paramètres!$A$1:$I$89,5,0)</f>
        <v>123.08399999999999</v>
      </c>
      <c r="P37" s="14">
        <f t="shared" si="33"/>
        <v>32.393225926509828</v>
      </c>
      <c r="Q37" s="22">
        <f t="shared" si="53"/>
        <v>270.78950182200458</v>
      </c>
      <c r="R37" s="62">
        <f t="shared" si="0"/>
        <v>564.12283515533795</v>
      </c>
      <c r="S37" s="62">
        <f ca="1">AVERAGE(OFFSET($R$3,0,0,'Données projet'!$E$9+1,1))-AVERAGE(OFFSET($H$3,0,0,'Données projet'!$E$9+1,1))</f>
        <v>317.54276561627643</v>
      </c>
      <c r="T37" s="62">
        <f t="shared" si="34"/>
        <v>238.92443174298893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10.6</v>
      </c>
      <c r="AI37" s="14">
        <f>IF('Données projet'!$A$62&gt;35,AI36+AH37-AQ36,IF(A37&lt;'Données projet'!$A$62,$AF$205^A37,IF(A37='Données projet'!$A$62,'Données projet'!$B$62,AI36+AH37-AQ36)))</f>
        <v>168.39999999999998</v>
      </c>
      <c r="AJ37" s="14">
        <f>AI37*VLOOKUP('Données projet'!$B$10,Paramètres!$A$1:$I$89,3,0)*VLOOKUP('Données projet'!$B$10,Paramètres!$A$1:$I$89,5,0)</f>
        <v>147.11424</v>
      </c>
      <c r="AK37" s="14">
        <f t="shared" si="35"/>
        <v>37.922046712608186</v>
      </c>
      <c r="AL37" s="22">
        <f t="shared" si="4"/>
        <v>322.27153269112591</v>
      </c>
      <c r="AM37" s="62">
        <f t="shared" si="5"/>
        <v>615.60486602445917</v>
      </c>
      <c r="AN37" s="62">
        <f ca="1">AVERAGE(OFFSET($AM$3,0,0,'Données projet'!$E$10+1,1))-AVERAGE(OFFSET($H$3,0,0,'Données projet'!$E$10+1,1))</f>
        <v>327.826081588335</v>
      </c>
      <c r="AO37" s="62">
        <f t="shared" si="36"/>
        <v>348.84706693879735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5.677883517170029</v>
      </c>
      <c r="AV37" s="23">
        <f>EXP(-LN(2)/25)*AV36+(1-EXP(-LN(2)/25))/(LN(2)/25)*Calculateur!AQ37*Calculateur!AS37*VLOOKUP('Données projet'!$B$10,Paramètres!$A$1:$I$89,3,0)*0.475*44/12</f>
        <v>12.279288500671589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17.957172017841618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10.8</v>
      </c>
      <c r="BD37" s="13">
        <f>IF('Données projet'!$A$88&gt;35,BD36+BC37-BL36,IF(A37&lt;'Données projet'!$A$88,$BA$205^A37,IF(A37='Données projet'!$A$88,'Données projet'!$B$88,BD36+BC37-BL36)))</f>
        <v>136.20000000000005</v>
      </c>
      <c r="BE37" s="14">
        <f>BD37*VLOOKUP('Données projet'!$B$11,Paramètres!$A$1:$I$89,3,0)*VLOOKUP('Données projet'!$B$11,Paramètres!$A$1:$I$89,5,0)</f>
        <v>138.10680000000005</v>
      </c>
      <c r="BF37" s="14">
        <f t="shared" si="37"/>
        <v>35.862956890686135</v>
      </c>
      <c r="BG37" s="22">
        <f t="shared" si="7"/>
        <v>302.99732658461176</v>
      </c>
      <c r="BH37" s="62">
        <f t="shared" si="8"/>
        <v>596.33065991794501</v>
      </c>
      <c r="BI37" s="62">
        <f ca="1">AVERAGE(OFFSET($BH$3,0,0,'Données projet'!$E$11+1,1))-AVERAGE(OFFSET($H$3,0,0,'Données projet'!$E$11+1,1))</f>
        <v>487.04124684635974</v>
      </c>
      <c r="BJ37" s="62">
        <f t="shared" si="38"/>
        <v>306.61893266146666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2.4936650582165671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2.4936650582165671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10.8</v>
      </c>
      <c r="BY37" s="13">
        <f>IF('Données projet'!$A$114&gt;35,BY36+BX37-CG36,IF(A37&lt;'Données projet'!$A$114,$BV$205^A37,IF(A37='Données projet'!$A$114,'Données projet'!$B$114,BY36+BX37-CG36)))</f>
        <v>136.20000000000005</v>
      </c>
      <c r="BZ37" s="14">
        <f>BY37*VLOOKUP('Données projet'!$B$12,Paramètres!$A$1:$I$89,3,0)*VLOOKUP('Données projet'!$B$12,Paramètres!$A$1:$I$89,5,0)</f>
        <v>123.23376000000005</v>
      </c>
      <c r="CA37" s="14">
        <f t="shared" si="39"/>
        <v>32.428049504876491</v>
      </c>
      <c r="CB37" s="22">
        <f t="shared" si="10"/>
        <v>271.11098488765998</v>
      </c>
      <c r="CC37" s="62">
        <f t="shared" si="11"/>
        <v>564.4443182209933</v>
      </c>
      <c r="CD37" s="62">
        <f ca="1">AVERAGE(OFFSET($CC$3,0,0,'Données projet'!$E$12+1,1))-AVERAGE(OFFSET($H$3,0,0,'Données projet'!$E$12+1,1))</f>
        <v>439.06700232017681</v>
      </c>
      <c r="CE37" s="62">
        <f t="shared" si="40"/>
        <v>278.21741231699929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2.2251165134855517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2.2251165134855517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13</v>
      </c>
      <c r="CT37" s="13">
        <f>IF('Données projet'!$A$140&gt;35,CT36+CS37-DB36,IF(A37&lt;'Données projet'!$A$140,$CQ$205^A37,IF(A37='Données projet'!$A$140,'Données projet'!$B$140,CT36+CS37-DB36)))</f>
        <v>192.99999999999991</v>
      </c>
      <c r="CU37" s="18">
        <f>CT37*VLOOKUP('Données projet'!$B$13,Paramètres!$A$1:$I$89,3,0)*VLOOKUP('Données projet'!$B$13,Paramètres!$A$1:$I$89,5,0)</f>
        <v>141.50759999999994</v>
      </c>
      <c r="CV37" s="14">
        <f t="shared" si="41"/>
        <v>36.642159893060018</v>
      </c>
      <c r="CW37" s="22">
        <f t="shared" si="13"/>
        <v>310.27749848041276</v>
      </c>
      <c r="CX37" s="62">
        <f t="shared" si="14"/>
        <v>603.61083181374602</v>
      </c>
      <c r="CY37" s="62">
        <f ca="1">AVERAGE(OFFSET($CX$3,0,0,'Données projet'!$E$13+1,1))-AVERAGE(OFFSET($H$3,0,0,'Données projet'!$E$13+1,1))</f>
        <v>327.81662150328646</v>
      </c>
      <c r="CZ37" s="62">
        <f t="shared" si="42"/>
        <v>320.24200483294322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1.8489453043251352</v>
      </c>
      <c r="DG37" s="23">
        <f>EXP(-LN(2)/25)*DG36+(1-EXP(-LN(2)/25))/(LN(2)/25)*Calculateur!DB37*Calculateur!DD37*VLOOKUP('Données projet'!$B$13,Paramètres!$A$1:$I$89,3,0)*0.475*44/12</f>
        <v>0</v>
      </c>
      <c r="DH37" s="23">
        <f>EXP(-LN(2)/2)*DH36+(1-EXP(-LN(2)/2))/(LN(2)/2)*DB37*DE37*VLOOKUP('Données projet'!$B$13,Paramètres!$A$1:$I$89,3,0)*0.475*44/12</f>
        <v>0</v>
      </c>
      <c r="DI37" s="24">
        <f t="shared" si="15"/>
        <v>1.8489453043251352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7</v>
      </c>
      <c r="DO37" s="13">
        <f>IF('Données projet'!$A$166&gt;35,DO36+DN37-DW36,IF(A37&lt;'Données projet'!$A$166,$DL$205^A37,IF(A37='Données projet'!$A$166,'Données projet'!$B$166,DO36+DN37-DW36)))</f>
        <v>125.00000000000006</v>
      </c>
      <c r="DP37" s="18">
        <f>DO37*VLOOKUP('Données projet'!$B$14,Paramètres!$A$1:$I$89,3,0)*VLOOKUP('Données projet'!$B$14,Paramètres!$A$1:$I$89,5,0)</f>
        <v>81.900000000000034</v>
      </c>
      <c r="DQ37" s="14">
        <f t="shared" si="43"/>
        <v>22.601107473346342</v>
      </c>
      <c r="DR37" s="22">
        <f t="shared" si="16"/>
        <v>182.00609551607829</v>
      </c>
      <c r="DS37" s="62">
        <f t="shared" si="17"/>
        <v>475.3394288494116</v>
      </c>
      <c r="DT37" s="62">
        <f ca="1">AVERAGE(OFFSET($DS$3,0,0,'Données projet'!$E$14+1,1))-AVERAGE(OFFSET($H$3,0,0,'Données projet'!$E$14+1,1))</f>
        <v>210.08998695869161</v>
      </c>
      <c r="DU37" s="62">
        <f t="shared" si="44"/>
        <v>207.30911916430881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>
        <f>EXP(-LN(2)/35)*EA36+(1-EXP(-LN(2)/35))/(LN(2)/35)*DW37*DX37*VLOOKUP('Données projet'!$B$14,Paramètres!$A$1:$I$89,3,0)*0.475*44/12</f>
        <v>0.42486402737683937</v>
      </c>
      <c r="EB37" s="23">
        <f>EXP(-LN(2)/25)*EB36+(1-EXP(-LN(2)/25))/(LN(2)/25)*Calculateur!DW37*Calculateur!DY37*VLOOKUP('Données projet'!$B$14,Paramètres!$A$1:$I$89,3,0)*0.475*44/12</f>
        <v>0</v>
      </c>
      <c r="EC37" s="23">
        <f>EXP(-LN(2)/2)*EC36+(1-EXP(-LN(2)/2))/(LN(2)/2)*DW37*DZ37*VLOOKUP('Données projet'!$B$14,Paramètres!$A$1:$I$89,3,0)*0.475*44/12</f>
        <v>0</v>
      </c>
      <c r="ED37" s="24">
        <f t="shared" si="18"/>
        <v>0.42486402737683937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11.5</v>
      </c>
      <c r="EJ37" s="13">
        <f>IF('Données projet'!$A$192&gt;35,EJ36+EI37-ER36,IF(A37&lt;'Données projet'!$A$192,$EG$205^A37,IF(A37='Données projet'!$A$192,'Données projet'!$B$192,EJ36+EI37-ER36)))</f>
        <v>153.49999999999994</v>
      </c>
      <c r="EK37" s="18">
        <f>EJ37*VLOOKUP('Données projet'!$B$15,Paramètres!$A$1:$I$89,3,0)*VLOOKUP('Données projet'!$B$15,Paramètres!$A$1:$I$89,5,0)</f>
        <v>119.72999999999996</v>
      </c>
      <c r="EL37" s="14">
        <f t="shared" si="45"/>
        <v>31.612017974790529</v>
      </c>
      <c r="EM37" s="22">
        <f t="shared" si="19"/>
        <v>263.58734797276003</v>
      </c>
      <c r="EN37" s="62">
        <f t="shared" si="20"/>
        <v>556.92068130609334</v>
      </c>
      <c r="EO37" s="62">
        <f ca="1">AVERAGE(OFFSET($EN$3,0,0,'Données projet'!$E$15+1,1))-AVERAGE(OFFSET($H$3,0,0,'Données projet'!$E$15+1,1))</f>
        <v>288.82868507674738</v>
      </c>
      <c r="EP37" s="62">
        <f t="shared" si="46"/>
        <v>283.48738729114024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>
        <f>EXP(-LN(2)/35)*EV36+(1-EXP(-LN(2)/35))/(LN(2)/35)*ER37*ES37*VLOOKUP('Données projet'!$B$15,Paramètres!$A$1:$I$89,3,0)*0.475*44/12</f>
        <v>1.675313990585686</v>
      </c>
      <c r="EW37" s="23">
        <f>EXP(-LN(2)/25)*EW36+(1-EXP(-LN(2)/25))/(LN(2)/25)*Calculateur!ER37*Calculateur!ET37*VLOOKUP('Données projet'!$B$15,Paramètres!$A$1:$I$89,3,0)*0.475*44/12</f>
        <v>0</v>
      </c>
      <c r="EX37" s="23">
        <f>EXP(-LN(2)/2)*EX36+(1-EXP(-LN(2)/2))/(LN(2)/2)*ER37*EU37*VLOOKUP('Données projet'!$B$15,Paramètres!$A$1:$I$89,3,0)*0.475*44/12</f>
        <v>0</v>
      </c>
      <c r="EY37" s="24">
        <f t="shared" si="21"/>
        <v>1.675313990585686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280</v>
      </c>
      <c r="L38" s="13">
        <f>VLOOKUP(A38,'Données projet'!$A$35:$I$55,9,0)</f>
        <v>17</v>
      </c>
      <c r="M38" s="13">
        <f t="array" ref="M38">INDEX(L:L,MIN(IF(ISNUMBER(L38:L234),ROW(L38:L234),"")))</f>
        <v>17</v>
      </c>
      <c r="N38" s="14">
        <f>IF('Données projet'!$A$36&gt;35,N37+M38-V37,IF(A38&lt;'Données projet'!$A$36,$K$205^A38,IF(A38='Données projet'!$A$36,'Données projet'!$B$36,N37+M38-V37)))</f>
        <v>280</v>
      </c>
      <c r="O38" s="14">
        <f>N38*VLOOKUP('Données projet'!$B$9,Paramètres!$A$1:$I$89,3,0)*VLOOKUP('Données projet'!$B$9,Paramètres!$A$1:$I$89,5,0)</f>
        <v>131.04</v>
      </c>
      <c r="P38" s="14">
        <f t="shared" si="33"/>
        <v>34.236561238949918</v>
      </c>
      <c r="Q38" s="22">
        <f t="shared" si="53"/>
        <v>287.85667749117107</v>
      </c>
      <c r="R38" s="62">
        <f t="shared" si="0"/>
        <v>581.19001082450438</v>
      </c>
      <c r="S38" s="62">
        <f ca="1">AVERAGE(OFFSET($R$3,0,0,'Données projet'!$E$9+1,1))-AVERAGE(OFFSET($H$3,0,0,'Données projet'!$E$9+1,1))</f>
        <v>317.54276561627643</v>
      </c>
      <c r="T38" s="62">
        <f t="shared" si="34"/>
        <v>238.92443174298893</v>
      </c>
      <c r="U38" s="16">
        <f>IF(ISNA(VLOOKUP(A38,'Données projet'!$A$35:$I$55,3,0)),0,VLOOKUP(A38,'Données projet'!$A$35:$I$55,3,0))</f>
        <v>2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179</v>
      </c>
      <c r="AG38" s="13">
        <f>VLOOKUP(A38,'Données projet'!$A$61:$I$81,9,0)</f>
        <v>10.6</v>
      </c>
      <c r="AH38" s="13">
        <f t="array" ref="AH38">INDEX(AG:AG,MIN(IF(ISNUMBER(AG38:AG234),ROW(AG38:AG234),"")))</f>
        <v>10.6</v>
      </c>
      <c r="AI38" s="14">
        <f>IF('Données projet'!$A$62&gt;35,AI37+AH38-AQ37,IF(A38&lt;'Données projet'!$A$62,$AF$205^A38,IF(A38='Données projet'!$A$62,'Données projet'!$B$62,AI37+AH38-AQ37)))</f>
        <v>178.99999999999997</v>
      </c>
      <c r="AJ38" s="14">
        <f>AI38*VLOOKUP('Données projet'!$B$10,Paramètres!$A$1:$I$89,3,0)*VLOOKUP('Données projet'!$B$10,Paramètres!$A$1:$I$89,5,0)</f>
        <v>156.37440000000001</v>
      </c>
      <c r="AK38" s="14">
        <f t="shared" si="35"/>
        <v>40.023663524293205</v>
      </c>
      <c r="AL38" s="22">
        <f t="shared" si="4"/>
        <v>342.05996063814399</v>
      </c>
      <c r="AM38" s="62">
        <f t="shared" si="5"/>
        <v>635.39329397147731</v>
      </c>
      <c r="AN38" s="62">
        <f ca="1">AVERAGE(OFFSET($AM$3,0,0,'Données projet'!$E$10+1,1))-AVERAGE(OFFSET($H$3,0,0,'Données projet'!$E$10+1,1))</f>
        <v>327.826081588335</v>
      </c>
      <c r="AO38" s="62">
        <f t="shared" si="36"/>
        <v>348.84706693879735</v>
      </c>
      <c r="AP38" s="16">
        <f>IF(ISNA(VLOOKUP(A38,'Données projet'!$A$61:$I$81,3,0)),0,VLOOKUP(A38,'Données projet'!$A$61:$I$81,3,0))</f>
        <v>4</v>
      </c>
      <c r="AQ38" s="16">
        <f>IF(ISNA(VLOOKUP(A38,'Données projet'!$A$61:$I$81,4,0)),0,VLOOKUP(A38,'Données projet'!$A$61:$I$81,4,0))</f>
        <v>36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5.5665436845653113</v>
      </c>
      <c r="AV38" s="23">
        <f>EXP(-LN(2)/25)*AV37+(1-EXP(-LN(2)/25))/(LN(2)/25)*Calculateur!AQ38*Calculateur!AS38*VLOOKUP('Données projet'!$B$10,Paramètres!$A$1:$I$89,3,0)*0.475*44/12</f>
        <v>11.943510710881007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17.510054395446318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147</v>
      </c>
      <c r="BB38" s="13">
        <f>VLOOKUP(A38,'Données projet'!$A$87:$I$107,9,0)</f>
        <v>10.8</v>
      </c>
      <c r="BC38" s="13">
        <f t="array" ref="BC38">INDEX(BB:BB,MIN(IF(ISNUMBER(BB38:BB234),ROW(BB38:BB234),"")))</f>
        <v>10.8</v>
      </c>
      <c r="BD38" s="13">
        <f>IF('Données projet'!$A$88&gt;35,BD37+BC38-BL37,IF(A38&lt;'Données projet'!$A$88,$BA$205^A38,IF(A38='Données projet'!$A$88,'Données projet'!$B$88,BD37+BC38-BL37)))</f>
        <v>147.00000000000006</v>
      </c>
      <c r="BE38" s="14">
        <f>BD38*VLOOKUP('Données projet'!$B$11,Paramètres!$A$1:$I$89,3,0)*VLOOKUP('Données projet'!$B$11,Paramètres!$A$1:$I$89,5,0)</f>
        <v>149.05800000000008</v>
      </c>
      <c r="BF38" s="14">
        <f t="shared" si="37"/>
        <v>38.364434314370335</v>
      </c>
      <c r="BG38" s="22">
        <f t="shared" si="7"/>
        <v>326.42740643086182</v>
      </c>
      <c r="BH38" s="62">
        <f t="shared" si="8"/>
        <v>619.76073976419514</v>
      </c>
      <c r="BI38" s="62">
        <f ca="1">AVERAGE(OFFSET($BH$3,0,0,'Données projet'!$E$11+1,1))-AVERAGE(OFFSET($H$3,0,0,'Données projet'!$E$11+1,1))</f>
        <v>487.04124684635974</v>
      </c>
      <c r="BJ38" s="62">
        <f t="shared" si="38"/>
        <v>306.61893266146666</v>
      </c>
      <c r="BK38" s="16">
        <f>IF(ISNA(VLOOKUP(A38,'Données projet'!$A$87:$I$107,3,0)),0,VLOOKUP(A38,'Données projet'!$A$87:$I$107,3,0))</f>
        <v>4</v>
      </c>
      <c r="BL38" s="16">
        <f>IF(ISNA(VLOOKUP(A38,'Données projet'!$A$87:$I$107,4,0)),0,VLOOKUP(A38,'Données projet'!$A$87:$I$107,4,0))</f>
        <v>28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2.444765807410441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2.444765807410441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147</v>
      </c>
      <c r="BW38" s="13">
        <f>VLOOKUP(A38,'Données projet'!$A$113:$I$133,9,0)</f>
        <v>10.8</v>
      </c>
      <c r="BX38" s="13">
        <f t="array" ref="BX38">INDEX(BW:BW,MIN(IF(ISNUMBER(BW38:BW234),ROW(BW38:BW234),"")))</f>
        <v>10.8</v>
      </c>
      <c r="BY38" s="13">
        <f>IF('Données projet'!$A$114&gt;35,BY37+BX38-CG37,IF(A38&lt;'Données projet'!$A$114,$BV$205^A38,IF(A38='Données projet'!$A$114,'Données projet'!$B$114,BY37+BX38-CG37)))</f>
        <v>147.00000000000006</v>
      </c>
      <c r="BZ38" s="14">
        <f>BY38*VLOOKUP('Données projet'!$B$12,Paramètres!$A$1:$I$89,3,0)*VLOOKUP('Données projet'!$B$12,Paramètres!$A$1:$I$89,5,0)</f>
        <v>133.00560000000004</v>
      </c>
      <c r="CA38" s="14">
        <f t="shared" si="39"/>
        <v>34.689938673073549</v>
      </c>
      <c r="CB38" s="22">
        <f t="shared" si="10"/>
        <v>292.06972985560316</v>
      </c>
      <c r="CC38" s="62">
        <f t="shared" si="11"/>
        <v>585.40306318893647</v>
      </c>
      <c r="CD38" s="62">
        <f ca="1">AVERAGE(OFFSET($CC$3,0,0,'Données projet'!$E$12+1,1))-AVERAGE(OFFSET($H$3,0,0,'Données projet'!$E$12+1,1))</f>
        <v>439.06700232017681</v>
      </c>
      <c r="CE38" s="62">
        <f t="shared" si="40"/>
        <v>278.21741231699929</v>
      </c>
      <c r="CF38" s="16">
        <f>IF(ISNA(VLOOKUP(A38,'Données projet'!$A$113:$I$133,3,0)),0,VLOOKUP(A38,'Données projet'!$A$113:$I$133,3,0))</f>
        <v>4</v>
      </c>
      <c r="CG38" s="16">
        <f>IF(ISNA(VLOOKUP(A38,'Données projet'!$A$113:$I$133,4,0)),0,VLOOKUP(A38,'Données projet'!$A$113:$I$133,4,0))</f>
        <v>28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2.1814833358431622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2.1814833358431622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>
        <f>VLOOKUP(A38,'Données projet'!$A$139:$I$159,2,0)</f>
        <v>206</v>
      </c>
      <c r="CR38" s="13">
        <f>VLOOKUP(A38,'Données projet'!$A$139:$I$159,9,0)</f>
        <v>13</v>
      </c>
      <c r="CS38" s="13">
        <f t="array" ref="CS38">INDEX(CR:CR,MIN(IF(ISNUMBER(CR38:CR234),ROW(CR38:CR234),"")))</f>
        <v>13</v>
      </c>
      <c r="CT38" s="13">
        <f>IF('Données projet'!$A$140&gt;35,CT37+CS38-DB37,IF(A38&lt;'Données projet'!$A$140,$CQ$205^A38,IF(A38='Données projet'!$A$140,'Données projet'!$B$140,CT37+CS38-DB37)))</f>
        <v>205.99999999999991</v>
      </c>
      <c r="CU38" s="18">
        <f>CT38*VLOOKUP('Données projet'!$B$13,Paramètres!$A$1:$I$89,3,0)*VLOOKUP('Données projet'!$B$13,Paramètres!$A$1:$I$89,5,0)</f>
        <v>151.03919999999994</v>
      </c>
      <c r="CV38" s="14">
        <f t="shared" si="41"/>
        <v>38.814652571726043</v>
      </c>
      <c r="CW38" s="22">
        <f t="shared" si="13"/>
        <v>330.66212656242277</v>
      </c>
      <c r="CX38" s="62">
        <f t="shared" si="14"/>
        <v>623.99545989575608</v>
      </c>
      <c r="CY38" s="62">
        <f ca="1">AVERAGE(OFFSET($CX$3,0,0,'Données projet'!$E$13+1,1))-AVERAGE(OFFSET($H$3,0,0,'Données projet'!$E$13+1,1))</f>
        <v>327.81662150328646</v>
      </c>
      <c r="CZ38" s="62">
        <f t="shared" si="42"/>
        <v>320.24200483294322</v>
      </c>
      <c r="DA38" s="16">
        <f>IF(ISNA(VLOOKUP(A38,'Données projet'!$A$139:$I$159,3,0)),0,VLOOKUP(A38,'Données projet'!$A$139:$I$159,3,0))</f>
        <v>6</v>
      </c>
      <c r="DB38" s="16">
        <f>IF(ISNA(VLOOKUP(A38,'Données projet'!$A$139:$I$159,4,0)),0,VLOOKUP(A38,'Données projet'!$A$139:$I$159,4,0))</f>
        <v>35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1.8126886146525993</v>
      </c>
      <c r="DG38" s="23">
        <f>EXP(-LN(2)/25)*DG37+(1-EXP(-LN(2)/25))/(LN(2)/25)*Calculateur!DB38*Calculateur!DD38*VLOOKUP('Données projet'!$B$13,Paramètres!$A$1:$I$89,3,0)*0.475*44/12</f>
        <v>0</v>
      </c>
      <c r="DH38" s="23">
        <f>EXP(-LN(2)/2)*DH37+(1-EXP(-LN(2)/2))/(LN(2)/2)*DB38*DE38*VLOOKUP('Données projet'!$B$13,Paramètres!$A$1:$I$89,3,0)*0.475*44/12</f>
        <v>0</v>
      </c>
      <c r="DI38" s="24">
        <f t="shared" si="15"/>
        <v>1.8126886146525993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>
        <f>VLOOKUP(A38,'Données projet'!$A$165:$I$185,2,0)</f>
        <v>132</v>
      </c>
      <c r="DM38" s="13">
        <f>VLOOKUP(A38,'Données projet'!$A$165:$I$185,9,0)</f>
        <v>7</v>
      </c>
      <c r="DN38" s="13">
        <f t="array" ref="DN38">INDEX(DM:DM,MIN(IF(ISNUMBER(DM38:DM234),ROW(DM38:DM234),"")))</f>
        <v>7</v>
      </c>
      <c r="DO38" s="13">
        <f>IF('Données projet'!$A$166&gt;35,DO37+DN38-DW37,IF(A38&lt;'Données projet'!$A$166,$DL$205^A38,IF(A38='Données projet'!$A$166,'Données projet'!$B$166,DO37+DN38-DW37)))</f>
        <v>132.00000000000006</v>
      </c>
      <c r="DP38" s="18">
        <f>DO38*VLOOKUP('Données projet'!$B$14,Paramètres!$A$1:$I$89,3,0)*VLOOKUP('Données projet'!$B$14,Paramètres!$A$1:$I$89,5,0)</f>
        <v>86.486400000000032</v>
      </c>
      <c r="DQ38" s="14">
        <f t="shared" si="43"/>
        <v>23.715875325195146</v>
      </c>
      <c r="DR38" s="22">
        <f t="shared" si="16"/>
        <v>191.93562952471493</v>
      </c>
      <c r="DS38" s="62">
        <f t="shared" si="17"/>
        <v>485.26896285804821</v>
      </c>
      <c r="DT38" s="62">
        <f ca="1">AVERAGE(OFFSET($DS$3,0,0,'Données projet'!$E$14+1,1))-AVERAGE(OFFSET($H$3,0,0,'Données projet'!$E$14+1,1))</f>
        <v>210.08998695869161</v>
      </c>
      <c r="DU38" s="62">
        <f t="shared" si="44"/>
        <v>207.30911916430881</v>
      </c>
      <c r="DV38" s="16">
        <f>IF(ISNA(VLOOKUP(A38,'Données projet'!$A$165:$I$185,3,0)),0,VLOOKUP(A38,'Données projet'!$A$165:$I$185,3,0))</f>
        <v>6</v>
      </c>
      <c r="DW38" s="16">
        <f>IF(ISNA(VLOOKUP(A38,'Données projet'!$A$165:$I$185,4,0)),0,VLOOKUP(A38,'Données projet'!$A$165:$I$185,4,0))</f>
        <v>21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>
        <f>EXP(-LN(2)/35)*EA37+(1-EXP(-LN(2)/35))/(LN(2)/35)*DW38*DX38*VLOOKUP('Données projet'!$B$14,Paramètres!$A$1:$I$89,3,0)*0.475*44/12</f>
        <v>0.41653270294144817</v>
      </c>
      <c r="EB38" s="23">
        <f>EXP(-LN(2)/25)*EB37+(1-EXP(-LN(2)/25))/(LN(2)/25)*Calculateur!DW38*Calculateur!DY38*VLOOKUP('Données projet'!$B$14,Paramètres!$A$1:$I$89,3,0)*0.475*44/12</f>
        <v>0</v>
      </c>
      <c r="EC38" s="23">
        <f>EXP(-LN(2)/2)*EC37+(1-EXP(-LN(2)/2))/(LN(2)/2)*DW38*DZ38*VLOOKUP('Données projet'!$B$14,Paramètres!$A$1:$I$89,3,0)*0.475*44/12</f>
        <v>0</v>
      </c>
      <c r="ED38" s="24">
        <f t="shared" si="18"/>
        <v>0.41653270294144817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11.5</v>
      </c>
      <c r="EJ38" s="13">
        <f>IF('Données projet'!$A$192&gt;35,EJ37+EI38-ER37,IF(A38&lt;'Données projet'!$A$192,$EG$205^A38,IF(A38='Données projet'!$A$192,'Données projet'!$B$192,EJ37+EI38-ER37)))</f>
        <v>164.99999999999994</v>
      </c>
      <c r="EK38" s="18">
        <f>EJ38*VLOOKUP('Données projet'!$B$15,Paramètres!$A$1:$I$89,3,0)*VLOOKUP('Données projet'!$B$15,Paramètres!$A$1:$I$89,5,0)</f>
        <v>128.69999999999996</v>
      </c>
      <c r="EL38" s="14">
        <f t="shared" si="45"/>
        <v>33.695792019186115</v>
      </c>
      <c r="EM38" s="22">
        <f t="shared" si="19"/>
        <v>282.83933776674911</v>
      </c>
      <c r="EN38" s="62">
        <f t="shared" si="20"/>
        <v>576.17267110008243</v>
      </c>
      <c r="EO38" s="62">
        <f ca="1">AVERAGE(OFFSET($EN$3,0,0,'Données projet'!$E$15+1,1))-AVERAGE(OFFSET($H$3,0,0,'Données projet'!$E$15+1,1))</f>
        <v>288.82868507674738</v>
      </c>
      <c r="EP38" s="62">
        <f t="shared" si="46"/>
        <v>283.48738729114024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>
        <f>EXP(-LN(2)/35)*EV37+(1-EXP(-LN(2)/35))/(LN(2)/35)*ER38*ES38*VLOOKUP('Données projet'!$B$15,Paramètres!$A$1:$I$89,3,0)*0.475*44/12</f>
        <v>1.6424621050709365</v>
      </c>
      <c r="EW38" s="23">
        <f>EXP(-LN(2)/25)*EW37+(1-EXP(-LN(2)/25))/(LN(2)/25)*Calculateur!ER38*Calculateur!ET38*VLOOKUP('Données projet'!$B$15,Paramètres!$A$1:$I$89,3,0)*0.475*44/12</f>
        <v>0</v>
      </c>
      <c r="EX38" s="23">
        <f>EXP(-LN(2)/2)*EX37+(1-EXP(-LN(2)/2))/(LN(2)/2)*ER38*EU38*VLOOKUP('Données projet'!$B$15,Paramètres!$A$1:$I$89,3,0)*0.475*44/12</f>
        <v>0</v>
      </c>
      <c r="EY38" s="24">
        <f t="shared" si="21"/>
        <v>1.6424621050709365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19.571428571428573</v>
      </c>
      <c r="N39" s="14">
        <f>IF('Données projet'!$A$36&gt;35,N38+M39-V38,IF(A39&lt;'Données projet'!$A$36,$K$205^A39,IF(A39='Données projet'!$A$36,'Données projet'!$B$36,N38+M39-V38)))</f>
        <v>299.57142857142856</v>
      </c>
      <c r="O39" s="14">
        <f>N39*VLOOKUP('Données projet'!$B$9,Paramètres!$A$1:$I$89,3,0)*VLOOKUP('Données projet'!$B$9,Paramètres!$A$1:$I$89,5,0)</f>
        <v>140.19942857142857</v>
      </c>
      <c r="P39" s="14">
        <f t="shared" si="33"/>
        <v>36.342687994625102</v>
      </c>
      <c r="Q39" s="22">
        <f t="shared" si="53"/>
        <v>307.47751968587681</v>
      </c>
      <c r="R39" s="62">
        <f t="shared" si="0"/>
        <v>600.81085301921007</v>
      </c>
      <c r="S39" s="62">
        <f ca="1">AVERAGE(OFFSET($R$3,0,0,'Données projet'!$E$9+1,1))-AVERAGE(OFFSET($H$3,0,0,'Données projet'!$E$9+1,1))</f>
        <v>317.54276561627643</v>
      </c>
      <c r="T39" s="62">
        <f t="shared" si="34"/>
        <v>238.92443174298893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9.6</v>
      </c>
      <c r="AI39" s="14">
        <f>IF('Données projet'!$A$62&gt;35,AI38+AH39-AQ38,IF(A39&lt;'Données projet'!$A$62,$AF$205^A39,IF(A39='Données projet'!$A$62,'Données projet'!$B$62,AI38+AH39-AQ38)))</f>
        <v>152.59999999999997</v>
      </c>
      <c r="AJ39" s="14">
        <f>AI39*VLOOKUP('Données projet'!$B$10,Paramètres!$A$1:$I$89,3,0)*VLOOKUP('Données projet'!$B$10,Paramètres!$A$1:$I$89,5,0)</f>
        <v>133.31135999999998</v>
      </c>
      <c r="AK39" s="14">
        <f t="shared" si="35"/>
        <v>34.760393689821633</v>
      </c>
      <c r="AL39" s="22">
        <f t="shared" si="4"/>
        <v>292.72497100977256</v>
      </c>
      <c r="AM39" s="62">
        <f t="shared" si="5"/>
        <v>586.05830434310587</v>
      </c>
      <c r="AN39" s="62">
        <f ca="1">AVERAGE(OFFSET($AM$3,0,0,'Données projet'!$E$10+1,1))-AVERAGE(OFFSET($H$3,0,0,'Données projet'!$E$10+1,1))</f>
        <v>327.826081588335</v>
      </c>
      <c r="AO39" s="62">
        <f t="shared" si="36"/>
        <v>348.84706693879735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5.4573871581673794</v>
      </c>
      <c r="AV39" s="23">
        <f>EXP(-LN(2)/25)*AV38+(1-EXP(-LN(2)/25))/(LN(2)/25)*Calculateur!AQ39*Calculateur!AS39*VLOOKUP('Données projet'!$B$10,Paramètres!$A$1:$I$89,3,0)*0.475*44/12</f>
        <v>11.616914782410035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17.074301940577413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11.2</v>
      </c>
      <c r="BD39" s="13">
        <f>IF('Données projet'!$A$88&gt;35,BD38+BC39-BL38,IF(A39&lt;'Données projet'!$A$88,$BA$205^A39,IF(A39='Données projet'!$A$88,'Données projet'!$B$88,BD38+BC39-BL38)))</f>
        <v>130.20000000000005</v>
      </c>
      <c r="BE39" s="14">
        <f>BD39*VLOOKUP('Données projet'!$B$11,Paramètres!$A$1:$I$89,3,0)*VLOOKUP('Données projet'!$B$11,Paramètres!$A$1:$I$89,5,0)</f>
        <v>132.02280000000007</v>
      </c>
      <c r="BF39" s="14">
        <f t="shared" si="37"/>
        <v>34.463348169992798</v>
      </c>
      <c r="BG39" s="22">
        <f t="shared" si="7"/>
        <v>289.96337472940422</v>
      </c>
      <c r="BH39" s="62">
        <f t="shared" si="8"/>
        <v>583.29670806273748</v>
      </c>
      <c r="BI39" s="62">
        <f ca="1">AVERAGE(OFFSET($BH$3,0,0,'Données projet'!$E$11+1,1))-AVERAGE(OFFSET($H$3,0,0,'Données projet'!$E$11+1,1))</f>
        <v>487.04124684635974</v>
      </c>
      <c r="BJ39" s="62">
        <f t="shared" si="38"/>
        <v>306.61893266146666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2.3968254410870249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2.3968254410870249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11.2</v>
      </c>
      <c r="BY39" s="13">
        <f>IF('Données projet'!$A$114&gt;35,BY38+BX39-CG38,IF(A39&lt;'Données projet'!$A$114,$BV$205^A39,IF(A39='Données projet'!$A$114,'Données projet'!$B$114,BY38+BX39-CG38)))</f>
        <v>130.20000000000005</v>
      </c>
      <c r="BZ39" s="14">
        <f>BY39*VLOOKUP('Données projet'!$B$12,Paramètres!$A$1:$I$89,3,0)*VLOOKUP('Données projet'!$B$12,Paramètres!$A$1:$I$89,5,0)</f>
        <v>117.80496000000004</v>
      </c>
      <c r="CA39" s="14">
        <f t="shared" si="39"/>
        <v>31.162493487829593</v>
      </c>
      <c r="CB39" s="22">
        <f t="shared" si="10"/>
        <v>259.45164815796994</v>
      </c>
      <c r="CC39" s="62">
        <f t="shared" si="11"/>
        <v>552.78498149130326</v>
      </c>
      <c r="CD39" s="62">
        <f ca="1">AVERAGE(OFFSET($CC$3,0,0,'Données projet'!$E$12+1,1))-AVERAGE(OFFSET($H$3,0,0,'Données projet'!$E$12+1,1))</f>
        <v>439.06700232017681</v>
      </c>
      <c r="CE39" s="62">
        <f t="shared" si="40"/>
        <v>278.21741231699929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2.1387057782007295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2.1387057782007295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11.4</v>
      </c>
      <c r="CT39" s="13">
        <f>IF('Données projet'!$A$140&gt;35,CT38+CS39-DB38,IF(A39&lt;'Données projet'!$A$140,$CQ$205^A39,IF(A39='Données projet'!$A$140,'Données projet'!$B$140,CT38+CS39-DB38)))</f>
        <v>182.39999999999992</v>
      </c>
      <c r="CU39" s="18">
        <f>CT39*VLOOKUP('Données projet'!$B$13,Paramètres!$A$1:$I$89,3,0)*VLOOKUP('Données projet'!$B$13,Paramètres!$A$1:$I$89,5,0)</f>
        <v>133.73567999999992</v>
      </c>
      <c r="CV39" s="14">
        <f t="shared" si="41"/>
        <v>34.858136849359212</v>
      </c>
      <c r="CW39" s="22">
        <f t="shared" si="13"/>
        <v>293.63423101263379</v>
      </c>
      <c r="CX39" s="62">
        <f t="shared" si="14"/>
        <v>586.96756434596705</v>
      </c>
      <c r="CY39" s="62">
        <f ca="1">AVERAGE(OFFSET($CX$3,0,0,'Données projet'!$E$13+1,1))-AVERAGE(OFFSET($H$3,0,0,'Données projet'!$E$13+1,1))</f>
        <v>327.81662150328646</v>
      </c>
      <c r="CZ39" s="62">
        <f t="shared" si="42"/>
        <v>320.24200483294322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1.7771428965501448</v>
      </c>
      <c r="DG39" s="23">
        <f>EXP(-LN(2)/25)*DG38+(1-EXP(-LN(2)/25))/(LN(2)/25)*Calculateur!DB39*Calculateur!DD39*VLOOKUP('Données projet'!$B$13,Paramètres!$A$1:$I$89,3,0)*0.475*44/12</f>
        <v>0</v>
      </c>
      <c r="DH39" s="23">
        <f>EXP(-LN(2)/2)*DH38+(1-EXP(-LN(2)/2))/(LN(2)/2)*DB39*DE39*VLOOKUP('Données projet'!$B$13,Paramètres!$A$1:$I$89,3,0)*0.475*44/12</f>
        <v>0</v>
      </c>
      <c r="DI39" s="24">
        <f t="shared" si="15"/>
        <v>1.7771428965501448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6.8</v>
      </c>
      <c r="DO39" s="13">
        <f>IF('Données projet'!$A$166&gt;35,DO38+DN39-DW38,IF(A39&lt;'Données projet'!$A$166,$DL$205^A39,IF(A39='Données projet'!$A$166,'Données projet'!$B$166,DO38+DN39-DW38)))</f>
        <v>117.80000000000007</v>
      </c>
      <c r="DP39" s="18">
        <f>DO39*VLOOKUP('Données projet'!$B$14,Paramètres!$A$1:$I$89,3,0)*VLOOKUP('Données projet'!$B$14,Paramètres!$A$1:$I$89,5,0)</f>
        <v>77.182560000000052</v>
      </c>
      <c r="DQ39" s="14">
        <f t="shared" si="43"/>
        <v>21.446874557671695</v>
      </c>
      <c r="DR39" s="22">
        <f t="shared" si="16"/>
        <v>171.7795985212783</v>
      </c>
      <c r="DS39" s="62">
        <f t="shared" si="17"/>
        <v>465.11293185461159</v>
      </c>
      <c r="DT39" s="62">
        <f ca="1">AVERAGE(OFFSET($DS$3,0,0,'Données projet'!$E$14+1,1))-AVERAGE(OFFSET($H$3,0,0,'Données projet'!$E$14+1,1))</f>
        <v>210.08998695869161</v>
      </c>
      <c r="DU39" s="62">
        <f t="shared" si="44"/>
        <v>207.30911916430881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>
        <f>EXP(-LN(2)/35)*EA38+(1-EXP(-LN(2)/35))/(LN(2)/35)*DW39*DX39*VLOOKUP('Données projet'!$B$14,Paramètres!$A$1:$I$89,3,0)*0.475*44/12</f>
        <v>0.40836475069662886</v>
      </c>
      <c r="EB39" s="23">
        <f>EXP(-LN(2)/25)*EB38+(1-EXP(-LN(2)/25))/(LN(2)/25)*Calculateur!DW39*Calculateur!DY39*VLOOKUP('Données projet'!$B$14,Paramètres!$A$1:$I$89,3,0)*0.475*44/12</f>
        <v>0</v>
      </c>
      <c r="EC39" s="23">
        <f>EXP(-LN(2)/2)*EC38+(1-EXP(-LN(2)/2))/(LN(2)/2)*DW39*DZ39*VLOOKUP('Données projet'!$B$14,Paramètres!$A$1:$I$89,3,0)*0.475*44/12</f>
        <v>0</v>
      </c>
      <c r="ED39" s="24">
        <f t="shared" si="18"/>
        <v>0.40836475069662886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11.5</v>
      </c>
      <c r="EJ39" s="13">
        <f>IF('Données projet'!$A$192&gt;35,EJ38+EI39-ER38,IF(A39&lt;'Données projet'!$A$192,$EG$205^A39,IF(A39='Données projet'!$A$192,'Données projet'!$B$192,EJ38+EI39-ER38)))</f>
        <v>176.49999999999994</v>
      </c>
      <c r="EK39" s="18">
        <f>EJ39*VLOOKUP('Données projet'!$B$15,Paramètres!$A$1:$I$89,3,0)*VLOOKUP('Données projet'!$B$15,Paramètres!$A$1:$I$89,5,0)</f>
        <v>137.66999999999996</v>
      </c>
      <c r="EL39" s="14">
        <f t="shared" si="45"/>
        <v>35.762714965854656</v>
      </c>
      <c r="EM39" s="22">
        <f t="shared" si="19"/>
        <v>302.06197856553007</v>
      </c>
      <c r="EN39" s="62">
        <f t="shared" si="20"/>
        <v>595.39531189886338</v>
      </c>
      <c r="EO39" s="62">
        <f ca="1">AVERAGE(OFFSET($EN$3,0,0,'Données projet'!$E$15+1,1))-AVERAGE(OFFSET($H$3,0,0,'Données projet'!$E$15+1,1))</f>
        <v>288.82868507674738</v>
      </c>
      <c r="EP39" s="62">
        <f t="shared" si="46"/>
        <v>283.48738729114024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>
        <f>EXP(-LN(2)/35)*EV38+(1-EXP(-LN(2)/35))/(LN(2)/35)*ER39*ES39*VLOOKUP('Données projet'!$B$15,Paramètres!$A$1:$I$89,3,0)*0.475*44/12</f>
        <v>1.6102544249934596</v>
      </c>
      <c r="EW39" s="23">
        <f>EXP(-LN(2)/25)*EW38+(1-EXP(-LN(2)/25))/(LN(2)/25)*Calculateur!ER39*Calculateur!ET39*VLOOKUP('Données projet'!$B$15,Paramètres!$A$1:$I$89,3,0)*0.475*44/12</f>
        <v>0</v>
      </c>
      <c r="EX39" s="23">
        <f>EXP(-LN(2)/2)*EX38+(1-EXP(-LN(2)/2))/(LN(2)/2)*ER39*EU39*VLOOKUP('Données projet'!$B$15,Paramètres!$A$1:$I$89,3,0)*0.475*44/12</f>
        <v>0</v>
      </c>
      <c r="EY39" s="24">
        <f t="shared" si="21"/>
        <v>1.6102544249934596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19.571428571428573</v>
      </c>
      <c r="N40" s="14">
        <f>IF('Données projet'!$A$36&gt;35,N39+M40-V39,IF(A40&lt;'Données projet'!$A$36,$K$205^A40,IF(A40='Données projet'!$A$36,'Données projet'!$B$36,N39+M40-V39)))</f>
        <v>319.14285714285711</v>
      </c>
      <c r="O40" s="14">
        <f>N40*VLOOKUP('Données projet'!$B$9,Paramètres!$A$1:$I$89,3,0)*VLOOKUP('Données projet'!$B$9,Paramètres!$A$1:$I$89,5,0)</f>
        <v>149.35885714285715</v>
      </c>
      <c r="P40" s="14">
        <f t="shared" si="33"/>
        <v>38.432847302798578</v>
      </c>
      <c r="Q40" s="22">
        <f t="shared" si="53"/>
        <v>327.07055190951706</v>
      </c>
      <c r="R40" s="62">
        <f t="shared" si="0"/>
        <v>620.40388524285038</v>
      </c>
      <c r="S40" s="62">
        <f ca="1">AVERAGE(OFFSET($R$3,0,0,'Données projet'!$E$9+1,1))-AVERAGE(OFFSET($H$3,0,0,'Données projet'!$E$9+1,1))</f>
        <v>317.54276561627643</v>
      </c>
      <c r="T40" s="62">
        <f t="shared" si="34"/>
        <v>238.92443174298893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9.6</v>
      </c>
      <c r="AI40" s="14">
        <f>IF('Données projet'!$A$62&gt;35,AI39+AH40-AQ39,IF(A40&lt;'Données projet'!$A$62,$AF$205^A40,IF(A40='Données projet'!$A$62,'Données projet'!$B$62,AI39+AH40-AQ39)))</f>
        <v>162.19999999999996</v>
      </c>
      <c r="AJ40" s="14">
        <f>AI40*VLOOKUP('Données projet'!$B$10,Paramètres!$A$1:$I$89,3,0)*VLOOKUP('Données projet'!$B$10,Paramètres!$A$1:$I$89,5,0)</f>
        <v>141.69791999999998</v>
      </c>
      <c r="AK40" s="14">
        <f t="shared" si="35"/>
        <v>36.685701801209362</v>
      </c>
      <c r="AL40" s="22">
        <f t="shared" si="4"/>
        <v>310.68480797043964</v>
      </c>
      <c r="AM40" s="62">
        <f t="shared" si="5"/>
        <v>604.01814130377295</v>
      </c>
      <c r="AN40" s="62">
        <f ca="1">AVERAGE(OFFSET($AM$3,0,0,'Données projet'!$E$10+1,1))-AVERAGE(OFFSET($H$3,0,0,'Données projet'!$E$10+1,1))</f>
        <v>327.826081588335</v>
      </c>
      <c r="AO40" s="62">
        <f t="shared" si="36"/>
        <v>348.84706693879735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5.3503711246732042</v>
      </c>
      <c r="AV40" s="23">
        <f>EXP(-LN(2)/25)*AV39+(1-EXP(-LN(2)/25))/(LN(2)/25)*Calculateur!AQ40*Calculateur!AS40*VLOOKUP('Données projet'!$B$10,Paramètres!$A$1:$I$89,3,0)*0.475*44/12</f>
        <v>11.299249636778034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16.649620761451239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11.2</v>
      </c>
      <c r="BD40" s="13">
        <f>IF('Données projet'!$A$88&gt;35,BD39+BC40-BL39,IF(A40&lt;'Données projet'!$A$88,$BA$205^A40,IF(A40='Données projet'!$A$88,'Données projet'!$B$88,BD39+BC40-BL39)))</f>
        <v>141.40000000000003</v>
      </c>
      <c r="BE40" s="14">
        <f>BD40*VLOOKUP('Données projet'!$B$11,Paramètres!$A$1:$I$89,3,0)*VLOOKUP('Données projet'!$B$11,Paramètres!$A$1:$I$89,5,0)</f>
        <v>143.37960000000004</v>
      </c>
      <c r="BF40" s="14">
        <f t="shared" si="37"/>
        <v>37.070146308317469</v>
      </c>
      <c r="BG40" s="22">
        <f t="shared" si="7"/>
        <v>314.28330815365302</v>
      </c>
      <c r="BH40" s="62">
        <f t="shared" si="8"/>
        <v>607.61664148698628</v>
      </c>
      <c r="BI40" s="62">
        <f ca="1">AVERAGE(OFFSET($BH$3,0,0,'Données projet'!$E$11+1,1))-AVERAGE(OFFSET($H$3,0,0,'Données projet'!$E$11+1,1))</f>
        <v>487.04124684635974</v>
      </c>
      <c r="BJ40" s="62">
        <f t="shared" si="38"/>
        <v>306.61893266146666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2.3498251561064749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2.3498251561064749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11.2</v>
      </c>
      <c r="BY40" s="13">
        <f>IF('Données projet'!$A$114&gt;35,BY39+BX40-CG39,IF(A40&lt;'Données projet'!$A$114,$BV$205^A40,IF(A40='Données projet'!$A$114,'Données projet'!$B$114,BY39+BX40-CG39)))</f>
        <v>141.40000000000003</v>
      </c>
      <c r="BZ40" s="14">
        <f>BY40*VLOOKUP('Données projet'!$B$12,Paramètres!$A$1:$I$89,3,0)*VLOOKUP('Données projet'!$B$12,Paramètres!$A$1:$I$89,5,0)</f>
        <v>127.93872000000003</v>
      </c>
      <c r="CA40" s="14">
        <f t="shared" si="39"/>
        <v>33.519615889545641</v>
      </c>
      <c r="CB40" s="22">
        <f t="shared" si="10"/>
        <v>281.20660167429202</v>
      </c>
      <c r="CC40" s="62">
        <f t="shared" si="11"/>
        <v>574.53993500762533</v>
      </c>
      <c r="CD40" s="62">
        <f ca="1">AVERAGE(OFFSET($CC$3,0,0,'Données projet'!$E$12+1,1))-AVERAGE(OFFSET($H$3,0,0,'Données projet'!$E$12+1,1))</f>
        <v>439.06700232017681</v>
      </c>
      <c r="CE40" s="62">
        <f t="shared" si="40"/>
        <v>278.21741231699929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2.096767062371931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2.096767062371931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11.4</v>
      </c>
      <c r="CT40" s="13">
        <f>IF('Données projet'!$A$140&gt;35,CT39+CS40-DB39,IF(A40&lt;'Données projet'!$A$140,$CQ$205^A40,IF(A40='Données projet'!$A$140,'Données projet'!$B$140,CT39+CS40-DB39)))</f>
        <v>193.79999999999993</v>
      </c>
      <c r="CU40" s="18">
        <f>CT40*VLOOKUP('Données projet'!$B$13,Paramètres!$A$1:$I$89,3,0)*VLOOKUP('Données projet'!$B$13,Paramètres!$A$1:$I$89,5,0)</f>
        <v>142.09415999999993</v>
      </c>
      <c r="CV40" s="14">
        <f t="shared" si="41"/>
        <v>36.776332799832325</v>
      </c>
      <c r="CW40" s="22">
        <f t="shared" si="13"/>
        <v>311.53277495970787</v>
      </c>
      <c r="CX40" s="62">
        <f t="shared" si="14"/>
        <v>604.86610829304118</v>
      </c>
      <c r="CY40" s="62">
        <f ca="1">AVERAGE(OFFSET($CX$3,0,0,'Données projet'!$E$13+1,1))-AVERAGE(OFFSET($H$3,0,0,'Données projet'!$E$13+1,1))</f>
        <v>327.81662150328646</v>
      </c>
      <c r="CZ40" s="62">
        <f t="shared" si="42"/>
        <v>320.24200483294322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1.7422942082989321</v>
      </c>
      <c r="DG40" s="23">
        <f>EXP(-LN(2)/25)*DG39+(1-EXP(-LN(2)/25))/(LN(2)/25)*Calculateur!DB40*Calculateur!DD40*VLOOKUP('Données projet'!$B$13,Paramètres!$A$1:$I$89,3,0)*0.475*44/12</f>
        <v>0</v>
      </c>
      <c r="DH40" s="23">
        <f>EXP(-LN(2)/2)*DH39+(1-EXP(-LN(2)/2))/(LN(2)/2)*DB40*DE40*VLOOKUP('Données projet'!$B$13,Paramètres!$A$1:$I$89,3,0)*0.475*44/12</f>
        <v>0</v>
      </c>
      <c r="DI40" s="24">
        <f t="shared" si="15"/>
        <v>1.7422942082989321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6.8</v>
      </c>
      <c r="DO40" s="13">
        <f>IF('Données projet'!$A$166&gt;35,DO39+DN40-DW39,IF(A40&lt;'Données projet'!$A$166,$DL$205^A40,IF(A40='Données projet'!$A$166,'Données projet'!$B$166,DO39+DN40-DW39)))</f>
        <v>124.60000000000007</v>
      </c>
      <c r="DP40" s="18">
        <f>DO40*VLOOKUP('Données projet'!$B$14,Paramètres!$A$1:$I$89,3,0)*VLOOKUP('Données projet'!$B$14,Paramètres!$A$1:$I$89,5,0)</f>
        <v>81.637920000000037</v>
      </c>
      <c r="DQ40" s="14">
        <f t="shared" si="43"/>
        <v>22.537190474063692</v>
      </c>
      <c r="DR40" s="22">
        <f t="shared" si="16"/>
        <v>181.43831740899432</v>
      </c>
      <c r="DS40" s="62">
        <f t="shared" si="17"/>
        <v>474.77165074232767</v>
      </c>
      <c r="DT40" s="62">
        <f ca="1">AVERAGE(OFFSET($DS$3,0,0,'Données projet'!$E$14+1,1))-AVERAGE(OFFSET($H$3,0,0,'Données projet'!$E$14+1,1))</f>
        <v>210.08998695869161</v>
      </c>
      <c r="DU40" s="62">
        <f t="shared" si="44"/>
        <v>207.30911916430881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>
        <f>EXP(-LN(2)/35)*EA39+(1-EXP(-LN(2)/35))/(LN(2)/35)*DW40*DX40*VLOOKUP('Données projet'!$B$14,Paramètres!$A$1:$I$89,3,0)*0.475*44/12</f>
        <v>0.40035696701337148</v>
      </c>
      <c r="EB40" s="23">
        <f>EXP(-LN(2)/25)*EB39+(1-EXP(-LN(2)/25))/(LN(2)/25)*Calculateur!DW40*Calculateur!DY40*VLOOKUP('Données projet'!$B$14,Paramètres!$A$1:$I$89,3,0)*0.475*44/12</f>
        <v>0</v>
      </c>
      <c r="EC40" s="23">
        <f>EXP(-LN(2)/2)*EC39+(1-EXP(-LN(2)/2))/(LN(2)/2)*DW40*DZ40*VLOOKUP('Données projet'!$B$14,Paramètres!$A$1:$I$89,3,0)*0.475*44/12</f>
        <v>0</v>
      </c>
      <c r="ED40" s="24">
        <f t="shared" si="18"/>
        <v>0.40035696701337148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>
        <f>VLOOKUP(A40,'Données projet'!$A$191:$I$211,2,0)</f>
        <v>188</v>
      </c>
      <c r="EH40" s="13">
        <f>VLOOKUP(A40,'Données projet'!$A$191:$I$211,9,0)</f>
        <v>11.5</v>
      </c>
      <c r="EI40" s="13">
        <f t="array" ref="EI40">INDEX(EH:EH,MIN(IF(ISNUMBER(EH40:EH236),ROW(EH40:EH236),"")))</f>
        <v>11.5</v>
      </c>
      <c r="EJ40" s="13">
        <f>IF('Données projet'!$A$192&gt;35,EJ39+EI40-ER39,IF(A40&lt;'Données projet'!$A$192,$EG$205^A40,IF(A40='Données projet'!$A$192,'Données projet'!$B$192,EJ39+EI40-ER39)))</f>
        <v>187.99999999999994</v>
      </c>
      <c r="EK40" s="18">
        <f>EJ40*VLOOKUP('Données projet'!$B$15,Paramètres!$A$1:$I$89,3,0)*VLOOKUP('Données projet'!$B$15,Paramètres!$A$1:$I$89,5,0)</f>
        <v>146.63999999999996</v>
      </c>
      <c r="EL40" s="14">
        <f t="shared" si="45"/>
        <v>37.814009712703026</v>
      </c>
      <c r="EM40" s="22">
        <f t="shared" si="19"/>
        <v>321.25740024962437</v>
      </c>
      <c r="EN40" s="62">
        <f t="shared" si="20"/>
        <v>614.59073358295768</v>
      </c>
      <c r="EO40" s="62">
        <f ca="1">AVERAGE(OFFSET($EN$3,0,0,'Données projet'!$E$15+1,1))-AVERAGE(OFFSET($H$3,0,0,'Données projet'!$E$15+1,1))</f>
        <v>288.82868507674738</v>
      </c>
      <c r="EP40" s="62">
        <f t="shared" si="46"/>
        <v>283.48738729114024</v>
      </c>
      <c r="EQ40" s="16">
        <f>IF(ISNA(VLOOKUP(A40,'Données projet'!$A$191:$I$211,3,0)),0,VLOOKUP(A40,'Données projet'!$A$191:$I$211,3,0))</f>
        <v>5</v>
      </c>
      <c r="ER40" s="16">
        <f>IF(ISNA(VLOOKUP(A40,'Données projet'!$A$191:$I$211,4,0)),0,VLOOKUP(A40,'Données projet'!$A$191:$I$211,4,0))</f>
        <v>36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>
        <f>EXP(-LN(2)/35)*EV39+(1-EXP(-LN(2)/35))/(LN(2)/35)*ER40*ES40*VLOOKUP('Données projet'!$B$15,Paramètres!$A$1:$I$89,3,0)*0.475*44/12</f>
        <v>1.578678317877557</v>
      </c>
      <c r="EW40" s="23">
        <f>EXP(-LN(2)/25)*EW39+(1-EXP(-LN(2)/25))/(LN(2)/25)*Calculateur!ER40*Calculateur!ET40*VLOOKUP('Données projet'!$B$15,Paramètres!$A$1:$I$89,3,0)*0.475*44/12</f>
        <v>0</v>
      </c>
      <c r="EX40" s="23">
        <f>EXP(-LN(2)/2)*EX39+(1-EXP(-LN(2)/2))/(LN(2)/2)*ER40*EU40*VLOOKUP('Données projet'!$B$15,Paramètres!$A$1:$I$89,3,0)*0.475*44/12</f>
        <v>0</v>
      </c>
      <c r="EY40" s="24">
        <f t="shared" si="21"/>
        <v>1.578678317877557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19.571428571428573</v>
      </c>
      <c r="N41" s="14">
        <f>IF('Données projet'!$A$36&gt;35,N40+M41-V40,IF(A41&lt;'Données projet'!$A$36,$K$205^A41,IF(A41='Données projet'!$A$36,'Données projet'!$B$36,N40+M41-V40)))</f>
        <v>338.71428571428567</v>
      </c>
      <c r="O41" s="14">
        <f>N41*VLOOKUP('Données projet'!$B$9,Paramètres!$A$1:$I$89,3,0)*VLOOKUP('Données projet'!$B$9,Paramètres!$A$1:$I$89,5,0)</f>
        <v>158.5182857142857</v>
      </c>
      <c r="P41" s="14">
        <f t="shared" si="33"/>
        <v>40.508129862224799</v>
      </c>
      <c r="Q41" s="22">
        <f t="shared" si="53"/>
        <v>346.63767379575575</v>
      </c>
      <c r="R41" s="62">
        <f t="shared" si="0"/>
        <v>639.971007129089</v>
      </c>
      <c r="S41" s="62">
        <f ca="1">AVERAGE(OFFSET($R$3,0,0,'Données projet'!$E$9+1,1))-AVERAGE(OFFSET($H$3,0,0,'Données projet'!$E$9+1,1))</f>
        <v>317.54276561627643</v>
      </c>
      <c r="T41" s="62">
        <f t="shared" si="34"/>
        <v>238.92443174298893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9.6</v>
      </c>
      <c r="AI41" s="14">
        <f>IF('Données projet'!$A$62&gt;35,AI40+AH41-AQ40,IF(A41&lt;'Données projet'!$A$62,$AF$205^A41,IF(A41='Données projet'!$A$62,'Données projet'!$B$62,AI40+AH41-AQ40)))</f>
        <v>171.79999999999995</v>
      </c>
      <c r="AJ41" s="14">
        <f>AI41*VLOOKUP('Données projet'!$B$10,Paramètres!$A$1:$I$89,3,0)*VLOOKUP('Données projet'!$B$10,Paramètres!$A$1:$I$89,5,0)</f>
        <v>150.08447999999999</v>
      </c>
      <c r="AK41" s="14">
        <f t="shared" si="35"/>
        <v>38.597783374841299</v>
      </c>
      <c r="AL41" s="22">
        <f t="shared" si="4"/>
        <v>328.62160871118186</v>
      </c>
      <c r="AM41" s="62">
        <f t="shared" si="5"/>
        <v>621.95494204451518</v>
      </c>
      <c r="AN41" s="62">
        <f ca="1">AVERAGE(OFFSET($AM$3,0,0,'Données projet'!$E$10+1,1))-AVERAGE(OFFSET($H$3,0,0,'Données projet'!$E$10+1,1))</f>
        <v>327.826081588335</v>
      </c>
      <c r="AO41" s="62">
        <f t="shared" si="36"/>
        <v>348.84706693879735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5.2454536103225147</v>
      </c>
      <c r="AV41" s="23">
        <f>EXP(-LN(2)/25)*AV40+(1-EXP(-LN(2)/25))/(LN(2)/25)*Calculateur!AQ41*Calculateur!AS41*VLOOKUP('Données projet'!$B$10,Paramètres!$A$1:$I$89,3,0)*0.475*44/12</f>
        <v>10.990271061258625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16.235724671581139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11.2</v>
      </c>
      <c r="BD41" s="13">
        <f>IF('Données projet'!$A$88&gt;35,BD40+BC41-BL40,IF(A41&lt;'Données projet'!$A$88,$BA$205^A41,IF(A41='Données projet'!$A$88,'Données projet'!$B$88,BD40+BC41-BL40)))</f>
        <v>152.60000000000002</v>
      </c>
      <c r="BE41" s="14">
        <f>BD41*VLOOKUP('Données projet'!$B$11,Paramètres!$A$1:$I$89,3,0)*VLOOKUP('Données projet'!$B$11,Paramètres!$A$1:$I$89,5,0)</f>
        <v>154.73640000000003</v>
      </c>
      <c r="BF41" s="14">
        <f t="shared" si="37"/>
        <v>39.652994320183701</v>
      </c>
      <c r="BG41" s="22">
        <f t="shared" si="7"/>
        <v>338.56152844098665</v>
      </c>
      <c r="BH41" s="62">
        <f t="shared" si="8"/>
        <v>631.89486177431991</v>
      </c>
      <c r="BI41" s="62">
        <f ca="1">AVERAGE(OFFSET($BH$3,0,0,'Données projet'!$E$11+1,1))-AVERAGE(OFFSET($H$3,0,0,'Données projet'!$E$11+1,1))</f>
        <v>487.04124684635974</v>
      </c>
      <c r="BJ41" s="62">
        <f t="shared" si="38"/>
        <v>306.61893266146666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2.3037465180470504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2.3037465180470504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11.2</v>
      </c>
      <c r="BY41" s="13">
        <f>IF('Données projet'!$A$114&gt;35,BY40+BX41-CG40,IF(A41&lt;'Données projet'!$A$114,$BV$205^A41,IF(A41='Données projet'!$A$114,'Données projet'!$B$114,BY40+BX41-CG40)))</f>
        <v>152.60000000000002</v>
      </c>
      <c r="BZ41" s="14">
        <f>BY41*VLOOKUP('Données projet'!$B$12,Paramètres!$A$1:$I$89,3,0)*VLOOKUP('Données projet'!$B$12,Paramètres!$A$1:$I$89,5,0)</f>
        <v>138.07248000000001</v>
      </c>
      <c r="CA41" s="14">
        <f t="shared" si="39"/>
        <v>35.85508207677799</v>
      </c>
      <c r="CB41" s="22">
        <f t="shared" si="10"/>
        <v>302.9238372837217</v>
      </c>
      <c r="CC41" s="62">
        <f t="shared" si="11"/>
        <v>596.25717061705495</v>
      </c>
      <c r="CD41" s="62">
        <f ca="1">AVERAGE(OFFSET($CC$3,0,0,'Données projet'!$E$12+1,1))-AVERAGE(OFFSET($H$3,0,0,'Données projet'!$E$12+1,1))</f>
        <v>439.06700232017681</v>
      </c>
      <c r="CE41" s="62">
        <f t="shared" si="40"/>
        <v>278.21741231699929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2.0556507391804444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2.0556507391804444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11.4</v>
      </c>
      <c r="CT41" s="13">
        <f>IF('Données projet'!$A$140&gt;35,CT40+CS41-DB40,IF(A41&lt;'Données projet'!$A$140,$CQ$205^A41,IF(A41='Données projet'!$A$140,'Données projet'!$B$140,CT40+CS41-DB40)))</f>
        <v>205.19999999999993</v>
      </c>
      <c r="CU41" s="18">
        <f>CT41*VLOOKUP('Données projet'!$B$13,Paramètres!$A$1:$I$89,3,0)*VLOOKUP('Données projet'!$B$13,Paramètres!$A$1:$I$89,5,0)</f>
        <v>150.45263999999995</v>
      </c>
      <c r="CV41" s="14">
        <f t="shared" si="41"/>
        <v>38.681431639913605</v>
      </c>
      <c r="CW41" s="22">
        <f t="shared" si="13"/>
        <v>329.40850810618275</v>
      </c>
      <c r="CX41" s="62">
        <f t="shared" si="14"/>
        <v>622.74184143951607</v>
      </c>
      <c r="CY41" s="62">
        <f ca="1">AVERAGE(OFFSET($CX$3,0,0,'Données projet'!$E$13+1,1))-AVERAGE(OFFSET($H$3,0,0,'Données projet'!$E$13+1,1))</f>
        <v>327.81662150328646</v>
      </c>
      <c r="CZ41" s="62">
        <f t="shared" si="42"/>
        <v>320.24200483294322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1.7081288815687248</v>
      </c>
      <c r="DG41" s="23">
        <f>EXP(-LN(2)/25)*DG40+(1-EXP(-LN(2)/25))/(LN(2)/25)*Calculateur!DB41*Calculateur!DD41*VLOOKUP('Données projet'!$B$13,Paramètres!$A$1:$I$89,3,0)*0.475*44/12</f>
        <v>0</v>
      </c>
      <c r="DH41" s="23">
        <f>EXP(-LN(2)/2)*DH40+(1-EXP(-LN(2)/2))/(LN(2)/2)*DB41*DE41*VLOOKUP('Données projet'!$B$13,Paramètres!$A$1:$I$89,3,0)*0.475*44/12</f>
        <v>0</v>
      </c>
      <c r="DI41" s="24">
        <f t="shared" si="15"/>
        <v>1.7081288815687248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6.8</v>
      </c>
      <c r="DO41" s="13">
        <f>IF('Données projet'!$A$166&gt;35,DO40+DN41-DW40,IF(A41&lt;'Données projet'!$A$166,$DL$205^A41,IF(A41='Données projet'!$A$166,'Données projet'!$B$166,DO40+DN41-DW40)))</f>
        <v>131.40000000000006</v>
      </c>
      <c r="DP41" s="18">
        <f>DO41*VLOOKUP('Données projet'!$B$14,Paramètres!$A$1:$I$89,3,0)*VLOOKUP('Données projet'!$B$14,Paramètres!$A$1:$I$89,5,0)</f>
        <v>86.093280000000036</v>
      </c>
      <c r="DQ41" s="14">
        <f t="shared" si="43"/>
        <v>23.620598504835936</v>
      </c>
      <c r="DR41" s="22">
        <f t="shared" si="16"/>
        <v>191.08500506258932</v>
      </c>
      <c r="DS41" s="62">
        <f t="shared" si="17"/>
        <v>484.41833839592266</v>
      </c>
      <c r="DT41" s="62">
        <f ca="1">AVERAGE(OFFSET($DS$3,0,0,'Données projet'!$E$14+1,1))-AVERAGE(OFFSET($H$3,0,0,'Données projet'!$E$14+1,1))</f>
        <v>210.08998695869161</v>
      </c>
      <c r="DU41" s="62">
        <f t="shared" si="44"/>
        <v>207.30911916430881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>
        <f>EXP(-LN(2)/35)*EA40+(1-EXP(-LN(2)/35))/(LN(2)/35)*DW41*DX41*VLOOKUP('Données projet'!$B$14,Paramètres!$A$1:$I$89,3,0)*0.475*44/12</f>
        <v>0.39250621108387701</v>
      </c>
      <c r="EB41" s="23">
        <f>EXP(-LN(2)/25)*EB40+(1-EXP(-LN(2)/25))/(LN(2)/25)*Calculateur!DW41*Calculateur!DY41*VLOOKUP('Données projet'!$B$14,Paramètres!$A$1:$I$89,3,0)*0.475*44/12</f>
        <v>0</v>
      </c>
      <c r="EC41" s="23">
        <f>EXP(-LN(2)/2)*EC40+(1-EXP(-LN(2)/2))/(LN(2)/2)*DW41*DZ41*VLOOKUP('Données projet'!$B$14,Paramètres!$A$1:$I$89,3,0)*0.475*44/12</f>
        <v>0</v>
      </c>
      <c r="ED41" s="24">
        <f t="shared" si="18"/>
        <v>0.39250621108387701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11.142857142857142</v>
      </c>
      <c r="EJ41" s="13">
        <f>IF('Données projet'!$A$192&gt;35,EJ40+EI41-ER40,IF(A41&lt;'Données projet'!$A$192,$EG$205^A41,IF(A41='Données projet'!$A$192,'Données projet'!$B$192,EJ40+EI41-ER40)))</f>
        <v>163.14285714285708</v>
      </c>
      <c r="EK41" s="18">
        <f>EJ41*VLOOKUP('Données projet'!$B$15,Paramètres!$A$1:$I$89,3,0)*VLOOKUP('Données projet'!$B$15,Paramètres!$A$1:$I$89,5,0)</f>
        <v>127.25142857142853</v>
      </c>
      <c r="EL41" s="14">
        <f t="shared" si="45"/>
        <v>33.360457439554281</v>
      </c>
      <c r="EM41" s="22">
        <f t="shared" si="19"/>
        <v>279.73236813579501</v>
      </c>
      <c r="EN41" s="62">
        <f t="shared" si="20"/>
        <v>573.06570146912827</v>
      </c>
      <c r="EO41" s="62">
        <f ca="1">AVERAGE(OFFSET($EN$3,0,0,'Données projet'!$E$15+1,1))-AVERAGE(OFFSET($H$3,0,0,'Données projet'!$E$15+1,1))</f>
        <v>288.82868507674738</v>
      </c>
      <c r="EP41" s="62">
        <f t="shared" si="46"/>
        <v>283.48738729114024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>
        <f>EXP(-LN(2)/35)*EV40+(1-EXP(-LN(2)/35))/(LN(2)/35)*ER41*ES41*VLOOKUP('Données projet'!$B$15,Paramètres!$A$1:$I$89,3,0)*0.475*44/12</f>
        <v>1.5477213989626737</v>
      </c>
      <c r="EW41" s="23">
        <f>EXP(-LN(2)/25)*EW40+(1-EXP(-LN(2)/25))/(LN(2)/25)*Calculateur!ER41*Calculateur!ET41*VLOOKUP('Données projet'!$B$15,Paramètres!$A$1:$I$89,3,0)*0.475*44/12</f>
        <v>0</v>
      </c>
      <c r="EX41" s="23">
        <f>EXP(-LN(2)/2)*EX40+(1-EXP(-LN(2)/2))/(LN(2)/2)*ER41*EU41*VLOOKUP('Données projet'!$B$15,Paramètres!$A$1:$I$89,3,0)*0.475*44/12</f>
        <v>0</v>
      </c>
      <c r="EY41" s="24">
        <f t="shared" si="21"/>
        <v>1.5477213989626737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19.571428571428573</v>
      </c>
      <c r="N42" s="14">
        <f>IF('Données projet'!$A$36&gt;35,N41+M42-V41,IF(A42&lt;'Données projet'!$A$36,$K$205^A42,IF(A42='Données projet'!$A$36,'Données projet'!$B$36,N41+M42-V41)))</f>
        <v>358.28571428571422</v>
      </c>
      <c r="O42" s="14">
        <f>N42*VLOOKUP('Données projet'!$B$9,Paramètres!$A$1:$I$89,3,0)*VLOOKUP('Données projet'!$B$9,Paramètres!$A$1:$I$89,5,0)</f>
        <v>167.67771428571425</v>
      </c>
      <c r="P42" s="14">
        <f t="shared" si="33"/>
        <v>42.569493207492975</v>
      </c>
      <c r="Q42" s="22">
        <f t="shared" si="53"/>
        <v>366.18055305066923</v>
      </c>
      <c r="R42" s="62">
        <f t="shared" si="0"/>
        <v>659.51388638400249</v>
      </c>
      <c r="S42" s="62">
        <f ca="1">AVERAGE(OFFSET($R$3,0,0,'Données projet'!$E$9+1,1))-AVERAGE(OFFSET($H$3,0,0,'Données projet'!$E$9+1,1))</f>
        <v>317.54276561627643</v>
      </c>
      <c r="T42" s="62">
        <f t="shared" si="34"/>
        <v>238.92443174298893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9.6</v>
      </c>
      <c r="AI42" s="14">
        <f>IF('Données projet'!$A$62&gt;35,AI41+AH42-AQ41,IF(A42&lt;'Données projet'!$A$62,$AF$205^A42,IF(A42='Données projet'!$A$62,'Données projet'!$B$62,AI41+AH42-AQ41)))</f>
        <v>181.39999999999995</v>
      </c>
      <c r="AJ42" s="14">
        <f>AI42*VLOOKUP('Données projet'!$B$10,Paramètres!$A$1:$I$89,3,0)*VLOOKUP('Données projet'!$B$10,Paramètres!$A$1:$I$89,5,0)</f>
        <v>158.47103999999996</v>
      </c>
      <c r="AK42" s="14">
        <f t="shared" si="35"/>
        <v>40.497461727609561</v>
      </c>
      <c r="AL42" s="22">
        <f t="shared" si="4"/>
        <v>346.53680717558655</v>
      </c>
      <c r="AM42" s="62">
        <f t="shared" si="5"/>
        <v>639.8701405089198</v>
      </c>
      <c r="AN42" s="62">
        <f ca="1">AVERAGE(OFFSET($AM$3,0,0,'Données projet'!$E$10+1,1))-AVERAGE(OFFSET($H$3,0,0,'Données projet'!$E$10+1,1))</f>
        <v>327.826081588335</v>
      </c>
      <c r="AO42" s="62">
        <f t="shared" si="36"/>
        <v>348.84706693879735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5.142593464434877</v>
      </c>
      <c r="AV42" s="23">
        <f>EXP(-LN(2)/25)*AV41+(1-EXP(-LN(2)/25))/(LN(2)/25)*Calculateur!AQ42*Calculateur!AS42*VLOOKUP('Données projet'!$B$10,Paramètres!$A$1:$I$89,3,0)*0.475*44/12</f>
        <v>10.689741521135272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15.832334985570149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11.2</v>
      </c>
      <c r="BD42" s="13">
        <f>IF('Données projet'!$A$88&gt;35,BD41+BC42-BL41,IF(A42&lt;'Données projet'!$A$88,$BA$205^A42,IF(A42='Données projet'!$A$88,'Données projet'!$B$88,BD41+BC42-BL41)))</f>
        <v>163.80000000000001</v>
      </c>
      <c r="BE42" s="14">
        <f>BD42*VLOOKUP('Données projet'!$B$11,Paramètres!$A$1:$I$89,3,0)*VLOOKUP('Données projet'!$B$11,Paramètres!$A$1:$I$89,5,0)</f>
        <v>166.09320000000002</v>
      </c>
      <c r="BF42" s="14">
        <f t="shared" si="37"/>
        <v>42.213849908165905</v>
      </c>
      <c r="BG42" s="22">
        <f t="shared" si="7"/>
        <v>362.80144525672227</v>
      </c>
      <c r="BH42" s="62">
        <f t="shared" si="8"/>
        <v>656.13477859005559</v>
      </c>
      <c r="BI42" s="62">
        <f ca="1">AVERAGE(OFFSET($BH$3,0,0,'Données projet'!$E$11+1,1))-AVERAGE(OFFSET($H$3,0,0,'Données projet'!$E$11+1,1))</f>
        <v>487.04124684635974</v>
      </c>
      <c r="BJ42" s="62">
        <f t="shared" si="38"/>
        <v>306.61893266146666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2.2585714539747772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2.2585714539747772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11.2</v>
      </c>
      <c r="BY42" s="13">
        <f>IF('Données projet'!$A$114&gt;35,BY41+BX42-CG41,IF(A42&lt;'Données projet'!$A$114,$BV$205^A42,IF(A42='Données projet'!$A$114,'Données projet'!$B$114,BY41+BX42-CG41)))</f>
        <v>163.80000000000001</v>
      </c>
      <c r="BZ42" s="14">
        <f>BY42*VLOOKUP('Données projet'!$B$12,Paramètres!$A$1:$I$89,3,0)*VLOOKUP('Données projet'!$B$12,Paramètres!$A$1:$I$89,5,0)</f>
        <v>148.20624000000001</v>
      </c>
      <c r="CA42" s="14">
        <f t="shared" si="39"/>
        <v>38.170662245893794</v>
      </c>
      <c r="CB42" s="22">
        <f t="shared" si="10"/>
        <v>324.60643807826506</v>
      </c>
      <c r="CC42" s="62">
        <f t="shared" si="11"/>
        <v>617.93977141159837</v>
      </c>
      <c r="CD42" s="62">
        <f ca="1">AVERAGE(OFFSET($CC$3,0,0,'Données projet'!$E$12+1,1))-AVERAGE(OFFSET($H$3,0,0,'Données projet'!$E$12+1,1))</f>
        <v>439.06700232017681</v>
      </c>
      <c r="CE42" s="62">
        <f t="shared" si="40"/>
        <v>278.21741231699929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2.015340682008262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2.015340682008262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11.4</v>
      </c>
      <c r="CT42" s="13">
        <f>IF('Données projet'!$A$140&gt;35,CT41+CS42-DB41,IF(A42&lt;'Données projet'!$A$140,$CQ$205^A42,IF(A42='Données projet'!$A$140,'Données projet'!$B$140,CT41+CS42-DB41)))</f>
        <v>216.59999999999994</v>
      </c>
      <c r="CU42" s="18">
        <f>CT42*VLOOKUP('Données projet'!$B$13,Paramètres!$A$1:$I$89,3,0)*VLOOKUP('Données projet'!$B$13,Paramètres!$A$1:$I$89,5,0)</f>
        <v>158.81111999999996</v>
      </c>
      <c r="CV42" s="14">
        <f t="shared" si="41"/>
        <v>40.57424391712447</v>
      </c>
      <c r="CW42" s="22">
        <f t="shared" si="13"/>
        <v>347.26284215565835</v>
      </c>
      <c r="CX42" s="62">
        <f t="shared" si="14"/>
        <v>640.59617548899166</v>
      </c>
      <c r="CY42" s="62">
        <f ca="1">AVERAGE(OFFSET($CX$3,0,0,'Données projet'!$E$13+1,1))-AVERAGE(OFFSET($H$3,0,0,'Données projet'!$E$13+1,1))</f>
        <v>327.81662150328646</v>
      </c>
      <c r="CZ42" s="62">
        <f t="shared" si="42"/>
        <v>320.24200483294322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1.674633516056905</v>
      </c>
      <c r="DG42" s="23">
        <f>EXP(-LN(2)/25)*DG41+(1-EXP(-LN(2)/25))/(LN(2)/25)*Calculateur!DB42*Calculateur!DD42*VLOOKUP('Données projet'!$B$13,Paramètres!$A$1:$I$89,3,0)*0.475*44/12</f>
        <v>0</v>
      </c>
      <c r="DH42" s="23">
        <f>EXP(-LN(2)/2)*DH41+(1-EXP(-LN(2)/2))/(LN(2)/2)*DB42*DE42*VLOOKUP('Données projet'!$B$13,Paramètres!$A$1:$I$89,3,0)*0.475*44/12</f>
        <v>0</v>
      </c>
      <c r="DI42" s="24">
        <f t="shared" si="15"/>
        <v>1.674633516056905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6.8</v>
      </c>
      <c r="DO42" s="13">
        <f>IF('Données projet'!$A$166&gt;35,DO41+DN42-DW41,IF(A42&lt;'Données projet'!$A$166,$DL$205^A42,IF(A42='Données projet'!$A$166,'Données projet'!$B$166,DO41+DN42-DW41)))</f>
        <v>138.20000000000007</v>
      </c>
      <c r="DP42" s="18">
        <f>DO42*VLOOKUP('Données projet'!$B$14,Paramètres!$A$1:$I$89,3,0)*VLOOKUP('Données projet'!$B$14,Paramètres!$A$1:$I$89,5,0)</f>
        <v>90.548640000000049</v>
      </c>
      <c r="DQ42" s="14">
        <f t="shared" si="43"/>
        <v>24.69749691183889</v>
      </c>
      <c r="DR42" s="22">
        <f t="shared" si="16"/>
        <v>200.7203551214528</v>
      </c>
      <c r="DS42" s="62">
        <f t="shared" si="17"/>
        <v>494.05368845478608</v>
      </c>
      <c r="DT42" s="62">
        <f ca="1">AVERAGE(OFFSET($DS$3,0,0,'Données projet'!$E$14+1,1))-AVERAGE(OFFSET($H$3,0,0,'Données projet'!$E$14+1,1))</f>
        <v>210.08998695869161</v>
      </c>
      <c r="DU42" s="62">
        <f t="shared" si="44"/>
        <v>207.30911916430881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>
        <f>EXP(-LN(2)/35)*EA41+(1-EXP(-LN(2)/35))/(LN(2)/35)*DW42*DX42*VLOOKUP('Données projet'!$B$14,Paramètres!$A$1:$I$89,3,0)*0.475*44/12</f>
        <v>0.38480940368967165</v>
      </c>
      <c r="EB42" s="23">
        <f>EXP(-LN(2)/25)*EB41+(1-EXP(-LN(2)/25))/(LN(2)/25)*Calculateur!DW42*Calculateur!DY42*VLOOKUP('Données projet'!$B$14,Paramètres!$A$1:$I$89,3,0)*0.475*44/12</f>
        <v>0</v>
      </c>
      <c r="EC42" s="23">
        <f>EXP(-LN(2)/2)*EC41+(1-EXP(-LN(2)/2))/(LN(2)/2)*DW42*DZ42*VLOOKUP('Données projet'!$B$14,Paramètres!$A$1:$I$89,3,0)*0.475*44/12</f>
        <v>0</v>
      </c>
      <c r="ED42" s="24">
        <f t="shared" si="18"/>
        <v>0.38480940368967165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11.142857142857142</v>
      </c>
      <c r="EJ42" s="13">
        <f>IF('Données projet'!$A$192&gt;35,EJ41+EI42-ER41,IF(A42&lt;'Données projet'!$A$192,$EG$205^A42,IF(A42='Données projet'!$A$192,'Données projet'!$B$192,EJ41+EI42-ER41)))</f>
        <v>174.28571428571422</v>
      </c>
      <c r="EK42" s="18">
        <f>EJ42*VLOOKUP('Données projet'!$B$15,Paramètres!$A$1:$I$89,3,0)*VLOOKUP('Données projet'!$B$15,Paramètres!$A$1:$I$89,5,0)</f>
        <v>135.94285714285709</v>
      </c>
      <c r="EL42" s="14">
        <f t="shared" si="45"/>
        <v>35.365986273808367</v>
      </c>
      <c r="EM42" s="22">
        <f t="shared" si="19"/>
        <v>298.36290228402567</v>
      </c>
      <c r="EN42" s="62">
        <f t="shared" si="20"/>
        <v>591.69623561735898</v>
      </c>
      <c r="EO42" s="62">
        <f ca="1">AVERAGE(OFFSET($EN$3,0,0,'Données projet'!$E$15+1,1))-AVERAGE(OFFSET($H$3,0,0,'Données projet'!$E$15+1,1))</f>
        <v>288.82868507674738</v>
      </c>
      <c r="EP42" s="62">
        <f t="shared" si="46"/>
        <v>283.48738729114024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>
        <f>EXP(-LN(2)/35)*EV41+(1-EXP(-LN(2)/35))/(LN(2)/35)*ER42*ES42*VLOOKUP('Données projet'!$B$15,Paramètres!$A$1:$I$89,3,0)*0.475*44/12</f>
        <v>1.5173715263458551</v>
      </c>
      <c r="EW42" s="23">
        <f>EXP(-LN(2)/25)*EW41+(1-EXP(-LN(2)/25))/(LN(2)/25)*Calculateur!ER42*Calculateur!ET42*VLOOKUP('Données projet'!$B$15,Paramètres!$A$1:$I$89,3,0)*0.475*44/12</f>
        <v>0</v>
      </c>
      <c r="EX42" s="23">
        <f>EXP(-LN(2)/2)*EX41+(1-EXP(-LN(2)/2))/(LN(2)/2)*ER42*EU42*VLOOKUP('Données projet'!$B$15,Paramètres!$A$1:$I$89,3,0)*0.475*44/12</f>
        <v>0</v>
      </c>
      <c r="EY42" s="24">
        <f t="shared" si="21"/>
        <v>1.5173715263458551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19.571428571428573</v>
      </c>
      <c r="N43" s="14">
        <f>IF('Données projet'!$A$36&gt;35,N42+M43-V42,IF(A43&lt;'Données projet'!$A$36,$K$205^A43,IF(A43='Données projet'!$A$36,'Données projet'!$B$36,N42+M43-V42)))</f>
        <v>377.85714285714278</v>
      </c>
      <c r="O43" s="14">
        <f>N43*VLOOKUP('Données projet'!$B$9,Paramètres!$A$1:$I$89,3,0)*VLOOKUP('Données projet'!$B$9,Paramètres!$A$1:$I$89,5,0)</f>
        <v>176.83714285714279</v>
      </c>
      <c r="P43" s="14">
        <f t="shared" si="33"/>
        <v>44.617784353930041</v>
      </c>
      <c r="Q43" s="22">
        <f t="shared" si="53"/>
        <v>385.70066489261848</v>
      </c>
      <c r="R43" s="62">
        <f t="shared" si="0"/>
        <v>679.03399822595179</v>
      </c>
      <c r="S43" s="62">
        <f ca="1">AVERAGE(OFFSET($R$3,0,0,'Données projet'!$E$9+1,1))-AVERAGE(OFFSET($H$3,0,0,'Données projet'!$E$9+1,1))</f>
        <v>317.54276561627643</v>
      </c>
      <c r="T43" s="62">
        <f t="shared" si="34"/>
        <v>238.92443174298893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191</v>
      </c>
      <c r="AG43" s="13">
        <f>VLOOKUP(A43,'Données projet'!$A$61:$I$81,9,0)</f>
        <v>9.6</v>
      </c>
      <c r="AH43" s="13">
        <f t="array" ref="AH43">INDEX(AG:AG,MIN(IF(ISNUMBER(AG43:AG239),ROW(AG43:AG239),"")))</f>
        <v>9.6</v>
      </c>
      <c r="AI43" s="14">
        <f>IF('Données projet'!$A$62&gt;35,AI42+AH43-AQ42,IF(A43&lt;'Données projet'!$A$62,$AF$205^A43,IF(A43='Données projet'!$A$62,'Données projet'!$B$62,AI42+AH43-AQ42)))</f>
        <v>190.99999999999994</v>
      </c>
      <c r="AJ43" s="14">
        <f>AI43*VLOOKUP('Données projet'!$B$10,Paramètres!$A$1:$I$89,3,0)*VLOOKUP('Données projet'!$B$10,Paramètres!$A$1:$I$89,5,0)</f>
        <v>166.85759999999996</v>
      </c>
      <c r="AK43" s="14">
        <f t="shared" si="35"/>
        <v>42.385468111966098</v>
      </c>
      <c r="AL43" s="22">
        <f t="shared" si="4"/>
        <v>364.43167696167421</v>
      </c>
      <c r="AM43" s="62">
        <f t="shared" si="5"/>
        <v>657.76501029500753</v>
      </c>
      <c r="AN43" s="62">
        <f ca="1">AVERAGE(OFFSET($AM$3,0,0,'Données projet'!$E$10+1,1))-AVERAGE(OFFSET($H$3,0,0,'Données projet'!$E$10+1,1))</f>
        <v>327.826081588335</v>
      </c>
      <c r="AO43" s="62">
        <f t="shared" si="36"/>
        <v>348.84706693879735</v>
      </c>
      <c r="AP43" s="16">
        <f>IF(ISNA(VLOOKUP(A43,'Données projet'!$A$61:$I$81,3,0)),0,VLOOKUP(A43,'Données projet'!$A$61:$I$81,3,0))</f>
        <v>5</v>
      </c>
      <c r="AQ43" s="16">
        <f>IF(ISNA(VLOOKUP(A43,'Données projet'!$A$61:$I$81,4,0)),0,VLOOKUP(A43,'Données projet'!$A$61:$I$81,4,0))</f>
        <v>33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5.0417503432696016</v>
      </c>
      <c r="AV43" s="23">
        <f>EXP(-LN(2)/25)*AV42+(1-EXP(-LN(2)/25))/(LN(2)/25)*Calculateur!AQ43*Calculateur!AS43*VLOOKUP('Données projet'!$B$10,Paramètres!$A$1:$I$89,3,0)*0.475*44/12</f>
        <v>10.397429977090752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15.439180320360354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175</v>
      </c>
      <c r="BB43" s="13">
        <f>VLOOKUP(A43,'Données projet'!$A$87:$I$107,9,0)</f>
        <v>11.2</v>
      </c>
      <c r="BC43" s="13">
        <f t="array" ref="BC43">INDEX(BB:BB,MIN(IF(ISNUMBER(BB43:BB239),ROW(BB43:BB239),"")))</f>
        <v>11.2</v>
      </c>
      <c r="BD43" s="13">
        <f>IF('Données projet'!$A$88&gt;35,BD42+BC43-BL42,IF(A43&lt;'Données projet'!$A$88,$BA$205^A43,IF(A43='Données projet'!$A$88,'Données projet'!$B$88,BD42+BC43-BL42)))</f>
        <v>175</v>
      </c>
      <c r="BE43" s="14">
        <f>BD43*VLOOKUP('Données projet'!$B$11,Paramètres!$A$1:$I$89,3,0)*VLOOKUP('Données projet'!$B$11,Paramètres!$A$1:$I$89,5,0)</f>
        <v>177.45000000000002</v>
      </c>
      <c r="BF43" s="14">
        <f t="shared" si="37"/>
        <v>44.754387900936791</v>
      </c>
      <c r="BG43" s="22">
        <f t="shared" si="7"/>
        <v>387.0059755941316</v>
      </c>
      <c r="BH43" s="62">
        <f t="shared" si="8"/>
        <v>680.33930892746491</v>
      </c>
      <c r="BI43" s="62">
        <f ca="1">AVERAGE(OFFSET($BH$3,0,0,'Données projet'!$E$11+1,1))-AVERAGE(OFFSET($H$3,0,0,'Données projet'!$E$11+1,1))</f>
        <v>487.04124684635974</v>
      </c>
      <c r="BJ43" s="62">
        <f t="shared" si="38"/>
        <v>306.61893266146666</v>
      </c>
      <c r="BK43" s="16">
        <f>IF(ISNA(VLOOKUP(A43,'Données projet'!$A$87:$I$107,3,0)),0,VLOOKUP(A43,'Données projet'!$A$87:$I$107,3,0))</f>
        <v>5</v>
      </c>
      <c r="BL43" s="16">
        <f>IF(ISNA(VLOOKUP(A43,'Données projet'!$A$87:$I$107,4,0)),0,VLOOKUP(A43,'Données projet'!$A$87:$I$107,4,0))</f>
        <v>28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2.2142822453548927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2.2142822453548927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175</v>
      </c>
      <c r="BW43" s="13">
        <f>VLOOKUP(A43,'Données projet'!$A$113:$I$133,9,0)</f>
        <v>11.2</v>
      </c>
      <c r="BX43" s="13">
        <f t="array" ref="BX43">INDEX(BW:BW,MIN(IF(ISNUMBER(BW43:BW239),ROW(BW43:BW239),"")))</f>
        <v>11.2</v>
      </c>
      <c r="BY43" s="13">
        <f>IF('Données projet'!$A$114&gt;35,BY42+BX43-CG42,IF(A43&lt;'Données projet'!$A$114,$BV$205^A43,IF(A43='Données projet'!$A$114,'Données projet'!$B$114,BY42+BX43-CG42)))</f>
        <v>175</v>
      </c>
      <c r="BZ43" s="14">
        <f>BY43*VLOOKUP('Données projet'!$B$12,Paramètres!$A$1:$I$89,3,0)*VLOOKUP('Données projet'!$B$12,Paramètres!$A$1:$I$89,5,0)</f>
        <v>158.34</v>
      </c>
      <c r="CA43" s="14">
        <f t="shared" si="39"/>
        <v>40.467870812652819</v>
      </c>
      <c r="CB43" s="22">
        <f t="shared" si="10"/>
        <v>346.25704166537031</v>
      </c>
      <c r="CC43" s="62">
        <f t="shared" si="11"/>
        <v>639.59037499870362</v>
      </c>
      <c r="CD43" s="62">
        <f ca="1">AVERAGE(OFFSET($CC$3,0,0,'Données projet'!$E$12+1,1))-AVERAGE(OFFSET($H$3,0,0,'Données projet'!$E$12+1,1))</f>
        <v>439.06700232017681</v>
      </c>
      <c r="CE43" s="62">
        <f t="shared" si="40"/>
        <v>278.21741231699929</v>
      </c>
      <c r="CF43" s="16">
        <f>IF(ISNA(VLOOKUP(A43,'Données projet'!$A$113:$I$133,3,0)),0,VLOOKUP(A43,'Données projet'!$A$113:$I$133,3,0))</f>
        <v>5</v>
      </c>
      <c r="CG43" s="16">
        <f>IF(ISNA(VLOOKUP(A43,'Données projet'!$A$113:$I$133,4,0)),0,VLOOKUP(A43,'Données projet'!$A$113:$I$133,4,0))</f>
        <v>28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1.975821080470519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1.975821080470519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>
        <f>VLOOKUP(A43,'Données projet'!$A$139:$I$159,2,0)</f>
        <v>228</v>
      </c>
      <c r="CR43" s="13">
        <f>VLOOKUP(A43,'Données projet'!$A$139:$I$159,9,0)</f>
        <v>11.4</v>
      </c>
      <c r="CS43" s="13">
        <f t="array" ref="CS43">INDEX(CR:CR,MIN(IF(ISNUMBER(CR43:CR239),ROW(CR43:CR239),"")))</f>
        <v>11.4</v>
      </c>
      <c r="CT43" s="13">
        <f>IF('Données projet'!$A$140&gt;35,CT42+CS43-DB42,IF(A43&lt;'Données projet'!$A$140,$CQ$205^A43,IF(A43='Données projet'!$A$140,'Données projet'!$B$140,CT42+CS43-DB42)))</f>
        <v>227.99999999999994</v>
      </c>
      <c r="CU43" s="18">
        <f>CT43*VLOOKUP('Données projet'!$B$13,Paramètres!$A$1:$I$89,3,0)*VLOOKUP('Données projet'!$B$13,Paramètres!$A$1:$I$89,5,0)</f>
        <v>167.16959999999995</v>
      </c>
      <c r="CV43" s="14">
        <f t="shared" si="41"/>
        <v>42.455490039298816</v>
      </c>
      <c r="CW43" s="22">
        <f t="shared" si="13"/>
        <v>365.09703181844537</v>
      </c>
      <c r="CX43" s="62">
        <f t="shared" si="14"/>
        <v>658.43036515177869</v>
      </c>
      <c r="CY43" s="62">
        <f ca="1">AVERAGE(OFFSET($CX$3,0,0,'Données projet'!$E$13+1,1))-AVERAGE(OFFSET($H$3,0,0,'Données projet'!$E$13+1,1))</f>
        <v>327.81662150328646</v>
      </c>
      <c r="CZ43" s="62">
        <f t="shared" si="42"/>
        <v>320.24200483294322</v>
      </c>
      <c r="DA43" s="16">
        <f>IF(ISNA(VLOOKUP(A43,'Données projet'!$A$139:$I$159,3,0)),0,VLOOKUP(A43,'Données projet'!$A$139:$I$159,3,0))</f>
        <v>7</v>
      </c>
      <c r="DB43" s="16">
        <f>IF(ISNA(VLOOKUP(A43,'Données projet'!$A$139:$I$159,4,0)),0,VLOOKUP(A43,'Données projet'!$A$139:$I$159,4,0))</f>
        <v>35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1.6417949742326166</v>
      </c>
      <c r="DG43" s="23">
        <f>EXP(-LN(2)/25)*DG42+(1-EXP(-LN(2)/25))/(LN(2)/25)*Calculateur!DB43*Calculateur!DD43*VLOOKUP('Données projet'!$B$13,Paramètres!$A$1:$I$89,3,0)*0.475*44/12</f>
        <v>0</v>
      </c>
      <c r="DH43" s="23">
        <f>EXP(-LN(2)/2)*DH42+(1-EXP(-LN(2)/2))/(LN(2)/2)*DB43*DE43*VLOOKUP('Données projet'!$B$13,Paramètres!$A$1:$I$89,3,0)*0.475*44/12</f>
        <v>0</v>
      </c>
      <c r="DI43" s="24">
        <f t="shared" si="15"/>
        <v>1.6417949742326166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>
        <f>VLOOKUP(A43,'Données projet'!$A$165:$I$185,2,0)</f>
        <v>145</v>
      </c>
      <c r="DM43" s="13">
        <f>VLOOKUP(A43,'Données projet'!$A$165:$I$185,9,0)</f>
        <v>6.8</v>
      </c>
      <c r="DN43" s="13">
        <f t="array" ref="DN43">INDEX(DM:DM,MIN(IF(ISNUMBER(DM43:DM239),ROW(DM43:DM239),"")))</f>
        <v>6.8</v>
      </c>
      <c r="DO43" s="13">
        <f>IF('Données projet'!$A$166&gt;35,DO42+DN43-DW42,IF(A43&lt;'Données projet'!$A$166,$DL$205^A43,IF(A43='Données projet'!$A$166,'Données projet'!$B$166,DO42+DN43-DW42)))</f>
        <v>145.00000000000009</v>
      </c>
      <c r="DP43" s="18">
        <f>DO43*VLOOKUP('Données projet'!$B$14,Paramètres!$A$1:$I$89,3,0)*VLOOKUP('Données projet'!$B$14,Paramètres!$A$1:$I$89,5,0)</f>
        <v>95.004000000000062</v>
      </c>
      <c r="DQ43" s="14">
        <f t="shared" si="43"/>
        <v>25.768242550600785</v>
      </c>
      <c r="DR43" s="22">
        <f t="shared" si="16"/>
        <v>210.34498910896312</v>
      </c>
      <c r="DS43" s="62">
        <f t="shared" si="17"/>
        <v>503.67832244229646</v>
      </c>
      <c r="DT43" s="62">
        <f ca="1">AVERAGE(OFFSET($DS$3,0,0,'Données projet'!$E$14+1,1))-AVERAGE(OFFSET($H$3,0,0,'Données projet'!$E$14+1,1))</f>
        <v>210.08998695869161</v>
      </c>
      <c r="DU43" s="62">
        <f t="shared" si="44"/>
        <v>207.30911916430881</v>
      </c>
      <c r="DV43" s="16">
        <f>IF(ISNA(VLOOKUP(A43,'Données projet'!$A$165:$I$185,3,0)),0,VLOOKUP(A43,'Données projet'!$A$165:$I$185,3,0))</f>
        <v>7</v>
      </c>
      <c r="DW43" s="16">
        <f>IF(ISNA(VLOOKUP(A43,'Données projet'!$A$165:$I$185,4,0)),0,VLOOKUP(A43,'Données projet'!$A$165:$I$185,4,0))</f>
        <v>22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>
        <f>EXP(-LN(2)/35)*EA42+(1-EXP(-LN(2)/35))/(LN(2)/35)*DW43*DX43*VLOOKUP('Données projet'!$B$14,Paramètres!$A$1:$I$89,3,0)*0.475*44/12</f>
        <v>0.37726352599387769</v>
      </c>
      <c r="EB43" s="23">
        <f>EXP(-LN(2)/25)*EB42+(1-EXP(-LN(2)/25))/(LN(2)/25)*Calculateur!DW43*Calculateur!DY43*VLOOKUP('Données projet'!$B$14,Paramètres!$A$1:$I$89,3,0)*0.475*44/12</f>
        <v>0</v>
      </c>
      <c r="EC43" s="23">
        <f>EXP(-LN(2)/2)*EC42+(1-EXP(-LN(2)/2))/(LN(2)/2)*DW43*DZ43*VLOOKUP('Données projet'!$B$14,Paramètres!$A$1:$I$89,3,0)*0.475*44/12</f>
        <v>0</v>
      </c>
      <c r="ED43" s="24">
        <f t="shared" si="18"/>
        <v>0.37726352599387769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11.142857142857142</v>
      </c>
      <c r="EJ43" s="13">
        <f>IF('Données projet'!$A$192&gt;35,EJ42+EI43-ER42,IF(A43&lt;'Données projet'!$A$192,$EG$205^A43,IF(A43='Données projet'!$A$192,'Données projet'!$B$192,EJ42+EI43-ER42)))</f>
        <v>185.42857142857136</v>
      </c>
      <c r="EK43" s="18">
        <f>EJ43*VLOOKUP('Données projet'!$B$15,Paramètres!$A$1:$I$89,3,0)*VLOOKUP('Données projet'!$B$15,Paramètres!$A$1:$I$89,5,0)</f>
        <v>144.63428571428565</v>
      </c>
      <c r="EL43" s="14">
        <f t="shared" si="45"/>
        <v>37.356634728420524</v>
      </c>
      <c r="EM43" s="22">
        <f t="shared" si="19"/>
        <v>316.96751977104657</v>
      </c>
      <c r="EN43" s="62">
        <f t="shared" si="20"/>
        <v>610.30085310437994</v>
      </c>
      <c r="EO43" s="62">
        <f ca="1">AVERAGE(OFFSET($EN$3,0,0,'Données projet'!$E$15+1,1))-AVERAGE(OFFSET($H$3,0,0,'Données projet'!$E$15+1,1))</f>
        <v>288.82868507674738</v>
      </c>
      <c r="EP43" s="62">
        <f t="shared" si="46"/>
        <v>283.48738729114024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>
        <f>EXP(-LN(2)/35)*EV42+(1-EXP(-LN(2)/35))/(LN(2)/35)*ER43*ES43*VLOOKUP('Données projet'!$B$15,Paramètres!$A$1:$I$89,3,0)*0.475*44/12</f>
        <v>1.487616796219458</v>
      </c>
      <c r="EW43" s="23">
        <f>EXP(-LN(2)/25)*EW42+(1-EXP(-LN(2)/25))/(LN(2)/25)*Calculateur!ER43*Calculateur!ET43*VLOOKUP('Données projet'!$B$15,Paramètres!$A$1:$I$89,3,0)*0.475*44/12</f>
        <v>0</v>
      </c>
      <c r="EX43" s="23">
        <f>EXP(-LN(2)/2)*EX42+(1-EXP(-LN(2)/2))/(LN(2)/2)*ER43*EU43*VLOOKUP('Données projet'!$B$15,Paramètres!$A$1:$I$89,3,0)*0.475*44/12</f>
        <v>0</v>
      </c>
      <c r="EY43" s="24">
        <f t="shared" si="21"/>
        <v>1.487616796219458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19.571428571428573</v>
      </c>
      <c r="N44" s="14">
        <f>IF('Données projet'!$A$36&gt;35,N43+M44-V43,IF(A44&lt;'Données projet'!$A$36,$K$205^A44,IF(A44='Données projet'!$A$36,'Données projet'!$B$36,N43+M44-V43)))</f>
        <v>397.42857142857133</v>
      </c>
      <c r="O44" s="14">
        <f>N44*VLOOKUP('Données projet'!$B$9,Paramètres!$A$1:$I$89,3,0)*VLOOKUP('Données projet'!$B$9,Paramètres!$A$1:$I$89,5,0)</f>
        <v>185.9965714285714</v>
      </c>
      <c r="P44" s="14">
        <f t="shared" si="33"/>
        <v>46.653757617185917</v>
      </c>
      <c r="Q44" s="22">
        <f t="shared" si="53"/>
        <v>405.19932308802726</v>
      </c>
      <c r="R44" s="62">
        <f t="shared" si="0"/>
        <v>698.53265642136057</v>
      </c>
      <c r="S44" s="62">
        <f ca="1">AVERAGE(OFFSET($R$3,0,0,'Données projet'!$E$9+1,1))-AVERAGE(OFFSET($H$3,0,0,'Données projet'!$E$9+1,1))</f>
        <v>317.54276561627643</v>
      </c>
      <c r="T44" s="62">
        <f t="shared" si="34"/>
        <v>238.92443174298893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8.6</v>
      </c>
      <c r="AI44" s="14">
        <f>IF('Données projet'!$A$62&gt;35,AI43+AH44-AQ43,IF(A44&lt;'Données projet'!$A$62,$AF$205^A44,IF(A44='Données projet'!$A$62,'Données projet'!$B$62,AI43+AH44-AQ43)))</f>
        <v>166.59999999999994</v>
      </c>
      <c r="AJ44" s="14">
        <f>AI44*VLOOKUP('Données projet'!$B$10,Paramètres!$A$1:$I$89,3,0)*VLOOKUP('Données projet'!$B$10,Paramètres!$A$1:$I$89,5,0)</f>
        <v>145.54175999999998</v>
      </c>
      <c r="AK44" s="14">
        <f t="shared" si="35"/>
        <v>37.563662342876064</v>
      </c>
      <c r="AL44" s="22">
        <f t="shared" si="4"/>
        <v>318.90861058050911</v>
      </c>
      <c r="AM44" s="62">
        <f t="shared" si="5"/>
        <v>612.24194391384242</v>
      </c>
      <c r="AN44" s="62">
        <f ca="1">AVERAGE(OFFSET($AM$3,0,0,'Données projet'!$E$10+1,1))-AVERAGE(OFFSET($H$3,0,0,'Données projet'!$E$10+1,1))</f>
        <v>327.826081588335</v>
      </c>
      <c r="AO44" s="62">
        <f t="shared" si="36"/>
        <v>348.84706693879735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4.9428846942021467</v>
      </c>
      <c r="AV44" s="23">
        <f>EXP(-LN(2)/25)*AV43+(1-EXP(-LN(2)/25))/(LN(2)/25)*Calculateur!AQ44*Calculateur!AS44*VLOOKUP('Données projet'!$B$10,Paramètres!$A$1:$I$89,3,0)*0.475*44/12</f>
        <v>10.113111707590127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15.055996401792274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11.4</v>
      </c>
      <c r="BD44" s="13">
        <f>IF('Données projet'!$A$88&gt;35,BD43+BC44-BL43,IF(A44&lt;'Données projet'!$A$88,$BA$205^A44,IF(A44='Données projet'!$A$88,'Données projet'!$B$88,BD43+BC44-BL43)))</f>
        <v>158.4</v>
      </c>
      <c r="BE44" s="14">
        <f>BD44*VLOOKUP('Données projet'!$B$11,Paramètres!$A$1:$I$89,3,0)*VLOOKUP('Données projet'!$B$11,Paramètres!$A$1:$I$89,5,0)</f>
        <v>160.61760000000001</v>
      </c>
      <c r="BF44" s="14">
        <f t="shared" si="37"/>
        <v>40.981785561145074</v>
      </c>
      <c r="BG44" s="22">
        <f t="shared" si="7"/>
        <v>351.11892985232771</v>
      </c>
      <c r="BH44" s="62">
        <f t="shared" si="8"/>
        <v>644.45226318566097</v>
      </c>
      <c r="BI44" s="62">
        <f ca="1">AVERAGE(OFFSET($BH$3,0,0,'Données projet'!$E$11+1,1))-AVERAGE(OFFSET($H$3,0,0,'Données projet'!$E$11+1,1))</f>
        <v>487.04124684635974</v>
      </c>
      <c r="BJ44" s="62">
        <f t="shared" si="38"/>
        <v>306.61893266146666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2.1708615211022941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2.1708615211022941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11.4</v>
      </c>
      <c r="BY44" s="13">
        <f>IF('Données projet'!$A$114&gt;35,BY43+BX44-CG43,IF(A44&lt;'Données projet'!$A$114,$BV$205^A44,IF(A44='Données projet'!$A$114,'Données projet'!$B$114,BY43+BX44-CG43)))</f>
        <v>158.4</v>
      </c>
      <c r="BZ44" s="14">
        <f>BY44*VLOOKUP('Données projet'!$B$12,Paramètres!$A$1:$I$89,3,0)*VLOOKUP('Données projet'!$B$12,Paramètres!$A$1:$I$89,5,0)</f>
        <v>143.32032000000001</v>
      </c>
      <c r="CA44" s="14">
        <f t="shared" si="39"/>
        <v>37.056603420232349</v>
      </c>
      <c r="CB44" s="22">
        <f t="shared" si="10"/>
        <v>314.15647495690467</v>
      </c>
      <c r="CC44" s="62">
        <f t="shared" si="11"/>
        <v>607.48980829023799</v>
      </c>
      <c r="CD44" s="62">
        <f ca="1">AVERAGE(OFFSET($CC$3,0,0,'Données projet'!$E$12+1,1))-AVERAGE(OFFSET($H$3,0,0,'Données projet'!$E$12+1,1))</f>
        <v>439.06700232017681</v>
      </c>
      <c r="CE44" s="62">
        <f t="shared" si="40"/>
        <v>278.21741231699929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1.9370764342143543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1.9370764342143543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9.8000000000000007</v>
      </c>
      <c r="CT44" s="13">
        <f>IF('Données projet'!$A$140&gt;35,CT43+CS44-DB43,IF(A44&lt;'Données projet'!$A$140,$CQ$205^A44,IF(A44='Données projet'!$A$140,'Données projet'!$B$140,CT43+CS44-DB43)))</f>
        <v>202.79999999999995</v>
      </c>
      <c r="CU44" s="18">
        <f>CT44*VLOOKUP('Données projet'!$B$13,Paramètres!$A$1:$I$89,3,0)*VLOOKUP('Données projet'!$B$13,Paramètres!$A$1:$I$89,5,0)</f>
        <v>148.69295999999997</v>
      </c>
      <c r="CV44" s="14">
        <f t="shared" si="41"/>
        <v>38.281404966971365</v>
      </c>
      <c r="CW44" s="22">
        <f t="shared" si="13"/>
        <v>325.64701898414177</v>
      </c>
      <c r="CX44" s="62">
        <f t="shared" si="14"/>
        <v>618.98035231747508</v>
      </c>
      <c r="CY44" s="62">
        <f ca="1">AVERAGE(OFFSET($CX$3,0,0,'Données projet'!$E$13+1,1))-AVERAGE(OFFSET($H$3,0,0,'Données projet'!$E$13+1,1))</f>
        <v>327.81662150328646</v>
      </c>
      <c r="CZ44" s="62">
        <f t="shared" si="42"/>
        <v>320.24200483294322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1.6096003761839697</v>
      </c>
      <c r="DG44" s="23">
        <f>EXP(-LN(2)/25)*DG43+(1-EXP(-LN(2)/25))/(LN(2)/25)*Calculateur!DB44*Calculateur!DD44*VLOOKUP('Données projet'!$B$13,Paramètres!$A$1:$I$89,3,0)*0.475*44/12</f>
        <v>0</v>
      </c>
      <c r="DH44" s="23">
        <f>EXP(-LN(2)/2)*DH43+(1-EXP(-LN(2)/2))/(LN(2)/2)*DB44*DE44*VLOOKUP('Données projet'!$B$13,Paramètres!$A$1:$I$89,3,0)*0.475*44/12</f>
        <v>0</v>
      </c>
      <c r="DI44" s="24">
        <f t="shared" si="15"/>
        <v>1.6096003761839697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6.4</v>
      </c>
      <c r="DO44" s="13">
        <f>IF('Données projet'!$A$166&gt;35,DO43+DN44-DW43,IF(A44&lt;'Données projet'!$A$166,$DL$205^A44,IF(A44='Données projet'!$A$166,'Données projet'!$B$166,DO43+DN44-DW43)))</f>
        <v>129.40000000000009</v>
      </c>
      <c r="DP44" s="18">
        <f>DO44*VLOOKUP('Données projet'!$B$14,Paramètres!$A$1:$I$89,3,0)*VLOOKUP('Données projet'!$B$14,Paramètres!$A$1:$I$89,5,0)</f>
        <v>84.782880000000063</v>
      </c>
      <c r="DQ44" s="14">
        <f t="shared" si="43"/>
        <v>23.302641807417039</v>
      </c>
      <c r="DR44" s="22">
        <f t="shared" si="16"/>
        <v>188.24895048125146</v>
      </c>
      <c r="DS44" s="62">
        <f t="shared" si="17"/>
        <v>481.5822838145848</v>
      </c>
      <c r="DT44" s="62">
        <f ca="1">AVERAGE(OFFSET($DS$3,0,0,'Données projet'!$E$14+1,1))-AVERAGE(OFFSET($H$3,0,0,'Données projet'!$E$14+1,1))</f>
        <v>210.08998695869161</v>
      </c>
      <c r="DU44" s="62">
        <f t="shared" si="44"/>
        <v>207.30911916430881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>
        <f>EXP(-LN(2)/35)*EA43+(1-EXP(-LN(2)/35))/(LN(2)/35)*DW44*DX44*VLOOKUP('Données projet'!$B$14,Paramètres!$A$1:$I$89,3,0)*0.475*44/12</f>
        <v>0.3698656183571673</v>
      </c>
      <c r="EB44" s="23">
        <f>EXP(-LN(2)/25)*EB43+(1-EXP(-LN(2)/25))/(LN(2)/25)*Calculateur!DW44*Calculateur!DY44*VLOOKUP('Données projet'!$B$14,Paramètres!$A$1:$I$89,3,0)*0.475*44/12</f>
        <v>0</v>
      </c>
      <c r="EC44" s="23">
        <f>EXP(-LN(2)/2)*EC43+(1-EXP(-LN(2)/2))/(LN(2)/2)*DW44*DZ44*VLOOKUP('Données projet'!$B$14,Paramètres!$A$1:$I$89,3,0)*0.475*44/12</f>
        <v>0</v>
      </c>
      <c r="ED44" s="24">
        <f t="shared" si="18"/>
        <v>0.3698656183571673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11.142857142857142</v>
      </c>
      <c r="EJ44" s="13">
        <f>IF('Données projet'!$A$192&gt;35,EJ43+EI44-ER43,IF(A44&lt;'Données projet'!$A$192,$EG$205^A44,IF(A44='Données projet'!$A$192,'Données projet'!$B$192,EJ43+EI44-ER43)))</f>
        <v>196.5714285714285</v>
      </c>
      <c r="EK44" s="18">
        <f>EJ44*VLOOKUP('Données projet'!$B$15,Paramètres!$A$1:$I$89,3,0)*VLOOKUP('Données projet'!$B$15,Paramètres!$A$1:$I$89,5,0)</f>
        <v>153.32571428571424</v>
      </c>
      <c r="EL44" s="14">
        <f t="shared" si="45"/>
        <v>39.333398837614155</v>
      </c>
      <c r="EM44" s="22">
        <f t="shared" si="19"/>
        <v>335.5479553564636</v>
      </c>
      <c r="EN44" s="62">
        <f t="shared" si="20"/>
        <v>628.88128868979697</v>
      </c>
      <c r="EO44" s="62">
        <f ca="1">AVERAGE(OFFSET($EN$3,0,0,'Données projet'!$E$15+1,1))-AVERAGE(OFFSET($H$3,0,0,'Données projet'!$E$15+1,1))</f>
        <v>288.82868507674738</v>
      </c>
      <c r="EP44" s="62">
        <f t="shared" si="46"/>
        <v>283.48738729114024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>
        <f>EXP(-LN(2)/35)*EV43+(1-EXP(-LN(2)/35))/(LN(2)/35)*ER44*ES44*VLOOKUP('Données projet'!$B$15,Paramètres!$A$1:$I$89,3,0)*0.475*44/12</f>
        <v>1.4584455382022461</v>
      </c>
      <c r="EW44" s="23">
        <f>EXP(-LN(2)/25)*EW43+(1-EXP(-LN(2)/25))/(LN(2)/25)*Calculateur!ER44*Calculateur!ET44*VLOOKUP('Données projet'!$B$15,Paramètres!$A$1:$I$89,3,0)*0.475*44/12</f>
        <v>0</v>
      </c>
      <c r="EX44" s="23">
        <f>EXP(-LN(2)/2)*EX43+(1-EXP(-LN(2)/2))/(LN(2)/2)*ER44*EU44*VLOOKUP('Données projet'!$B$15,Paramètres!$A$1:$I$89,3,0)*0.475*44/12</f>
        <v>0</v>
      </c>
      <c r="EY44" s="24">
        <f t="shared" si="21"/>
        <v>1.4584455382022461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>
        <f>VLOOKUP(A45,'Données projet'!$A$35:$I$55,2,0)</f>
        <v>417</v>
      </c>
      <c r="L45" s="13">
        <f>VLOOKUP(A45,'Données projet'!$A$35:$I$55,9,0)</f>
        <v>19.571428571428573</v>
      </c>
      <c r="M45" s="13">
        <f t="array" ref="M45">INDEX(L:L,MIN(IF(ISNUMBER(L45:L241),ROW(L45:L241),"")))</f>
        <v>19.571428571428573</v>
      </c>
      <c r="N45" s="14">
        <f>IF('Données projet'!$A$36&gt;35,N44+M45-V44,IF(A45&lt;'Données projet'!$A$36,$K$205^A45,IF(A45='Données projet'!$A$36,'Données projet'!$B$36,N44+M45-V44)))</f>
        <v>416.99999999999989</v>
      </c>
      <c r="O45" s="14">
        <f>N45*VLOOKUP('Données projet'!$B$9,Paramètres!$A$1:$I$89,3,0)*VLOOKUP('Données projet'!$B$9,Paramètres!$A$1:$I$89,5,0)</f>
        <v>195.15599999999995</v>
      </c>
      <c r="P45" s="14">
        <f t="shared" si="33"/>
        <v>48.678088823054175</v>
      </c>
      <c r="Q45" s="22">
        <f t="shared" si="53"/>
        <v>424.67770470015256</v>
      </c>
      <c r="R45" s="62">
        <f t="shared" si="0"/>
        <v>718.01103803348587</v>
      </c>
      <c r="S45" s="62">
        <f ca="1">AVERAGE(OFFSET($R$3,0,0,'Données projet'!$E$9+1,1))-AVERAGE(OFFSET($H$3,0,0,'Données projet'!$E$9+1,1))</f>
        <v>317.54276561627643</v>
      </c>
      <c r="T45" s="62">
        <f t="shared" si="34"/>
        <v>238.92443174298893</v>
      </c>
      <c r="U45" s="16">
        <f>IF(ISNA(VLOOKUP(A45,'Données projet'!$A$35:$I$55,3,0)),0,VLOOKUP(A45,'Données projet'!$A$35:$I$55,3,0))</f>
        <v>3</v>
      </c>
      <c r="V45" s="16">
        <f>IF(ISNA(VLOOKUP(A45,'Données projet'!$A$35:$I$55,4,0)),0,VLOOKUP(A45,'Données projet'!$A$35:$I$55,4,0))</f>
        <v>182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8.6</v>
      </c>
      <c r="AI45" s="14">
        <f>IF('Données projet'!$A$62&gt;35,AI44+AH45-AQ44,IF(A45&lt;'Données projet'!$A$62,$AF$205^A45,IF(A45='Données projet'!$A$62,'Données projet'!$B$62,AI44+AH45-AQ44)))</f>
        <v>175.19999999999993</v>
      </c>
      <c r="AJ45" s="14">
        <f>AI45*VLOOKUP('Données projet'!$B$10,Paramètres!$A$1:$I$89,3,0)*VLOOKUP('Données projet'!$B$10,Paramètres!$A$1:$I$89,5,0)</f>
        <v>153.05471999999995</v>
      </c>
      <c r="AK45" s="14">
        <f t="shared" si="35"/>
        <v>39.271965088385166</v>
      </c>
      <c r="AL45" s="22">
        <f t="shared" si="4"/>
        <v>334.96897652893739</v>
      </c>
      <c r="AM45" s="62">
        <f t="shared" si="5"/>
        <v>628.3023098622707</v>
      </c>
      <c r="AN45" s="62">
        <f ca="1">AVERAGE(OFFSET($AM$3,0,0,'Données projet'!$E$10+1,1))-AVERAGE(OFFSET($H$3,0,0,'Données projet'!$E$10+1,1))</f>
        <v>327.826081588335</v>
      </c>
      <c r="AO45" s="62">
        <f t="shared" si="36"/>
        <v>348.84706693879735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4.8459577402108129</v>
      </c>
      <c r="AV45" s="23">
        <f>EXP(-LN(2)/25)*AV44+(1-EXP(-LN(2)/25))/(LN(2)/25)*Calculateur!AQ45*Calculateur!AS45*VLOOKUP('Données projet'!$B$10,Paramètres!$A$1:$I$89,3,0)*0.475*44/12</f>
        <v>9.8365681361206434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14.682525876331457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11.4</v>
      </c>
      <c r="BD45" s="13">
        <f>IF('Données projet'!$A$88&gt;35,BD44+BC45-BL44,IF(A45&lt;'Données projet'!$A$88,$BA$205^A45,IF(A45='Données projet'!$A$88,'Données projet'!$B$88,BD44+BC45-BL44)))</f>
        <v>169.8</v>
      </c>
      <c r="BE45" s="14">
        <f>BD45*VLOOKUP('Données projet'!$B$11,Paramètres!$A$1:$I$89,3,0)*VLOOKUP('Données projet'!$B$11,Paramètres!$A$1:$I$89,5,0)</f>
        <v>172.1772</v>
      </c>
      <c r="BF45" s="14">
        <f t="shared" si="37"/>
        <v>43.577282221917017</v>
      </c>
      <c r="BG45" s="22">
        <f t="shared" si="7"/>
        <v>375.77238986983883</v>
      </c>
      <c r="BH45" s="62">
        <f t="shared" si="8"/>
        <v>669.10572320317215</v>
      </c>
      <c r="BI45" s="62">
        <f ca="1">AVERAGE(OFFSET($BH$3,0,0,'Données projet'!$E$11+1,1))-AVERAGE(OFFSET($H$3,0,0,'Données projet'!$E$11+1,1))</f>
        <v>487.04124684635974</v>
      </c>
      <c r="BJ45" s="62">
        <f t="shared" si="38"/>
        <v>306.61893266146666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2.1282922507682627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2.1282922507682627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11.4</v>
      </c>
      <c r="BY45" s="13">
        <f>IF('Données projet'!$A$114&gt;35,BY44+BX45-CG44,IF(A45&lt;'Données projet'!$A$114,$BV$205^A45,IF(A45='Données projet'!$A$114,'Données projet'!$B$114,BY44+BX45-CG44)))</f>
        <v>169.8</v>
      </c>
      <c r="BZ45" s="14">
        <f>BY45*VLOOKUP('Données projet'!$B$12,Paramètres!$A$1:$I$89,3,0)*VLOOKUP('Données projet'!$B$12,Paramètres!$A$1:$I$89,5,0)</f>
        <v>153.63504</v>
      </c>
      <c r="CA45" s="14">
        <f t="shared" si="39"/>
        <v>39.403506785222667</v>
      </c>
      <c r="CB45" s="22">
        <f t="shared" si="10"/>
        <v>336.20880231759617</v>
      </c>
      <c r="CC45" s="62">
        <f t="shared" si="11"/>
        <v>629.54213565092948</v>
      </c>
      <c r="CD45" s="62">
        <f ca="1">AVERAGE(OFFSET($CC$3,0,0,'Données projet'!$E$12+1,1))-AVERAGE(OFFSET($H$3,0,0,'Données projet'!$E$12+1,1))</f>
        <v>439.06700232017681</v>
      </c>
      <c r="CE45" s="62">
        <f t="shared" si="40"/>
        <v>278.21741231699929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1.8990915468393723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1.8990915468393723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9.8000000000000007</v>
      </c>
      <c r="CT45" s="13">
        <f>IF('Données projet'!$A$140&gt;35,CT44+CS45-DB44,IF(A45&lt;'Données projet'!$A$140,$CQ$205^A45,IF(A45='Données projet'!$A$140,'Données projet'!$B$140,CT44+CS45-DB44)))</f>
        <v>212.59999999999997</v>
      </c>
      <c r="CU45" s="18">
        <f>CT45*VLOOKUP('Données projet'!$B$13,Paramètres!$A$1:$I$89,3,0)*VLOOKUP('Données projet'!$B$13,Paramètres!$A$1:$I$89,5,0)</f>
        <v>155.87831999999997</v>
      </c>
      <c r="CV45" s="14">
        <f t="shared" si="41"/>
        <v>39.911451633480986</v>
      </c>
      <c r="CW45" s="22">
        <f t="shared" si="13"/>
        <v>341.00051892831272</v>
      </c>
      <c r="CX45" s="62">
        <f t="shared" si="14"/>
        <v>634.33385226164603</v>
      </c>
      <c r="CY45" s="62">
        <f ca="1">AVERAGE(OFFSET($CX$3,0,0,'Données projet'!$E$13+1,1))-AVERAGE(OFFSET($H$3,0,0,'Données projet'!$E$13+1,1))</f>
        <v>327.81662150328646</v>
      </c>
      <c r="CZ45" s="62">
        <f t="shared" si="42"/>
        <v>320.24200483294322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1.5780370945662909</v>
      </c>
      <c r="DG45" s="23">
        <f>EXP(-LN(2)/25)*DG44+(1-EXP(-LN(2)/25))/(LN(2)/25)*Calculateur!DB45*Calculateur!DD45*VLOOKUP('Données projet'!$B$13,Paramètres!$A$1:$I$89,3,0)*0.475*44/12</f>
        <v>0</v>
      </c>
      <c r="DH45" s="23">
        <f>EXP(-LN(2)/2)*DH44+(1-EXP(-LN(2)/2))/(LN(2)/2)*DB45*DE45*VLOOKUP('Données projet'!$B$13,Paramètres!$A$1:$I$89,3,0)*0.475*44/12</f>
        <v>0</v>
      </c>
      <c r="DI45" s="24">
        <f t="shared" si="15"/>
        <v>1.5780370945662909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6.4</v>
      </c>
      <c r="DO45" s="13">
        <f>IF('Données projet'!$A$166&gt;35,DO44+DN45-DW44,IF(A45&lt;'Données projet'!$A$166,$DL$205^A45,IF(A45='Données projet'!$A$166,'Données projet'!$B$166,DO44+DN45-DW44)))</f>
        <v>135.8000000000001</v>
      </c>
      <c r="DP45" s="18">
        <f>DO45*VLOOKUP('Données projet'!$B$14,Paramètres!$A$1:$I$89,3,0)*VLOOKUP('Données projet'!$B$14,Paramètres!$A$1:$I$89,5,0)</f>
        <v>88.976160000000064</v>
      </c>
      <c r="DQ45" s="14">
        <f t="shared" si="43"/>
        <v>24.318135258370972</v>
      </c>
      <c r="DR45" s="22">
        <f t="shared" si="16"/>
        <v>197.32089757499622</v>
      </c>
      <c r="DS45" s="62">
        <f t="shared" si="17"/>
        <v>490.65423090832951</v>
      </c>
      <c r="DT45" s="62">
        <f ca="1">AVERAGE(OFFSET($DS$3,0,0,'Données projet'!$E$14+1,1))-AVERAGE(OFFSET($H$3,0,0,'Données projet'!$E$14+1,1))</f>
        <v>210.08998695869161</v>
      </c>
      <c r="DU45" s="62">
        <f t="shared" si="44"/>
        <v>207.30911916430881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>
        <f>EXP(-LN(2)/35)*EA44+(1-EXP(-LN(2)/35))/(LN(2)/35)*DW45*DX45*VLOOKUP('Données projet'!$B$14,Paramètres!$A$1:$I$89,3,0)*0.475*44/12</f>
        <v>0.36261277917693474</v>
      </c>
      <c r="EB45" s="23">
        <f>EXP(-LN(2)/25)*EB44+(1-EXP(-LN(2)/25))/(LN(2)/25)*Calculateur!DW45*Calculateur!DY45*VLOOKUP('Données projet'!$B$14,Paramètres!$A$1:$I$89,3,0)*0.475*44/12</f>
        <v>0</v>
      </c>
      <c r="EC45" s="23">
        <f>EXP(-LN(2)/2)*EC44+(1-EXP(-LN(2)/2))/(LN(2)/2)*DW45*DZ45*VLOOKUP('Données projet'!$B$14,Paramètres!$A$1:$I$89,3,0)*0.475*44/12</f>
        <v>0</v>
      </c>
      <c r="ED45" s="24">
        <f t="shared" si="18"/>
        <v>0.36261277917693474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11.142857142857142</v>
      </c>
      <c r="EJ45" s="13">
        <f>IF('Données projet'!$A$192&gt;35,EJ44+EI45-ER44,IF(A45&lt;'Données projet'!$A$192,$EG$205^A45,IF(A45='Données projet'!$A$192,'Données projet'!$B$192,EJ44+EI45-ER44)))</f>
        <v>207.71428571428564</v>
      </c>
      <c r="EK45" s="18">
        <f>EJ45*VLOOKUP('Données projet'!$B$15,Paramètres!$A$1:$I$89,3,0)*VLOOKUP('Données projet'!$B$15,Paramètres!$A$1:$I$89,5,0)</f>
        <v>162.0171428571428</v>
      </c>
      <c r="EL45" s="14">
        <f t="shared" si="45"/>
        <v>41.29715533509664</v>
      </c>
      <c r="EM45" s="22">
        <f t="shared" si="19"/>
        <v>354.10573601815037</v>
      </c>
      <c r="EN45" s="62">
        <f t="shared" si="20"/>
        <v>647.43906935148368</v>
      </c>
      <c r="EO45" s="62">
        <f ca="1">AVERAGE(OFFSET($EN$3,0,0,'Données projet'!$E$15+1,1))-AVERAGE(OFFSET($H$3,0,0,'Données projet'!$E$15+1,1))</f>
        <v>288.82868507674738</v>
      </c>
      <c r="EP45" s="62">
        <f t="shared" si="46"/>
        <v>283.48738729114024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>
        <f>EXP(-LN(2)/35)*EV44+(1-EXP(-LN(2)/35))/(LN(2)/35)*ER45*ES45*VLOOKUP('Données projet'!$B$15,Paramètres!$A$1:$I$89,3,0)*0.475*44/12</f>
        <v>1.4298463107620412</v>
      </c>
      <c r="EW45" s="23">
        <f>EXP(-LN(2)/25)*EW44+(1-EXP(-LN(2)/25))/(LN(2)/25)*Calculateur!ER45*Calculateur!ET45*VLOOKUP('Données projet'!$B$15,Paramètres!$A$1:$I$89,3,0)*0.475*44/12</f>
        <v>0</v>
      </c>
      <c r="EX45" s="23">
        <f>EXP(-LN(2)/2)*EX44+(1-EXP(-LN(2)/2))/(LN(2)/2)*ER45*EU45*VLOOKUP('Données projet'!$B$15,Paramètres!$A$1:$I$89,3,0)*0.475*44/12</f>
        <v>0</v>
      </c>
      <c r="EY45" s="24">
        <f t="shared" si="21"/>
        <v>1.4298463107620412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>
        <f>VLOOKUP(A46,'Données projet'!$A$35:$I$55,2,0)</f>
        <v>256</v>
      </c>
      <c r="L46" s="13">
        <f>VLOOKUP(A46,'Données projet'!$A$35:$I$55,9,0)</f>
        <v>21</v>
      </c>
      <c r="M46" s="13">
        <f t="array" ref="M46">INDEX(L:L,MIN(IF(ISNUMBER(L46:L242),ROW(L46:L242),"")))</f>
        <v>21</v>
      </c>
      <c r="N46" s="14">
        <f>IF('Données projet'!$A$36&gt;35,N45+M46-V45,IF(A46&lt;'Données projet'!$A$36,$K$205^A46,IF(A46='Données projet'!$A$36,'Données projet'!$B$36,N45+M46-V45)))</f>
        <v>255.99999999999989</v>
      </c>
      <c r="O46" s="14">
        <f>N46*VLOOKUP('Données projet'!$B$9,Paramètres!$A$1:$I$89,3,0)*VLOOKUP('Données projet'!$B$9,Paramètres!$A$1:$I$89,5,0)</f>
        <v>119.80799999999995</v>
      </c>
      <c r="P46" s="14">
        <f t="shared" si="33"/>
        <v>31.630214274643535</v>
      </c>
      <c r="Q46" s="22">
        <f t="shared" si="53"/>
        <v>263.75488986167073</v>
      </c>
      <c r="R46" s="62">
        <f t="shared" si="0"/>
        <v>557.08822319500405</v>
      </c>
      <c r="S46" s="62">
        <f ca="1">AVERAGE(OFFSET($R$3,0,0,'Données projet'!$E$9+1,1))-AVERAGE(OFFSET($H$3,0,0,'Données projet'!$E$9+1,1))</f>
        <v>317.54276561627643</v>
      </c>
      <c r="T46" s="62">
        <f t="shared" si="34"/>
        <v>238.92443174298893</v>
      </c>
      <c r="U46" s="16">
        <f>IF(ISNA(VLOOKUP(A46,'Données projet'!$A$35:$I$55,3,0)),0,VLOOKUP(A46,'Données projet'!$A$35:$I$55,3,0))</f>
        <v>4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8.6</v>
      </c>
      <c r="AI46" s="14">
        <f>IF('Données projet'!$A$62&gt;35,AI45+AH46-AQ45,IF(A46&lt;'Données projet'!$A$62,$AF$205^A46,IF(A46='Données projet'!$A$62,'Données projet'!$B$62,AI45+AH46-AQ45)))</f>
        <v>183.79999999999993</v>
      </c>
      <c r="AJ46" s="14">
        <f>AI46*VLOOKUP('Données projet'!$B$10,Paramètres!$A$1:$I$89,3,0)*VLOOKUP('Données projet'!$B$10,Paramètres!$A$1:$I$89,5,0)</f>
        <v>160.56767999999997</v>
      </c>
      <c r="AK46" s="14">
        <f t="shared" si="35"/>
        <v>40.970530810309882</v>
      </c>
      <c r="AL46" s="22">
        <f t="shared" si="4"/>
        <v>351.01238382795628</v>
      </c>
      <c r="AM46" s="62">
        <f t="shared" si="5"/>
        <v>644.3457171612896</v>
      </c>
      <c r="AN46" s="62">
        <f ca="1">AVERAGE(OFFSET($AM$3,0,0,'Données projet'!$E$10+1,1))-AVERAGE(OFFSET($H$3,0,0,'Données projet'!$E$10+1,1))</f>
        <v>327.826081588335</v>
      </c>
      <c r="AO46" s="62">
        <f t="shared" si="36"/>
        <v>348.84706693879735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4.7509314646676453</v>
      </c>
      <c r="AV46" s="23">
        <f>EXP(-LN(2)/25)*AV45+(1-EXP(-LN(2)/25))/(LN(2)/25)*Calculateur!AQ46*Calculateur!AS46*VLOOKUP('Données projet'!$B$10,Paramètres!$A$1:$I$89,3,0)*0.475*44/12</f>
        <v>9.5675866631557884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14.318518127823435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11.4</v>
      </c>
      <c r="BD46" s="13">
        <f>IF('Données projet'!$A$88&gt;35,BD45+BC46-BL45,IF(A46&lt;'Données projet'!$A$88,$BA$205^A46,IF(A46='Données projet'!$A$88,'Données projet'!$B$88,BD45+BC46-BL45)))</f>
        <v>181.20000000000002</v>
      </c>
      <c r="BE46" s="14">
        <f>BD46*VLOOKUP('Données projet'!$B$11,Paramètres!$A$1:$I$89,3,0)*VLOOKUP('Données projet'!$B$11,Paramètres!$A$1:$I$89,5,0)</f>
        <v>183.73680000000002</v>
      </c>
      <c r="BF46" s="14">
        <f t="shared" si="37"/>
        <v>46.152558509293854</v>
      </c>
      <c r="BG46" s="22">
        <f t="shared" si="7"/>
        <v>400.3906327370201</v>
      </c>
      <c r="BH46" s="62">
        <f t="shared" si="8"/>
        <v>693.72396607035341</v>
      </c>
      <c r="BI46" s="62">
        <f ca="1">AVERAGE(OFFSET($BH$3,0,0,'Données projet'!$E$11+1,1))-AVERAGE(OFFSET($H$3,0,0,'Données projet'!$E$11+1,1))</f>
        <v>487.04124684635974</v>
      </c>
      <c r="BJ46" s="62">
        <f t="shared" si="38"/>
        <v>306.61893266146666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2.0865577378607902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2.0865577378607902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11.4</v>
      </c>
      <c r="BY46" s="13">
        <f>IF('Données projet'!$A$114&gt;35,BY45+BX46-CG45,IF(A46&lt;'Données projet'!$A$114,$BV$205^A46,IF(A46='Données projet'!$A$114,'Données projet'!$B$114,BY45+BX46-CG45)))</f>
        <v>181.20000000000002</v>
      </c>
      <c r="BZ46" s="14">
        <f>BY46*VLOOKUP('Données projet'!$B$12,Paramètres!$A$1:$I$89,3,0)*VLOOKUP('Données projet'!$B$12,Paramètres!$A$1:$I$89,5,0)</f>
        <v>163.94976</v>
      </c>
      <c r="CA46" s="14">
        <f t="shared" si="39"/>
        <v>41.732126457893308</v>
      </c>
      <c r="CB46" s="22">
        <f t="shared" si="10"/>
        <v>358.22928558083089</v>
      </c>
      <c r="CC46" s="62">
        <f t="shared" si="11"/>
        <v>651.5626189141642</v>
      </c>
      <c r="CD46" s="62">
        <f ca="1">AVERAGE(OFFSET($CC$3,0,0,'Données projet'!$E$12+1,1))-AVERAGE(OFFSET($H$3,0,0,'Données projet'!$E$12+1,1))</f>
        <v>439.06700232017681</v>
      </c>
      <c r="CE46" s="62">
        <f t="shared" si="40"/>
        <v>278.21741231699929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1.86185151993732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1.86185151993732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9.8000000000000007</v>
      </c>
      <c r="CT46" s="13">
        <f>IF('Données projet'!$A$140&gt;35,CT45+CS46-DB45,IF(A46&lt;'Données projet'!$A$140,$CQ$205^A46,IF(A46='Données projet'!$A$140,'Données projet'!$B$140,CT45+CS46-DB45)))</f>
        <v>222.39999999999998</v>
      </c>
      <c r="CU46" s="18">
        <f>CT46*VLOOKUP('Données projet'!$B$13,Paramètres!$A$1:$I$89,3,0)*VLOOKUP('Données projet'!$B$13,Paramètres!$A$1:$I$89,5,0)</f>
        <v>163.06367999999998</v>
      </c>
      <c r="CV46" s="14">
        <f t="shared" si="41"/>
        <v>41.532772330984628</v>
      </c>
      <c r="CW46" s="22">
        <f t="shared" si="13"/>
        <v>356.33882114313155</v>
      </c>
      <c r="CX46" s="62">
        <f t="shared" si="14"/>
        <v>649.67215447646481</v>
      </c>
      <c r="CY46" s="62">
        <f ca="1">AVERAGE(OFFSET($CX$3,0,0,'Données projet'!$E$13+1,1))-AVERAGE(OFFSET($H$3,0,0,'Données projet'!$E$13+1,1))</f>
        <v>327.81662150328646</v>
      </c>
      <c r="CZ46" s="62">
        <f t="shared" si="42"/>
        <v>320.24200483294322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1.547092749649434</v>
      </c>
      <c r="DG46" s="23">
        <f>EXP(-LN(2)/25)*DG45+(1-EXP(-LN(2)/25))/(LN(2)/25)*Calculateur!DB46*Calculateur!DD46*VLOOKUP('Données projet'!$B$13,Paramètres!$A$1:$I$89,3,0)*0.475*44/12</f>
        <v>0</v>
      </c>
      <c r="DH46" s="23">
        <f>EXP(-LN(2)/2)*DH45+(1-EXP(-LN(2)/2))/(LN(2)/2)*DB46*DE46*VLOOKUP('Données projet'!$B$13,Paramètres!$A$1:$I$89,3,0)*0.475*44/12</f>
        <v>0</v>
      </c>
      <c r="DI46" s="24">
        <f t="shared" si="15"/>
        <v>1.547092749649434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6.4</v>
      </c>
      <c r="DO46" s="13">
        <f>IF('Données projet'!$A$166&gt;35,DO45+DN46-DW45,IF(A46&lt;'Données projet'!$A$166,$DL$205^A46,IF(A46='Données projet'!$A$166,'Données projet'!$B$166,DO45+DN46-DW45)))</f>
        <v>142.2000000000001</v>
      </c>
      <c r="DP46" s="18">
        <f>DO46*VLOOKUP('Données projet'!$B$14,Paramètres!$A$1:$I$89,3,0)*VLOOKUP('Données projet'!$B$14,Paramètres!$A$1:$I$89,5,0)</f>
        <v>93.169440000000066</v>
      </c>
      <c r="DQ46" s="14">
        <f t="shared" si="43"/>
        <v>25.328071081901747</v>
      </c>
      <c r="DR46" s="22">
        <f t="shared" si="16"/>
        <v>206.38316513431232</v>
      </c>
      <c r="DS46" s="62">
        <f t="shared" si="17"/>
        <v>499.71649846764564</v>
      </c>
      <c r="DT46" s="62">
        <f ca="1">AVERAGE(OFFSET($DS$3,0,0,'Données projet'!$E$14+1,1))-AVERAGE(OFFSET($H$3,0,0,'Données projet'!$E$14+1,1))</f>
        <v>210.08998695869161</v>
      </c>
      <c r="DU46" s="62">
        <f t="shared" si="44"/>
        <v>207.30911916430881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>
        <f>EXP(-LN(2)/35)*EA45+(1-EXP(-LN(2)/35))/(LN(2)/35)*DW46*DX46*VLOOKUP('Données projet'!$B$14,Paramètres!$A$1:$I$89,3,0)*0.475*44/12</f>
        <v>0.35550216374923144</v>
      </c>
      <c r="EB46" s="23">
        <f>EXP(-LN(2)/25)*EB45+(1-EXP(-LN(2)/25))/(LN(2)/25)*Calculateur!DW46*Calculateur!DY46*VLOOKUP('Données projet'!$B$14,Paramètres!$A$1:$I$89,3,0)*0.475*44/12</f>
        <v>0</v>
      </c>
      <c r="EC46" s="23">
        <f>EXP(-LN(2)/2)*EC45+(1-EXP(-LN(2)/2))/(LN(2)/2)*DW46*DZ46*VLOOKUP('Données projet'!$B$14,Paramètres!$A$1:$I$89,3,0)*0.475*44/12</f>
        <v>0</v>
      </c>
      <c r="ED46" s="24">
        <f t="shared" si="18"/>
        <v>0.35550216374923144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11.142857142857142</v>
      </c>
      <c r="EJ46" s="13">
        <f>IF('Données projet'!$A$192&gt;35,EJ45+EI46-ER45,IF(A46&lt;'Données projet'!$A$192,$EG$205^A46,IF(A46='Données projet'!$A$192,'Données projet'!$B$192,EJ45+EI46-ER45)))</f>
        <v>218.85714285714278</v>
      </c>
      <c r="EK46" s="18">
        <f>EJ46*VLOOKUP('Données projet'!$B$15,Paramètres!$A$1:$I$89,3,0)*VLOOKUP('Données projet'!$B$15,Paramètres!$A$1:$I$89,5,0)</f>
        <v>170.70857142857136</v>
      </c>
      <c r="EL46" s="14">
        <f t="shared" si="45"/>
        <v>43.248681576985376</v>
      </c>
      <c r="EM46" s="22">
        <f t="shared" si="19"/>
        <v>372.64221565134466</v>
      </c>
      <c r="EN46" s="62">
        <f t="shared" si="20"/>
        <v>665.97554898467797</v>
      </c>
      <c r="EO46" s="62">
        <f ca="1">AVERAGE(OFFSET($EN$3,0,0,'Données projet'!$E$15+1,1))-AVERAGE(OFFSET($H$3,0,0,'Données projet'!$E$15+1,1))</f>
        <v>288.82868507674738</v>
      </c>
      <c r="EP46" s="62">
        <f t="shared" si="46"/>
        <v>283.48738729114024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>
        <f>EXP(-LN(2)/35)*EV45+(1-EXP(-LN(2)/35))/(LN(2)/35)*ER46*ES46*VLOOKUP('Données projet'!$B$15,Paramètres!$A$1:$I$89,3,0)*0.475*44/12</f>
        <v>1.4018078967281324</v>
      </c>
      <c r="EW46" s="23">
        <f>EXP(-LN(2)/25)*EW45+(1-EXP(-LN(2)/25))/(LN(2)/25)*Calculateur!ER46*Calculateur!ET46*VLOOKUP('Données projet'!$B$15,Paramètres!$A$1:$I$89,3,0)*0.475*44/12</f>
        <v>0</v>
      </c>
      <c r="EX46" s="23">
        <f>EXP(-LN(2)/2)*EX45+(1-EXP(-LN(2)/2))/(LN(2)/2)*ER46*EU46*VLOOKUP('Données projet'!$B$15,Paramètres!$A$1:$I$89,3,0)*0.475*44/12</f>
        <v>0</v>
      </c>
      <c r="EY46" s="24">
        <f t="shared" si="21"/>
        <v>1.4018078967281324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17.5</v>
      </c>
      <c r="N47" s="14">
        <f>IF('Données projet'!$A$36&gt;35,N46+M47-V46,IF(A47&lt;'Données projet'!$A$36,$K$205^A47,IF(A47='Données projet'!$A$36,'Données projet'!$B$36,N46+M47-V46)))</f>
        <v>273.49999999999989</v>
      </c>
      <c r="O47" s="14">
        <f>N47*VLOOKUP('Données projet'!$B$9,Paramètres!$A$1:$I$89,3,0)*VLOOKUP('Données projet'!$B$9,Paramètres!$A$1:$I$89,5,0)</f>
        <v>127.99799999999995</v>
      </c>
      <c r="P47" s="14">
        <f t="shared" si="33"/>
        <v>33.533338894635314</v>
      </c>
      <c r="Q47" s="22">
        <f t="shared" si="53"/>
        <v>281.33374857482306</v>
      </c>
      <c r="R47" s="62">
        <f t="shared" si="0"/>
        <v>574.66708190815643</v>
      </c>
      <c r="S47" s="62">
        <f ca="1">AVERAGE(OFFSET($R$3,0,0,'Données projet'!$E$9+1,1))-AVERAGE(OFFSET($H$3,0,0,'Données projet'!$E$9+1,1))</f>
        <v>317.54276561627643</v>
      </c>
      <c r="T47" s="62">
        <f t="shared" si="34"/>
        <v>238.92443174298893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8.6</v>
      </c>
      <c r="AI47" s="14">
        <f>IF('Données projet'!$A$62&gt;35,AI46+AH47-AQ46,IF(A47&lt;'Données projet'!$A$62,$AF$205^A47,IF(A47='Données projet'!$A$62,'Données projet'!$B$62,AI46+AH47-AQ46)))</f>
        <v>192.39999999999992</v>
      </c>
      <c r="AJ47" s="14">
        <f>AI47*VLOOKUP('Données projet'!$B$10,Paramètres!$A$1:$I$89,3,0)*VLOOKUP('Données projet'!$B$10,Paramètres!$A$1:$I$89,5,0)</f>
        <v>168.08063999999996</v>
      </c>
      <c r="AK47" s="14">
        <f t="shared" si="35"/>
        <v>42.659867131343425</v>
      </c>
      <c r="AL47" s="22">
        <f t="shared" si="4"/>
        <v>367.03971658708974</v>
      </c>
      <c r="AM47" s="62">
        <f t="shared" si="5"/>
        <v>660.373049920423</v>
      </c>
      <c r="AN47" s="62">
        <f ca="1">AVERAGE(OFFSET($AM$3,0,0,'Données projet'!$E$10+1,1))-AVERAGE(OFFSET($H$3,0,0,'Données projet'!$E$10+1,1))</f>
        <v>327.826081588335</v>
      </c>
      <c r="AO47" s="62">
        <f t="shared" si="36"/>
        <v>348.84706693879735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4.6577685964275739</v>
      </c>
      <c r="AV47" s="23">
        <f>EXP(-LN(2)/25)*AV46+(1-EXP(-LN(2)/25))/(LN(2)/25)*Calculateur!AQ47*Calculateur!AS47*VLOOKUP('Données projet'!$B$10,Paramètres!$A$1:$I$89,3,0)*0.475*44/12</f>
        <v>9.305960502714278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13.963729099141851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11.4</v>
      </c>
      <c r="BD47" s="13">
        <f>IF('Données projet'!$A$88&gt;35,BD46+BC47-BL46,IF(A47&lt;'Données projet'!$A$88,$BA$205^A47,IF(A47='Données projet'!$A$88,'Données projet'!$B$88,BD46+BC47-BL46)))</f>
        <v>192.60000000000002</v>
      </c>
      <c r="BE47" s="14">
        <f>BD47*VLOOKUP('Données projet'!$B$11,Paramètres!$A$1:$I$89,3,0)*VLOOKUP('Données projet'!$B$11,Paramètres!$A$1:$I$89,5,0)</f>
        <v>195.29640000000003</v>
      </c>
      <c r="BF47" s="14">
        <f t="shared" si="37"/>
        <v>48.709031383366153</v>
      </c>
      <c r="BG47" s="22">
        <f t="shared" si="7"/>
        <v>424.97612632602949</v>
      </c>
      <c r="BH47" s="62">
        <f t="shared" si="8"/>
        <v>718.3094596593628</v>
      </c>
      <c r="BI47" s="62">
        <f ca="1">AVERAGE(OFFSET($BH$3,0,0,'Données projet'!$E$11+1,1))-AVERAGE(OFFSET($H$3,0,0,'Données projet'!$E$11+1,1))</f>
        <v>487.04124684635974</v>
      </c>
      <c r="BJ47" s="62">
        <f t="shared" si="38"/>
        <v>306.61893266146666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2.0456416132958939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2.0456416132958939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11.4</v>
      </c>
      <c r="BY47" s="13">
        <f>IF('Données projet'!$A$114&gt;35,BY46+BX47-CG46,IF(A47&lt;'Données projet'!$A$114,$BV$205^A47,IF(A47='Données projet'!$A$114,'Données projet'!$B$114,BY46+BX47-CG46)))</f>
        <v>192.60000000000002</v>
      </c>
      <c r="BZ47" s="14">
        <f>BY47*VLOOKUP('Données projet'!$B$12,Paramètres!$A$1:$I$89,3,0)*VLOOKUP('Données projet'!$B$12,Paramètres!$A$1:$I$89,5,0)</f>
        <v>174.26447999999999</v>
      </c>
      <c r="CA47" s="14">
        <f t="shared" si="39"/>
        <v>44.043743683739521</v>
      </c>
      <c r="CB47" s="22">
        <f t="shared" si="10"/>
        <v>380.22015624917964</v>
      </c>
      <c r="CC47" s="62">
        <f t="shared" si="11"/>
        <v>673.55348958251295</v>
      </c>
      <c r="CD47" s="62">
        <f ca="1">AVERAGE(OFFSET($CC$3,0,0,'Données projet'!$E$12+1,1))-AVERAGE(OFFSET($H$3,0,0,'Données projet'!$E$12+1,1))</f>
        <v>439.06700232017681</v>
      </c>
      <c r="CE47" s="62">
        <f t="shared" si="40"/>
        <v>278.21741231699929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1.8253417472486435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1.8253417472486435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9.8000000000000007</v>
      </c>
      <c r="CT47" s="13">
        <f>IF('Données projet'!$A$140&gt;35,CT46+CS47-DB46,IF(A47&lt;'Données projet'!$A$140,$CQ$205^A47,IF(A47='Données projet'!$A$140,'Données projet'!$B$140,CT46+CS47-DB46)))</f>
        <v>232.2</v>
      </c>
      <c r="CU47" s="18">
        <f>CT47*VLOOKUP('Données projet'!$B$13,Paramètres!$A$1:$I$89,3,0)*VLOOKUP('Données projet'!$B$13,Paramètres!$A$1:$I$89,5,0)</f>
        <v>170.24903999999998</v>
      </c>
      <c r="CV47" s="14">
        <f t="shared" si="41"/>
        <v>43.145795507930117</v>
      </c>
      <c r="CW47" s="22">
        <f t="shared" si="13"/>
        <v>371.66267184297823</v>
      </c>
      <c r="CX47" s="62">
        <f t="shared" si="14"/>
        <v>664.99600517631154</v>
      </c>
      <c r="CY47" s="62">
        <f ca="1">AVERAGE(OFFSET($CX$3,0,0,'Données projet'!$E$13+1,1))-AVERAGE(OFFSET($H$3,0,0,'Données projet'!$E$13+1,1))</f>
        <v>327.81662150328646</v>
      </c>
      <c r="CZ47" s="62">
        <f t="shared" si="42"/>
        <v>320.24200483294322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1.5167552044622099</v>
      </c>
      <c r="DG47" s="23">
        <f>EXP(-LN(2)/25)*DG46+(1-EXP(-LN(2)/25))/(LN(2)/25)*Calculateur!DB47*Calculateur!DD47*VLOOKUP('Données projet'!$B$13,Paramètres!$A$1:$I$89,3,0)*0.475*44/12</f>
        <v>0</v>
      </c>
      <c r="DH47" s="23">
        <f>EXP(-LN(2)/2)*DH46+(1-EXP(-LN(2)/2))/(LN(2)/2)*DB47*DE47*VLOOKUP('Données projet'!$B$13,Paramètres!$A$1:$I$89,3,0)*0.475*44/12</f>
        <v>0</v>
      </c>
      <c r="DI47" s="24">
        <f t="shared" si="15"/>
        <v>1.5167552044622099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6.4</v>
      </c>
      <c r="DO47" s="13">
        <f>IF('Données projet'!$A$166&gt;35,DO46+DN47-DW46,IF(A47&lt;'Données projet'!$A$166,$DL$205^A47,IF(A47='Données projet'!$A$166,'Données projet'!$B$166,DO46+DN47-DW46)))</f>
        <v>148.60000000000011</v>
      </c>
      <c r="DP47" s="18">
        <f>DO47*VLOOKUP('Données projet'!$B$14,Paramètres!$A$1:$I$89,3,0)*VLOOKUP('Données projet'!$B$14,Paramètres!$A$1:$I$89,5,0)</f>
        <v>97.362720000000067</v>
      </c>
      <c r="DQ47" s="14">
        <f t="shared" si="43"/>
        <v>26.332727987771989</v>
      </c>
      <c r="DR47" s="22">
        <f t="shared" si="16"/>
        <v>215.43623857870298</v>
      </c>
      <c r="DS47" s="62">
        <f t="shared" si="17"/>
        <v>508.76957191203633</v>
      </c>
      <c r="DT47" s="62">
        <f ca="1">AVERAGE(OFFSET($DS$3,0,0,'Données projet'!$E$14+1,1))-AVERAGE(OFFSET($H$3,0,0,'Données projet'!$E$14+1,1))</f>
        <v>210.08998695869161</v>
      </c>
      <c r="DU47" s="62">
        <f t="shared" si="44"/>
        <v>207.30911916430881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>
        <f>EXP(-LN(2)/35)*EA46+(1-EXP(-LN(2)/35))/(LN(2)/35)*DW47*DX47*VLOOKUP('Données projet'!$B$14,Paramètres!$A$1:$I$89,3,0)*0.475*44/12</f>
        <v>0.34853098315301823</v>
      </c>
      <c r="EB47" s="23">
        <f>EXP(-LN(2)/25)*EB46+(1-EXP(-LN(2)/25))/(LN(2)/25)*Calculateur!DW47*Calculateur!DY47*VLOOKUP('Données projet'!$B$14,Paramètres!$A$1:$I$89,3,0)*0.475*44/12</f>
        <v>0</v>
      </c>
      <c r="EC47" s="23">
        <f>EXP(-LN(2)/2)*EC46+(1-EXP(-LN(2)/2))/(LN(2)/2)*DW47*DZ47*VLOOKUP('Données projet'!$B$14,Paramètres!$A$1:$I$89,3,0)*0.475*44/12</f>
        <v>0</v>
      </c>
      <c r="ED47" s="24">
        <f t="shared" si="18"/>
        <v>0.34853098315301823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>
        <f>VLOOKUP(A47,'Données projet'!$A$191:$I$211,2,0)</f>
        <v>230</v>
      </c>
      <c r="EH47" s="13">
        <f>VLOOKUP(A47,'Données projet'!$A$191:$I$211,9,0)</f>
        <v>11.142857142857142</v>
      </c>
      <c r="EI47" s="13">
        <f t="array" ref="EI47">INDEX(EH:EH,MIN(IF(ISNUMBER(EH47:EH243),ROW(EH47:EH243),"")))</f>
        <v>11.142857142857142</v>
      </c>
      <c r="EJ47" s="13">
        <f>IF('Données projet'!$A$192&gt;35,EJ46+EI47-ER46,IF(A47&lt;'Données projet'!$A$192,$EG$205^A47,IF(A47='Données projet'!$A$192,'Données projet'!$B$192,EJ46+EI47-ER46)))</f>
        <v>229.99999999999991</v>
      </c>
      <c r="EK47" s="18">
        <f>EJ47*VLOOKUP('Données projet'!$B$15,Paramètres!$A$1:$I$89,3,0)*VLOOKUP('Données projet'!$B$15,Paramètres!$A$1:$I$89,5,0)</f>
        <v>179.39999999999995</v>
      </c>
      <c r="EL47" s="14">
        <f t="shared" si="45"/>
        <v>45.188671291872232</v>
      </c>
      <c r="EM47" s="22">
        <f t="shared" si="19"/>
        <v>391.15860250001066</v>
      </c>
      <c r="EN47" s="62">
        <f t="shared" si="20"/>
        <v>684.49193583334397</v>
      </c>
      <c r="EO47" s="62">
        <f ca="1">AVERAGE(OFFSET($EN$3,0,0,'Données projet'!$E$15+1,1))-AVERAGE(OFFSET($H$3,0,0,'Données projet'!$E$15+1,1))</f>
        <v>288.82868507674738</v>
      </c>
      <c r="EP47" s="62">
        <f t="shared" si="46"/>
        <v>283.48738729114024</v>
      </c>
      <c r="EQ47" s="16">
        <f>IF(ISNA(VLOOKUP(A47,'Données projet'!$A$191:$I$211,3,0)),0,VLOOKUP(A47,'Données projet'!$A$191:$I$211,3,0))</f>
        <v>6</v>
      </c>
      <c r="ER47" s="16">
        <f>IF(ISNA(VLOOKUP(A47,'Données projet'!$A$191:$I$211,4,0)),0,VLOOKUP(A47,'Données projet'!$A$191:$I$211,4,0))</f>
        <v>43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>
        <f>EXP(-LN(2)/35)*EV46+(1-EXP(-LN(2)/35))/(LN(2)/35)*ER47*ES47*VLOOKUP('Données projet'!$B$15,Paramètres!$A$1:$I$89,3,0)*0.475*44/12</f>
        <v>1.3743192988916848</v>
      </c>
      <c r="EW47" s="23">
        <f>EXP(-LN(2)/25)*EW46+(1-EXP(-LN(2)/25))/(LN(2)/25)*Calculateur!ER47*Calculateur!ET47*VLOOKUP('Données projet'!$B$15,Paramètres!$A$1:$I$89,3,0)*0.475*44/12</f>
        <v>0</v>
      </c>
      <c r="EX47" s="23">
        <f>EXP(-LN(2)/2)*EX46+(1-EXP(-LN(2)/2))/(LN(2)/2)*ER47*EU47*VLOOKUP('Données projet'!$B$15,Paramètres!$A$1:$I$89,3,0)*0.475*44/12</f>
        <v>0</v>
      </c>
      <c r="EY47" s="24">
        <f t="shared" si="21"/>
        <v>1.3743192988916848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17.5</v>
      </c>
      <c r="N48" s="14">
        <f>IF('Données projet'!$A$36&gt;35,N47+M48-V47,IF(A48&lt;'Données projet'!$A$36,$K$205^A48,IF(A48='Données projet'!$A$36,'Données projet'!$B$36,N47+M48-V47)))</f>
        <v>290.99999999999989</v>
      </c>
      <c r="O48" s="14">
        <f>N48*VLOOKUP('Données projet'!$B$9,Paramètres!$A$1:$I$89,3,0)*VLOOKUP('Données projet'!$B$9,Paramètres!$A$1:$I$89,5,0)</f>
        <v>136.18799999999993</v>
      </c>
      <c r="P48" s="14">
        <f t="shared" si="33"/>
        <v>35.422331714503152</v>
      </c>
      <c r="Q48" s="22">
        <f t="shared" si="53"/>
        <v>298.88799440275955</v>
      </c>
      <c r="R48" s="62">
        <f t="shared" si="0"/>
        <v>592.22132773609292</v>
      </c>
      <c r="S48" s="62">
        <f ca="1">AVERAGE(OFFSET($R$3,0,0,'Données projet'!$E$9+1,1))-AVERAGE(OFFSET($H$3,0,0,'Données projet'!$E$9+1,1))</f>
        <v>317.54276561627643</v>
      </c>
      <c r="T48" s="62">
        <f t="shared" si="34"/>
        <v>238.92443174298893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201</v>
      </c>
      <c r="AG48" s="13">
        <f>VLOOKUP(A48,'Données projet'!$A$61:$I$81,9,0)</f>
        <v>8.6</v>
      </c>
      <c r="AH48" s="13">
        <f t="array" ref="AH48">INDEX(AG:AG,MIN(IF(ISNUMBER(AG48:AG244),ROW(AG48:AG244),"")))</f>
        <v>8.6</v>
      </c>
      <c r="AI48" s="14">
        <f>IF('Données projet'!$A$62&gt;35,AI47+AH48-AQ47,IF(A48&lt;'Données projet'!$A$62,$AF$205^A48,IF(A48='Données projet'!$A$62,'Données projet'!$B$62,AI47+AH48-AQ47)))</f>
        <v>200.99999999999991</v>
      </c>
      <c r="AJ48" s="14">
        <f>AI48*VLOOKUP('Données projet'!$B$10,Paramètres!$A$1:$I$89,3,0)*VLOOKUP('Données projet'!$B$10,Paramètres!$A$1:$I$89,5,0)</f>
        <v>175.59359999999995</v>
      </c>
      <c r="AK48" s="14">
        <f t="shared" si="35"/>
        <v>44.340433728638573</v>
      </c>
      <c r="AL48" s="22">
        <f t="shared" si="4"/>
        <v>383.05177541071203</v>
      </c>
      <c r="AM48" s="62">
        <f t="shared" si="5"/>
        <v>676.38510874404528</v>
      </c>
      <c r="AN48" s="62">
        <f ca="1">AVERAGE(OFFSET($AM$3,0,0,'Données projet'!$E$10+1,1))-AVERAGE(OFFSET($H$3,0,0,'Données projet'!$E$10+1,1))</f>
        <v>327.826081588335</v>
      </c>
      <c r="AO48" s="62">
        <f t="shared" si="36"/>
        <v>348.84706693879735</v>
      </c>
      <c r="AP48" s="16">
        <f>IF(ISNA(VLOOKUP(A48,'Données projet'!$A$61:$I$81,3,0)),0,VLOOKUP(A48,'Données projet'!$A$61:$I$81,3,0))</f>
        <v>6</v>
      </c>
      <c r="AQ48" s="16">
        <f>IF(ISNA(VLOOKUP(A48,'Données projet'!$A$61:$I$81,4,0)),0,VLOOKUP(A48,'Données projet'!$A$61:$I$81,4,0))</f>
        <v>31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4.5664325952099514</v>
      </c>
      <c r="AV48" s="23">
        <f>EXP(-LN(2)/25)*AV47+(1-EXP(-LN(2)/25))/(LN(2)/25)*Calculateur!AQ48*Calculateur!AS48*VLOOKUP('Données projet'!$B$10,Paramètres!$A$1:$I$89,3,0)*0.475*44/12</f>
        <v>9.0514885233883629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13.617921118598314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204</v>
      </c>
      <c r="BB48" s="13">
        <f>VLOOKUP(A48,'Données projet'!$A$87:$I$107,9,0)</f>
        <v>11.4</v>
      </c>
      <c r="BC48" s="13">
        <f t="array" ref="BC48">INDEX(BB:BB,MIN(IF(ISNUMBER(BB48:BB244),ROW(BB48:BB244),"")))</f>
        <v>11.4</v>
      </c>
      <c r="BD48" s="13">
        <f>IF('Données projet'!$A$88&gt;35,BD47+BC48-BL47,IF(A48&lt;'Données projet'!$A$88,$BA$205^A48,IF(A48='Données projet'!$A$88,'Données projet'!$B$88,BD47+BC48-BL47)))</f>
        <v>204.00000000000003</v>
      </c>
      <c r="BE48" s="14">
        <f>BD48*VLOOKUP('Données projet'!$B$11,Paramètres!$A$1:$I$89,3,0)*VLOOKUP('Données projet'!$B$11,Paramètres!$A$1:$I$89,5,0)</f>
        <v>206.85600000000005</v>
      </c>
      <c r="BF48" s="14">
        <f t="shared" si="37"/>
        <v>51.247940588293027</v>
      </c>
      <c r="BG48" s="22">
        <f t="shared" si="7"/>
        <v>449.53102985794379</v>
      </c>
      <c r="BH48" s="62">
        <f t="shared" si="8"/>
        <v>742.86436319127711</v>
      </c>
      <c r="BI48" s="62">
        <f ca="1">AVERAGE(OFFSET($BH$3,0,0,'Données projet'!$E$11+1,1))-AVERAGE(OFFSET($H$3,0,0,'Données projet'!$E$11+1,1))</f>
        <v>487.04124684635974</v>
      </c>
      <c r="BJ48" s="62">
        <f t="shared" si="38"/>
        <v>306.61893266146666</v>
      </c>
      <c r="BK48" s="16">
        <f>IF(ISNA(VLOOKUP(A48,'Données projet'!$A$87:$I$107,3,0)),0,VLOOKUP(A48,'Données projet'!$A$87:$I$107,3,0))</f>
        <v>6</v>
      </c>
      <c r="BL48" s="16">
        <f>IF(ISNA(VLOOKUP(A48,'Données projet'!$A$87:$I$107,4,0)),0,VLOOKUP(A48,'Données projet'!$A$87:$I$107,4,0))</f>
        <v>28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2.0055278289773435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2.0055278289773435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>
        <f>VLOOKUP(A48,'Données projet'!$A$113:$I$133,2,0)</f>
        <v>204</v>
      </c>
      <c r="BW48" s="13">
        <f>VLOOKUP(A48,'Données projet'!$A$113:$I$133,9,0)</f>
        <v>11.4</v>
      </c>
      <c r="BX48" s="13">
        <f t="array" ref="BX48">INDEX(BW:BW,MIN(IF(ISNUMBER(BW48:BW244),ROW(BW48:BW244),"")))</f>
        <v>11.4</v>
      </c>
      <c r="BY48" s="13">
        <f>IF('Données projet'!$A$114&gt;35,BY47+BX48-CG47,IF(A48&lt;'Données projet'!$A$114,$BV$205^A48,IF(A48='Données projet'!$A$114,'Données projet'!$B$114,BY47+BX48-CG47)))</f>
        <v>204.00000000000003</v>
      </c>
      <c r="BZ48" s="14">
        <f>BY48*VLOOKUP('Données projet'!$B$12,Paramètres!$A$1:$I$89,3,0)*VLOOKUP('Données projet'!$B$12,Paramètres!$A$1:$I$89,5,0)</f>
        <v>184.57920000000001</v>
      </c>
      <c r="CA48" s="14">
        <f t="shared" si="39"/>
        <v>46.339479465836661</v>
      </c>
      <c r="CB48" s="22">
        <f t="shared" si="10"/>
        <v>402.18336673633218</v>
      </c>
      <c r="CC48" s="62">
        <f t="shared" si="11"/>
        <v>695.51670006966549</v>
      </c>
      <c r="CD48" s="62">
        <f ca="1">AVERAGE(OFFSET($CC$3,0,0,'Données projet'!$E$12+1,1))-AVERAGE(OFFSET($H$3,0,0,'Données projet'!$E$12+1,1))</f>
        <v>439.06700232017681</v>
      </c>
      <c r="CE48" s="62">
        <f t="shared" si="40"/>
        <v>278.21741231699929</v>
      </c>
      <c r="CF48" s="16">
        <f>IF(ISNA(VLOOKUP(A48,'Données projet'!$A$113:$I$133,3,0)),0,VLOOKUP(A48,'Données projet'!$A$113:$I$133,3,0))</f>
        <v>6</v>
      </c>
      <c r="CG48" s="16">
        <f>IF(ISNA(VLOOKUP(A48,'Données projet'!$A$113:$I$133,4,0)),0,VLOOKUP(A48,'Données projet'!$A$113:$I$133,4,0))</f>
        <v>28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1.7895479089336295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1.7895479089336295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>
        <f>VLOOKUP(A48,'Données projet'!$A$139:$I$159,2,0)</f>
        <v>242</v>
      </c>
      <c r="CR48" s="13">
        <f>VLOOKUP(A48,'Données projet'!$A$139:$I$159,9,0)</f>
        <v>9.8000000000000007</v>
      </c>
      <c r="CS48" s="13">
        <f t="array" ref="CS48">INDEX(CR:CR,MIN(IF(ISNUMBER(CR48:CR244),ROW(CR48:CR244),"")))</f>
        <v>9.8000000000000007</v>
      </c>
      <c r="CT48" s="13">
        <f>IF('Données projet'!$A$140&gt;35,CT47+CS48-DB47,IF(A48&lt;'Données projet'!$A$140,$CQ$205^A48,IF(A48='Données projet'!$A$140,'Données projet'!$B$140,CT47+CS48-DB47)))</f>
        <v>242</v>
      </c>
      <c r="CU48" s="18">
        <f>CT48*VLOOKUP('Données projet'!$B$13,Paramètres!$A$1:$I$89,3,0)*VLOOKUP('Données projet'!$B$13,Paramètres!$A$1:$I$89,5,0)</f>
        <v>177.43440000000001</v>
      </c>
      <c r="CV48" s="14">
        <f t="shared" si="41"/>
        <v>44.750911401641211</v>
      </c>
      <c r="CW48" s="22">
        <f t="shared" si="13"/>
        <v>386.97275069119178</v>
      </c>
      <c r="CX48" s="62">
        <f t="shared" si="14"/>
        <v>680.30608402452503</v>
      </c>
      <c r="CY48" s="62">
        <f ca="1">AVERAGE(OFFSET($CX$3,0,0,'Données projet'!$E$13+1,1))-AVERAGE(OFFSET($H$3,0,0,'Données projet'!$E$13+1,1))</f>
        <v>327.81662150328646</v>
      </c>
      <c r="CZ48" s="62">
        <f t="shared" si="42"/>
        <v>320.24200483294322</v>
      </c>
      <c r="DA48" s="16">
        <f>IF(ISNA(VLOOKUP(A48,'Données projet'!$A$139:$I$159,3,0)),0,VLOOKUP(A48,'Données projet'!$A$139:$I$159,3,0))</f>
        <v>8</v>
      </c>
      <c r="DB48" s="16">
        <f>IF(ISNA(VLOOKUP(A48,'Données projet'!$A$139:$I$159,4,0)),0,VLOOKUP(A48,'Données projet'!$A$139:$I$159,4,0))</f>
        <v>24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1.4870125600320319</v>
      </c>
      <c r="DG48" s="23">
        <f>EXP(-LN(2)/25)*DG47+(1-EXP(-LN(2)/25))/(LN(2)/25)*Calculateur!DB48*Calculateur!DD48*VLOOKUP('Données projet'!$B$13,Paramètres!$A$1:$I$89,3,0)*0.475*44/12</f>
        <v>0</v>
      </c>
      <c r="DH48" s="23">
        <f>EXP(-LN(2)/2)*DH47+(1-EXP(-LN(2)/2))/(LN(2)/2)*DB48*DE48*VLOOKUP('Données projet'!$B$13,Paramètres!$A$1:$I$89,3,0)*0.475*44/12</f>
        <v>0</v>
      </c>
      <c r="DI48" s="24">
        <f t="shared" si="15"/>
        <v>1.4870125600320319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>
        <f>VLOOKUP(A48,'Données projet'!$A$165:$I$185,2,0)</f>
        <v>155</v>
      </c>
      <c r="DM48" s="13">
        <f>VLOOKUP(A48,'Données projet'!$A$165:$I$185,9,0)</f>
        <v>6.4</v>
      </c>
      <c r="DN48" s="13">
        <f t="array" ref="DN48">INDEX(DM:DM,MIN(IF(ISNUMBER(DM48:DM244),ROW(DM48:DM244),"")))</f>
        <v>6.4</v>
      </c>
      <c r="DO48" s="13">
        <f>IF('Données projet'!$A$166&gt;35,DO47+DN48-DW47,IF(A48&lt;'Données projet'!$A$166,$DL$205^A48,IF(A48='Données projet'!$A$166,'Données projet'!$B$166,DO47+DN48-DW47)))</f>
        <v>155.00000000000011</v>
      </c>
      <c r="DP48" s="18">
        <f>DO48*VLOOKUP('Données projet'!$B$14,Paramètres!$A$1:$I$89,3,0)*VLOOKUP('Données projet'!$B$14,Paramètres!$A$1:$I$89,5,0)</f>
        <v>101.55600000000008</v>
      </c>
      <c r="DQ48" s="14">
        <f t="shared" si="43"/>
        <v>27.332359320696934</v>
      </c>
      <c r="DR48" s="22">
        <f t="shared" si="16"/>
        <v>224.48055915021396</v>
      </c>
      <c r="DS48" s="62">
        <f t="shared" si="17"/>
        <v>517.81389248354731</v>
      </c>
      <c r="DT48" s="62">
        <f ca="1">AVERAGE(OFFSET($DS$3,0,0,'Données projet'!$E$14+1,1))-AVERAGE(OFFSET($H$3,0,0,'Données projet'!$E$14+1,1))</f>
        <v>210.08998695869161</v>
      </c>
      <c r="DU48" s="62">
        <f t="shared" si="44"/>
        <v>207.30911916430881</v>
      </c>
      <c r="DV48" s="16">
        <f>IF(ISNA(VLOOKUP(A48,'Données projet'!$A$165:$I$185,3,0)),0,VLOOKUP(A48,'Données projet'!$A$165:$I$185,3,0))</f>
        <v>8</v>
      </c>
      <c r="DW48" s="16">
        <f>IF(ISNA(VLOOKUP(A48,'Données projet'!$A$165:$I$185,4,0)),0,VLOOKUP(A48,'Données projet'!$A$165:$I$185,4,0))</f>
        <v>22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>
        <f>EXP(-LN(2)/35)*EA47+(1-EXP(-LN(2)/35))/(LN(2)/35)*DW48*DX48*VLOOKUP('Données projet'!$B$14,Paramètres!$A$1:$I$89,3,0)*0.475*44/12</f>
        <v>0.34169650315629646</v>
      </c>
      <c r="EB48" s="23">
        <f>EXP(-LN(2)/25)*EB47+(1-EXP(-LN(2)/25))/(LN(2)/25)*Calculateur!DW48*Calculateur!DY48*VLOOKUP('Données projet'!$B$14,Paramètres!$A$1:$I$89,3,0)*0.475*44/12</f>
        <v>0</v>
      </c>
      <c r="EC48" s="23">
        <f>EXP(-LN(2)/2)*EC47+(1-EXP(-LN(2)/2))/(LN(2)/2)*DW48*DZ48*VLOOKUP('Données projet'!$B$14,Paramètres!$A$1:$I$89,3,0)*0.475*44/12</f>
        <v>0</v>
      </c>
      <c r="ED48" s="24">
        <f t="shared" si="18"/>
        <v>0.34169650315629646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10.375</v>
      </c>
      <c r="EJ48" s="13">
        <f>IF('Données projet'!$A$192&gt;35,EJ47+EI48-ER47,IF(A48&lt;'Données projet'!$A$192,$EG$205^A48,IF(A48='Données projet'!$A$192,'Données projet'!$B$192,EJ47+EI48-ER47)))</f>
        <v>197.37499999999991</v>
      </c>
      <c r="EK48" s="18">
        <f>EJ48*VLOOKUP('Données projet'!$B$15,Paramètres!$A$1:$I$89,3,0)*VLOOKUP('Données projet'!$B$15,Paramètres!$A$1:$I$89,5,0)</f>
        <v>153.95249999999993</v>
      </c>
      <c r="EL48" s="14">
        <f t="shared" si="45"/>
        <v>39.475441267837361</v>
      </c>
      <c r="EM48" s="22">
        <f t="shared" si="19"/>
        <v>336.88699770814992</v>
      </c>
      <c r="EN48" s="62">
        <f t="shared" si="20"/>
        <v>630.22033104148318</v>
      </c>
      <c r="EO48" s="62">
        <f ca="1">AVERAGE(OFFSET($EN$3,0,0,'Données projet'!$E$15+1,1))-AVERAGE(OFFSET($H$3,0,0,'Données projet'!$E$15+1,1))</f>
        <v>288.82868507674738</v>
      </c>
      <c r="EP48" s="62">
        <f t="shared" si="46"/>
        <v>283.48738729114024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>
        <f>EXP(-LN(2)/35)*EV47+(1-EXP(-LN(2)/35))/(LN(2)/35)*ER48*ES48*VLOOKUP('Données projet'!$B$15,Paramètres!$A$1:$I$89,3,0)*0.475*44/12</f>
        <v>1.3473697356924206</v>
      </c>
      <c r="EW48" s="23">
        <f>EXP(-LN(2)/25)*EW47+(1-EXP(-LN(2)/25))/(LN(2)/25)*Calculateur!ER48*Calculateur!ET48*VLOOKUP('Données projet'!$B$15,Paramètres!$A$1:$I$89,3,0)*0.475*44/12</f>
        <v>0</v>
      </c>
      <c r="EX48" s="23">
        <f>EXP(-LN(2)/2)*EX47+(1-EXP(-LN(2)/2))/(LN(2)/2)*ER48*EU48*VLOOKUP('Données projet'!$B$15,Paramètres!$A$1:$I$89,3,0)*0.475*44/12</f>
        <v>0</v>
      </c>
      <c r="EY48" s="24">
        <f t="shared" si="21"/>
        <v>1.3473697356924206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17.5</v>
      </c>
      <c r="N49" s="14">
        <f>IF('Données projet'!$A$36&gt;35,N48+M49-V48,IF(A49&lt;'Données projet'!$A$36,$K$205^A49,IF(A49='Données projet'!$A$36,'Données projet'!$B$36,N48+M49-V48)))</f>
        <v>308.49999999999989</v>
      </c>
      <c r="O49" s="14">
        <f>N49*VLOOKUP('Données projet'!$B$9,Paramètres!$A$1:$I$89,3,0)*VLOOKUP('Données projet'!$B$9,Paramètres!$A$1:$I$89,5,0)</f>
        <v>144.37799999999996</v>
      </c>
      <c r="P49" s="14">
        <f t="shared" si="33"/>
        <v>37.298139369272413</v>
      </c>
      <c r="Q49" s="22">
        <f t="shared" si="53"/>
        <v>316.41927606814937</v>
      </c>
      <c r="R49" s="62">
        <f t="shared" si="0"/>
        <v>609.75260940148269</v>
      </c>
      <c r="S49" s="62">
        <f ca="1">AVERAGE(OFFSET($R$3,0,0,'Données projet'!$E$9+1,1))-AVERAGE(OFFSET($H$3,0,0,'Données projet'!$E$9+1,1))</f>
        <v>317.54276561627643</v>
      </c>
      <c r="T49" s="62">
        <f t="shared" si="34"/>
        <v>238.92443174298893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7.8</v>
      </c>
      <c r="AI49" s="14">
        <f>IF('Données projet'!$A$62&gt;35,AI48+AH49-AQ48,IF(A49&lt;'Données projet'!$A$62,$AF$205^A49,IF(A49='Données projet'!$A$62,'Données projet'!$B$62,AI48+AH49-AQ48)))</f>
        <v>177.79999999999993</v>
      </c>
      <c r="AJ49" s="14">
        <f>AI49*VLOOKUP('Données projet'!$B$10,Paramètres!$A$1:$I$89,3,0)*VLOOKUP('Données projet'!$B$10,Paramètres!$A$1:$I$89,5,0)</f>
        <v>155.32607999999996</v>
      </c>
      <c r="AK49" s="14">
        <f t="shared" si="35"/>
        <v>39.786487601092411</v>
      </c>
      <c r="AL49" s="22">
        <f t="shared" si="4"/>
        <v>339.82105523856922</v>
      </c>
      <c r="AM49" s="62">
        <f t="shared" si="5"/>
        <v>633.15438857190247</v>
      </c>
      <c r="AN49" s="62">
        <f ca="1">AVERAGE(OFFSET($AM$3,0,0,'Données projet'!$E$10+1,1))-AVERAGE(OFFSET($H$3,0,0,'Données projet'!$E$10+1,1))</f>
        <v>327.826081588335</v>
      </c>
      <c r="AO49" s="62">
        <f t="shared" si="36"/>
        <v>348.84706693879735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4.4768876372667465</v>
      </c>
      <c r="AV49" s="23">
        <f>EXP(-LN(2)/25)*AV48+(1-EXP(-LN(2)/25))/(LN(2)/25)*Calculateur!AQ49*Calculateur!AS49*VLOOKUP('Données projet'!$B$10,Paramètres!$A$1:$I$89,3,0)*0.475*44/12</f>
        <v>8.8039750937192149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13.280862730985962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11</v>
      </c>
      <c r="BD49" s="13">
        <f>IF('Données projet'!$A$88&gt;35,BD48+BC49-BL48,IF(A49&lt;'Données projet'!$A$88,$BA$205^A49,IF(A49='Données projet'!$A$88,'Données projet'!$B$88,BD48+BC49-BL48)))</f>
        <v>187.00000000000003</v>
      </c>
      <c r="BE49" s="14">
        <f>BD49*VLOOKUP('Données projet'!$B$11,Paramètres!$A$1:$I$89,3,0)*VLOOKUP('Données projet'!$B$11,Paramètres!$A$1:$I$89,5,0)</f>
        <v>189.61800000000005</v>
      </c>
      <c r="BF49" s="14">
        <f t="shared" si="37"/>
        <v>47.4554881852685</v>
      </c>
      <c r="BG49" s="22">
        <f t="shared" si="7"/>
        <v>412.90299192267599</v>
      </c>
      <c r="BH49" s="62">
        <f t="shared" si="8"/>
        <v>706.23632525600931</v>
      </c>
      <c r="BI49" s="62">
        <f ca="1">AVERAGE(OFFSET($BH$3,0,0,'Données projet'!$E$11+1,1))-AVERAGE(OFFSET($H$3,0,0,'Données projet'!$E$11+1,1))</f>
        <v>487.04124684635974</v>
      </c>
      <c r="BJ49" s="62">
        <f t="shared" si="38"/>
        <v>306.61893266146666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1.9662006515022874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1.9662006515022874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11</v>
      </c>
      <c r="BY49" s="13">
        <f>IF('Données projet'!$A$114&gt;35,BY48+BX49-CG48,IF(A49&lt;'Données projet'!$A$114,$BV$205^A49,IF(A49='Données projet'!$A$114,'Données projet'!$B$114,BY48+BX49-CG48)))</f>
        <v>187.00000000000003</v>
      </c>
      <c r="BZ49" s="14">
        <f>BY49*VLOOKUP('Données projet'!$B$12,Paramètres!$A$1:$I$89,3,0)*VLOOKUP('Données projet'!$B$12,Paramètres!$A$1:$I$89,5,0)</f>
        <v>169.19760000000002</v>
      </c>
      <c r="CA49" s="14">
        <f t="shared" si="39"/>
        <v>42.910263223432885</v>
      </c>
      <c r="CB49" s="22">
        <f t="shared" si="10"/>
        <v>369.42119511414558</v>
      </c>
      <c r="CC49" s="62">
        <f t="shared" si="11"/>
        <v>662.75452844747883</v>
      </c>
      <c r="CD49" s="62">
        <f ca="1">AVERAGE(OFFSET($CC$3,0,0,'Données projet'!$E$12+1,1))-AVERAGE(OFFSET($H$3,0,0,'Données projet'!$E$12+1,1))</f>
        <v>439.06700232017681</v>
      </c>
      <c r="CE49" s="62">
        <f t="shared" si="40"/>
        <v>278.21741231699929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1.7544559659558872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1.7544559659558872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8.4</v>
      </c>
      <c r="CT49" s="13">
        <f>IF('Données projet'!$A$140&gt;35,CT48+CS49-DB48,IF(A49&lt;'Données projet'!$A$140,$CQ$205^A49,IF(A49='Données projet'!$A$140,'Données projet'!$B$140,CT48+CS49-DB48)))</f>
        <v>226.4</v>
      </c>
      <c r="CU49" s="18">
        <f>CT49*VLOOKUP('Données projet'!$B$13,Paramètres!$A$1:$I$89,3,0)*VLOOKUP('Données projet'!$B$13,Paramètres!$A$1:$I$89,5,0)</f>
        <v>165.99648000000002</v>
      </c>
      <c r="CV49" s="14">
        <f t="shared" si="41"/>
        <v>42.192128407494515</v>
      </c>
      <c r="CW49" s="22">
        <f t="shared" si="13"/>
        <v>362.59515964305297</v>
      </c>
      <c r="CX49" s="62">
        <f t="shared" si="14"/>
        <v>655.92849297638622</v>
      </c>
      <c r="CY49" s="62">
        <f ca="1">AVERAGE(OFFSET($CX$3,0,0,'Données projet'!$E$13+1,1))-AVERAGE(OFFSET($H$3,0,0,'Données projet'!$E$13+1,1))</f>
        <v>327.81662150328646</v>
      </c>
      <c r="CZ49" s="62">
        <f t="shared" si="42"/>
        <v>320.24200483294322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1.4578531507179078</v>
      </c>
      <c r="DG49" s="23">
        <f>EXP(-LN(2)/25)*DG48+(1-EXP(-LN(2)/25))/(LN(2)/25)*Calculateur!DB49*Calculateur!DD49*VLOOKUP('Données projet'!$B$13,Paramètres!$A$1:$I$89,3,0)*0.475*44/12</f>
        <v>0</v>
      </c>
      <c r="DH49" s="23">
        <f>EXP(-LN(2)/2)*DH48+(1-EXP(-LN(2)/2))/(LN(2)/2)*DB49*DE49*VLOOKUP('Données projet'!$B$13,Paramètres!$A$1:$I$89,3,0)*0.475*44/12</f>
        <v>0</v>
      </c>
      <c r="DI49" s="24">
        <f t="shared" si="15"/>
        <v>1.4578531507179078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6</v>
      </c>
      <c r="DO49" s="13">
        <f>IF('Données projet'!$A$166&gt;35,DO48+DN49-DW48,IF(A49&lt;'Données projet'!$A$166,$DL$205^A49,IF(A49='Données projet'!$A$166,'Données projet'!$B$166,DO48+DN49-DW48)))</f>
        <v>139.00000000000011</v>
      </c>
      <c r="DP49" s="18">
        <f>DO49*VLOOKUP('Données projet'!$B$14,Paramètres!$A$1:$I$89,3,0)*VLOOKUP('Données projet'!$B$14,Paramètres!$A$1:$I$89,5,0)</f>
        <v>91.072800000000072</v>
      </c>
      <c r="DQ49" s="14">
        <f t="shared" si="43"/>
        <v>24.82377981733238</v>
      </c>
      <c r="DR49" s="22">
        <f t="shared" si="16"/>
        <v>201.85320984852066</v>
      </c>
      <c r="DS49" s="62">
        <f t="shared" si="17"/>
        <v>495.18654318185395</v>
      </c>
      <c r="DT49" s="62">
        <f ca="1">AVERAGE(OFFSET($DS$3,0,0,'Données projet'!$E$14+1,1))-AVERAGE(OFFSET($H$3,0,0,'Données projet'!$E$14+1,1))</f>
        <v>210.08998695869161</v>
      </c>
      <c r="DU49" s="62">
        <f t="shared" si="44"/>
        <v>207.30911916430881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>
        <f>EXP(-LN(2)/35)*EA48+(1-EXP(-LN(2)/35))/(LN(2)/35)*DW49*DX49*VLOOKUP('Données projet'!$B$14,Paramètres!$A$1:$I$89,3,0)*0.475*44/12</f>
        <v>0.33499604314368919</v>
      </c>
      <c r="EB49" s="23">
        <f>EXP(-LN(2)/25)*EB48+(1-EXP(-LN(2)/25))/(LN(2)/25)*Calculateur!DW49*Calculateur!DY49*VLOOKUP('Données projet'!$B$14,Paramètres!$A$1:$I$89,3,0)*0.475*44/12</f>
        <v>0</v>
      </c>
      <c r="EC49" s="23">
        <f>EXP(-LN(2)/2)*EC48+(1-EXP(-LN(2)/2))/(LN(2)/2)*DW49*DZ49*VLOOKUP('Données projet'!$B$14,Paramètres!$A$1:$I$89,3,0)*0.475*44/12</f>
        <v>0</v>
      </c>
      <c r="ED49" s="24">
        <f t="shared" si="18"/>
        <v>0.33499604314368919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10.375</v>
      </c>
      <c r="EJ49" s="13">
        <f>IF('Données projet'!$A$192&gt;35,EJ48+EI49-ER48,IF(A49&lt;'Données projet'!$A$192,$EG$205^A49,IF(A49='Données projet'!$A$192,'Données projet'!$B$192,EJ48+EI49-ER48)))</f>
        <v>207.74999999999991</v>
      </c>
      <c r="EK49" s="18">
        <f>EJ49*VLOOKUP('Données projet'!$B$15,Paramètres!$A$1:$I$89,3,0)*VLOOKUP('Données projet'!$B$15,Paramètres!$A$1:$I$89,5,0)</f>
        <v>162.04499999999993</v>
      </c>
      <c r="EL49" s="14">
        <f t="shared" si="45"/>
        <v>41.303429372463391</v>
      </c>
      <c r="EM49" s="22">
        <f t="shared" si="19"/>
        <v>354.16518115704025</v>
      </c>
      <c r="EN49" s="62">
        <f t="shared" si="20"/>
        <v>647.49851449037351</v>
      </c>
      <c r="EO49" s="62">
        <f ca="1">AVERAGE(OFFSET($EN$3,0,0,'Données projet'!$E$15+1,1))-AVERAGE(OFFSET($H$3,0,0,'Données projet'!$E$15+1,1))</f>
        <v>288.82868507674738</v>
      </c>
      <c r="EP49" s="62">
        <f t="shared" si="46"/>
        <v>283.48738729114024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>
        <f>EXP(-LN(2)/35)*EV48+(1-EXP(-LN(2)/35))/(LN(2)/35)*ER49*ES49*VLOOKUP('Données projet'!$B$15,Paramètres!$A$1:$I$89,3,0)*0.475*44/12</f>
        <v>1.3209486369898835</v>
      </c>
      <c r="EW49" s="23">
        <f>EXP(-LN(2)/25)*EW48+(1-EXP(-LN(2)/25))/(LN(2)/25)*Calculateur!ER49*Calculateur!ET49*VLOOKUP('Données projet'!$B$15,Paramètres!$A$1:$I$89,3,0)*0.475*44/12</f>
        <v>0</v>
      </c>
      <c r="EX49" s="23">
        <f>EXP(-LN(2)/2)*EX48+(1-EXP(-LN(2)/2))/(LN(2)/2)*ER49*EU49*VLOOKUP('Données projet'!$B$15,Paramètres!$A$1:$I$89,3,0)*0.475*44/12</f>
        <v>0</v>
      </c>
      <c r="EY49" s="24">
        <f t="shared" si="21"/>
        <v>1.3209486369898835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17.5</v>
      </c>
      <c r="N50" s="14">
        <f>IF('Données projet'!$A$36&gt;35,N49+M50-V49,IF(A50&lt;'Données projet'!$A$36,$K$205^A50,IF(A50='Données projet'!$A$36,'Données projet'!$B$36,N49+M50-V49)))</f>
        <v>325.99999999999989</v>
      </c>
      <c r="O50" s="14">
        <f>N50*VLOOKUP('Données projet'!$B$9,Paramètres!$A$1:$I$89,3,0)*VLOOKUP('Données projet'!$B$9,Paramètres!$A$1:$I$89,5,0)</f>
        <v>152.56799999999996</v>
      </c>
      <c r="P50" s="14">
        <f t="shared" si="33"/>
        <v>39.161595030150863</v>
      </c>
      <c r="Q50" s="22">
        <f t="shared" si="53"/>
        <v>333.92904467751265</v>
      </c>
      <c r="R50" s="62">
        <f t="shared" si="0"/>
        <v>627.26237801084596</v>
      </c>
      <c r="S50" s="62">
        <f ca="1">AVERAGE(OFFSET($R$3,0,0,'Données projet'!$E$9+1,1))-AVERAGE(OFFSET($H$3,0,0,'Données projet'!$E$9+1,1))</f>
        <v>317.54276561627643</v>
      </c>
      <c r="T50" s="62">
        <f t="shared" si="34"/>
        <v>238.92443174298893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7.8</v>
      </c>
      <c r="AI50" s="14">
        <f>IF('Données projet'!$A$62&gt;35,AI49+AH50-AQ49,IF(A50&lt;'Données projet'!$A$62,$AF$205^A50,IF(A50='Données projet'!$A$62,'Données projet'!$B$62,AI49+AH50-AQ49)))</f>
        <v>185.59999999999994</v>
      </c>
      <c r="AJ50" s="14">
        <f>AI50*VLOOKUP('Données projet'!$B$10,Paramètres!$A$1:$I$89,3,0)*VLOOKUP('Données projet'!$B$10,Paramètres!$A$1:$I$89,5,0)</f>
        <v>162.14015999999998</v>
      </c>
      <c r="AK50" s="14">
        <f t="shared" si="35"/>
        <v>41.324860537333677</v>
      </c>
      <c r="AL50" s="22">
        <f t="shared" si="4"/>
        <v>354.36824410252279</v>
      </c>
      <c r="AM50" s="62">
        <f t="shared" si="5"/>
        <v>647.70157743585605</v>
      </c>
      <c r="AN50" s="62">
        <f ca="1">AVERAGE(OFFSET($AM$3,0,0,'Données projet'!$E$10+1,1))-AVERAGE(OFFSET($H$3,0,0,'Données projet'!$E$10+1,1))</f>
        <v>327.826081588335</v>
      </c>
      <c r="AO50" s="62">
        <f t="shared" si="36"/>
        <v>348.84706693879735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4.389098601331777</v>
      </c>
      <c r="AV50" s="23">
        <f>EXP(-LN(2)/25)*AV49+(1-EXP(-LN(2)/25))/(LN(2)/25)*Calculateur!AQ50*Calculateur!AS50*VLOOKUP('Données projet'!$B$10,Paramètres!$A$1:$I$89,3,0)*0.475*44/12</f>
        <v>8.5632299318005352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12.952328533132313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11</v>
      </c>
      <c r="BD50" s="13">
        <f>IF('Données projet'!$A$88&gt;35,BD49+BC50-BL49,IF(A50&lt;'Données projet'!$A$88,$BA$205^A50,IF(A50='Données projet'!$A$88,'Données projet'!$B$88,BD49+BC50-BL49)))</f>
        <v>198.00000000000003</v>
      </c>
      <c r="BE50" s="14">
        <f>BD50*VLOOKUP('Données projet'!$B$11,Paramètres!$A$1:$I$89,3,0)*VLOOKUP('Données projet'!$B$11,Paramètres!$A$1:$I$89,5,0)</f>
        <v>200.77200000000002</v>
      </c>
      <c r="BF50" s="14">
        <f t="shared" si="37"/>
        <v>49.913791898945412</v>
      </c>
      <c r="BG50" s="22">
        <f t="shared" si="7"/>
        <v>436.61108755732994</v>
      </c>
      <c r="BH50" s="62">
        <f t="shared" si="8"/>
        <v>729.9444208906632</v>
      </c>
      <c r="BI50" s="62">
        <f ca="1">AVERAGE(OFFSET($BH$3,0,0,'Données projet'!$E$11+1,1))-AVERAGE(OFFSET($H$3,0,0,'Données projet'!$E$11+1,1))</f>
        <v>487.04124684635974</v>
      </c>
      <c r="BJ50" s="62">
        <f t="shared" si="38"/>
        <v>306.61893266146666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1.9276446559903075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1.9276446559903075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11</v>
      </c>
      <c r="BY50" s="13">
        <f>IF('Données projet'!$A$114&gt;35,BY49+BX50-CG49,IF(A50&lt;'Données projet'!$A$114,$BV$205^A50,IF(A50='Données projet'!$A$114,'Données projet'!$B$114,BY49+BX50-CG49)))</f>
        <v>198.00000000000003</v>
      </c>
      <c r="BZ50" s="14">
        <f>BY50*VLOOKUP('Données projet'!$B$12,Paramètres!$A$1:$I$89,3,0)*VLOOKUP('Données projet'!$B$12,Paramètres!$A$1:$I$89,5,0)</f>
        <v>179.15040000000002</v>
      </c>
      <c r="CA50" s="14">
        <f t="shared" si="39"/>
        <v>45.133113803437304</v>
      </c>
      <c r="CB50" s="22">
        <f t="shared" si="10"/>
        <v>390.62711987431999</v>
      </c>
      <c r="CC50" s="62">
        <f t="shared" si="11"/>
        <v>683.96045320765325</v>
      </c>
      <c r="CD50" s="62">
        <f ca="1">AVERAGE(OFFSET($CC$3,0,0,'Données projet'!$E$12+1,1))-AVERAGE(OFFSET($H$3,0,0,'Données projet'!$E$12+1,1))</f>
        <v>439.06700232017681</v>
      </c>
      <c r="CE50" s="62">
        <f t="shared" si="40"/>
        <v>278.21741231699929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1.7200521545759666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1.7200521545759666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8.4</v>
      </c>
      <c r="CT50" s="13">
        <f>IF('Données projet'!$A$140&gt;35,CT49+CS50-DB49,IF(A50&lt;'Données projet'!$A$140,$CQ$205^A50,IF(A50='Données projet'!$A$140,'Données projet'!$B$140,CT49+CS50-DB49)))</f>
        <v>234.8</v>
      </c>
      <c r="CU50" s="18">
        <f>CT50*VLOOKUP('Données projet'!$B$13,Paramètres!$A$1:$I$89,3,0)*VLOOKUP('Données projet'!$B$13,Paramètres!$A$1:$I$89,5,0)</f>
        <v>172.15536</v>
      </c>
      <c r="CV50" s="14">
        <f t="shared" si="41"/>
        <v>43.572397992580903</v>
      </c>
      <c r="CW50" s="22">
        <f t="shared" si="13"/>
        <v>375.72584517041173</v>
      </c>
      <c r="CX50" s="62">
        <f t="shared" si="14"/>
        <v>669.05917850374499</v>
      </c>
      <c r="CY50" s="62">
        <f ca="1">AVERAGE(OFFSET($CX$3,0,0,'Données projet'!$E$13+1,1))-AVERAGE(OFFSET($H$3,0,0,'Données projet'!$E$13+1,1))</f>
        <v>327.81662150328646</v>
      </c>
      <c r="CZ50" s="62">
        <f t="shared" si="42"/>
        <v>320.24200483294322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1.4292655396349501</v>
      </c>
      <c r="DG50" s="23">
        <f>EXP(-LN(2)/25)*DG49+(1-EXP(-LN(2)/25))/(LN(2)/25)*Calculateur!DB50*Calculateur!DD50*VLOOKUP('Données projet'!$B$13,Paramètres!$A$1:$I$89,3,0)*0.475*44/12</f>
        <v>0</v>
      </c>
      <c r="DH50" s="23">
        <f>EXP(-LN(2)/2)*DH49+(1-EXP(-LN(2)/2))/(LN(2)/2)*DB50*DE50*VLOOKUP('Données projet'!$B$13,Paramètres!$A$1:$I$89,3,0)*0.475*44/12</f>
        <v>0</v>
      </c>
      <c r="DI50" s="24">
        <f t="shared" si="15"/>
        <v>1.4292655396349501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6</v>
      </c>
      <c r="DO50" s="13">
        <f>IF('Données projet'!$A$166&gt;35,DO49+DN50-DW49,IF(A50&lt;'Données projet'!$A$166,$DL$205^A50,IF(A50='Données projet'!$A$166,'Données projet'!$B$166,DO49+DN50-DW49)))</f>
        <v>145.00000000000011</v>
      </c>
      <c r="DP50" s="18">
        <f>DO50*VLOOKUP('Données projet'!$B$14,Paramètres!$A$1:$I$89,3,0)*VLOOKUP('Données projet'!$B$14,Paramètres!$A$1:$I$89,5,0)</f>
        <v>95.004000000000076</v>
      </c>
      <c r="DQ50" s="14">
        <f t="shared" si="43"/>
        <v>25.768242550600785</v>
      </c>
      <c r="DR50" s="22">
        <f t="shared" si="16"/>
        <v>210.34498910896318</v>
      </c>
      <c r="DS50" s="62">
        <f t="shared" si="17"/>
        <v>503.67832244229646</v>
      </c>
      <c r="DT50" s="62">
        <f ca="1">AVERAGE(OFFSET($DS$3,0,0,'Données projet'!$E$14+1,1))-AVERAGE(OFFSET($H$3,0,0,'Données projet'!$E$14+1,1))</f>
        <v>210.08998695869161</v>
      </c>
      <c r="DU50" s="62">
        <f t="shared" si="44"/>
        <v>207.30911916430881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>
        <f>EXP(-LN(2)/35)*EA49+(1-EXP(-LN(2)/35))/(LN(2)/35)*DW50*DX50*VLOOKUP('Données projet'!$B$14,Paramètres!$A$1:$I$89,3,0)*0.475*44/12</f>
        <v>0.32842697506505208</v>
      </c>
      <c r="EB50" s="23">
        <f>EXP(-LN(2)/25)*EB49+(1-EXP(-LN(2)/25))/(LN(2)/25)*Calculateur!DW50*Calculateur!DY50*VLOOKUP('Données projet'!$B$14,Paramètres!$A$1:$I$89,3,0)*0.475*44/12</f>
        <v>0</v>
      </c>
      <c r="EC50" s="23">
        <f>EXP(-LN(2)/2)*EC49+(1-EXP(-LN(2)/2))/(LN(2)/2)*DW50*DZ50*VLOOKUP('Données projet'!$B$14,Paramètres!$A$1:$I$89,3,0)*0.475*44/12</f>
        <v>0</v>
      </c>
      <c r="ED50" s="24">
        <f t="shared" si="18"/>
        <v>0.32842697506505208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10.375</v>
      </c>
      <c r="EJ50" s="13">
        <f>IF('Données projet'!$A$192&gt;35,EJ49+EI50-ER49,IF(A50&lt;'Données projet'!$A$192,$EG$205^A50,IF(A50='Données projet'!$A$192,'Données projet'!$B$192,EJ49+EI50-ER49)))</f>
        <v>218.12499999999991</v>
      </c>
      <c r="EK50" s="18">
        <f>EJ50*VLOOKUP('Données projet'!$B$15,Paramètres!$A$1:$I$89,3,0)*VLOOKUP('Données projet'!$B$15,Paramètres!$A$1:$I$89,5,0)</f>
        <v>170.13749999999993</v>
      </c>
      <c r="EL50" s="14">
        <f t="shared" si="45"/>
        <v>43.120817562072375</v>
      </c>
      <c r="EM50" s="22">
        <f t="shared" si="19"/>
        <v>371.42490308727588</v>
      </c>
      <c r="EN50" s="62">
        <f t="shared" si="20"/>
        <v>664.75823642060914</v>
      </c>
      <c r="EO50" s="62">
        <f ca="1">AVERAGE(OFFSET($EN$3,0,0,'Données projet'!$E$15+1,1))-AVERAGE(OFFSET($H$3,0,0,'Données projet'!$E$15+1,1))</f>
        <v>288.82868507674738</v>
      </c>
      <c r="EP50" s="62">
        <f t="shared" si="46"/>
        <v>283.48738729114024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>
        <f>EXP(-LN(2)/35)*EV49+(1-EXP(-LN(2)/35))/(LN(2)/35)*ER50*ES50*VLOOKUP('Données projet'!$B$15,Paramètres!$A$1:$I$89,3,0)*0.475*44/12</f>
        <v>1.2950456399176242</v>
      </c>
      <c r="EW50" s="23">
        <f>EXP(-LN(2)/25)*EW49+(1-EXP(-LN(2)/25))/(LN(2)/25)*Calculateur!ER50*Calculateur!ET50*VLOOKUP('Données projet'!$B$15,Paramètres!$A$1:$I$89,3,0)*0.475*44/12</f>
        <v>0</v>
      </c>
      <c r="EX50" s="23">
        <f>EXP(-LN(2)/2)*EX49+(1-EXP(-LN(2)/2))/(LN(2)/2)*ER50*EU50*VLOOKUP('Données projet'!$B$15,Paramètres!$A$1:$I$89,3,0)*0.475*44/12</f>
        <v>0</v>
      </c>
      <c r="EY50" s="24">
        <f t="shared" si="21"/>
        <v>1.2950456399176242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17.5</v>
      </c>
      <c r="N51" s="14">
        <f>IF('Données projet'!$A$36&gt;35,N50+M51-V50,IF(A51&lt;'Données projet'!$A$36,$K$205^A51,IF(A51='Données projet'!$A$36,'Données projet'!$B$36,N50+M51-V50)))</f>
        <v>343.49999999999989</v>
      </c>
      <c r="O51" s="14">
        <f>N51*VLOOKUP('Données projet'!$B$9,Paramètres!$A$1:$I$89,3,0)*VLOOKUP('Données projet'!$B$9,Paramètres!$A$1:$I$89,5,0)</f>
        <v>160.75799999999995</v>
      </c>
      <c r="P51" s="14">
        <f t="shared" si="33"/>
        <v>41.013437365421375</v>
      </c>
      <c r="Q51" s="22">
        <f t="shared" si="53"/>
        <v>351.41858674477544</v>
      </c>
      <c r="R51" s="62">
        <f t="shared" si="0"/>
        <v>644.7519200781087</v>
      </c>
      <c r="S51" s="62">
        <f ca="1">AVERAGE(OFFSET($R$3,0,0,'Données projet'!$E$9+1,1))-AVERAGE(OFFSET($H$3,0,0,'Données projet'!$E$9+1,1))</f>
        <v>317.54276561627643</v>
      </c>
      <c r="T51" s="62">
        <f t="shared" si="34"/>
        <v>238.92443174298893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7.8</v>
      </c>
      <c r="AI51" s="14">
        <f>IF('Données projet'!$A$62&gt;35,AI50+AH51-AQ50,IF(A51&lt;'Données projet'!$A$62,$AF$205^A51,IF(A51='Données projet'!$A$62,'Données projet'!$B$62,AI50+AH51-AQ50)))</f>
        <v>193.39999999999995</v>
      </c>
      <c r="AJ51" s="14">
        <f>AI51*VLOOKUP('Données projet'!$B$10,Paramètres!$A$1:$I$89,3,0)*VLOOKUP('Données projet'!$B$10,Paramètres!$A$1:$I$89,5,0)</f>
        <v>168.95424</v>
      </c>
      <c r="AK51" s="14">
        <f t="shared" si="35"/>
        <v>42.855724087026708</v>
      </c>
      <c r="AL51" s="22">
        <f t="shared" si="4"/>
        <v>368.90235411823818</v>
      </c>
      <c r="AM51" s="62">
        <f t="shared" si="5"/>
        <v>662.23568745157149</v>
      </c>
      <c r="AN51" s="62">
        <f ca="1">AVERAGE(OFFSET($AM$3,0,0,'Données projet'!$E$10+1,1))-AVERAGE(OFFSET($H$3,0,0,'Données projet'!$E$10+1,1))</f>
        <v>327.826081588335</v>
      </c>
      <c r="AO51" s="62">
        <f t="shared" si="36"/>
        <v>348.84706693879735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4.3030310548454676</v>
      </c>
      <c r="AV51" s="23">
        <f>EXP(-LN(2)/25)*AV50+(1-EXP(-LN(2)/25))/(LN(2)/25)*Calculateur!AQ51*Calculateur!AS51*VLOOKUP('Données projet'!$B$10,Paramètres!$A$1:$I$89,3,0)*0.475*44/12</f>
        <v>8.3290679589947594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12.632099013840227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11</v>
      </c>
      <c r="BD51" s="13">
        <f>IF('Données projet'!$A$88&gt;35,BD50+BC51-BL50,IF(A51&lt;'Données projet'!$A$88,$BA$205^A51,IF(A51='Données projet'!$A$88,'Données projet'!$B$88,BD50+BC51-BL50)))</f>
        <v>209.00000000000003</v>
      </c>
      <c r="BE51" s="14">
        <f>BD51*VLOOKUP('Données projet'!$B$11,Paramètres!$A$1:$I$89,3,0)*VLOOKUP('Données projet'!$B$11,Paramètres!$A$1:$I$89,5,0)</f>
        <v>211.92600000000004</v>
      </c>
      <c r="BF51" s="14">
        <f t="shared" si="37"/>
        <v>52.356241262970165</v>
      </c>
      <c r="BG51" s="22">
        <f t="shared" si="7"/>
        <v>460.29157019967312</v>
      </c>
      <c r="BH51" s="62">
        <f t="shared" si="8"/>
        <v>753.62490353300643</v>
      </c>
      <c r="BI51" s="62">
        <f ca="1">AVERAGE(OFFSET($BH$3,0,0,'Données projet'!$E$11+1,1))-AVERAGE(OFFSET($H$3,0,0,'Données projet'!$E$11+1,1))</f>
        <v>487.04124684635974</v>
      </c>
      <c r="BJ51" s="62">
        <f t="shared" si="38"/>
        <v>306.61893266146666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1.8898447200334825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1.8898447200334825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11</v>
      </c>
      <c r="BY51" s="13">
        <f>IF('Données projet'!$A$114&gt;35,BY50+BX51-CG50,IF(A51&lt;'Données projet'!$A$114,$BV$205^A51,IF(A51='Données projet'!$A$114,'Données projet'!$B$114,BY50+BX51-CG50)))</f>
        <v>209.00000000000003</v>
      </c>
      <c r="BZ51" s="14">
        <f>BY51*VLOOKUP('Données projet'!$B$12,Paramètres!$A$1:$I$89,3,0)*VLOOKUP('Données projet'!$B$12,Paramètres!$A$1:$I$89,5,0)</f>
        <v>189.10320000000002</v>
      </c>
      <c r="CA51" s="14">
        <f t="shared" si="39"/>
        <v>47.34162854278712</v>
      </c>
      <c r="CB51" s="22">
        <f t="shared" si="10"/>
        <v>411.80807637868764</v>
      </c>
      <c r="CC51" s="62">
        <f t="shared" si="11"/>
        <v>705.14140971202096</v>
      </c>
      <c r="CD51" s="62">
        <f ca="1">AVERAGE(OFFSET($CC$3,0,0,'Données projet'!$E$12+1,1))-AVERAGE(OFFSET($H$3,0,0,'Données projet'!$E$12+1,1))</f>
        <v>439.06700232017681</v>
      </c>
      <c r="CE51" s="62">
        <f t="shared" si="40"/>
        <v>278.21741231699929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1.6863229809529534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1.6863229809529534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8.4</v>
      </c>
      <c r="CT51" s="13">
        <f>IF('Données projet'!$A$140&gt;35,CT50+CS51-DB50,IF(A51&lt;'Données projet'!$A$140,$CQ$205^A51,IF(A51='Données projet'!$A$140,'Données projet'!$B$140,CT50+CS51-DB50)))</f>
        <v>243.20000000000002</v>
      </c>
      <c r="CU51" s="18">
        <f>CT51*VLOOKUP('Données projet'!$B$13,Paramètres!$A$1:$I$89,3,0)*VLOOKUP('Données projet'!$B$13,Paramètres!$A$1:$I$89,5,0)</f>
        <v>178.31424000000001</v>
      </c>
      <c r="CV51" s="14">
        <f t="shared" si="41"/>
        <v>44.946930482894025</v>
      </c>
      <c r="CW51" s="22">
        <f t="shared" si="13"/>
        <v>388.84653859104043</v>
      </c>
      <c r="CX51" s="62">
        <f t="shared" si="14"/>
        <v>682.17987192437374</v>
      </c>
      <c r="CY51" s="62">
        <f ca="1">AVERAGE(OFFSET($CX$3,0,0,'Données projet'!$E$13+1,1))-AVERAGE(OFFSET($H$3,0,0,'Données projet'!$E$13+1,1))</f>
        <v>327.81662150328646</v>
      </c>
      <c r="CZ51" s="62">
        <f t="shared" si="42"/>
        <v>320.24200483294322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1.4012385141686081</v>
      </c>
      <c r="DG51" s="23">
        <f>EXP(-LN(2)/25)*DG50+(1-EXP(-LN(2)/25))/(LN(2)/25)*Calculateur!DB51*Calculateur!DD51*VLOOKUP('Données projet'!$B$13,Paramètres!$A$1:$I$89,3,0)*0.475*44/12</f>
        <v>0</v>
      </c>
      <c r="DH51" s="23">
        <f>EXP(-LN(2)/2)*DH50+(1-EXP(-LN(2)/2))/(LN(2)/2)*DB51*DE51*VLOOKUP('Données projet'!$B$13,Paramètres!$A$1:$I$89,3,0)*0.475*44/12</f>
        <v>0</v>
      </c>
      <c r="DI51" s="24">
        <f t="shared" si="15"/>
        <v>1.4012385141686081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6</v>
      </c>
      <c r="DO51" s="13">
        <f>IF('Données projet'!$A$166&gt;35,DO50+DN51-DW50,IF(A51&lt;'Données projet'!$A$166,$DL$205^A51,IF(A51='Données projet'!$A$166,'Données projet'!$B$166,DO50+DN51-DW50)))</f>
        <v>151.00000000000011</v>
      </c>
      <c r="DP51" s="18">
        <f>DO51*VLOOKUP('Données projet'!$B$14,Paramètres!$A$1:$I$89,3,0)*VLOOKUP('Données projet'!$B$14,Paramètres!$A$1:$I$89,5,0)</f>
        <v>98.935200000000066</v>
      </c>
      <c r="DQ51" s="14">
        <f t="shared" si="43"/>
        <v>26.708165799953118</v>
      </c>
      <c r="DR51" s="22">
        <f t="shared" si="16"/>
        <v>218.82886210158509</v>
      </c>
      <c r="DS51" s="62">
        <f t="shared" si="17"/>
        <v>512.16219543491843</v>
      </c>
      <c r="DT51" s="62">
        <f ca="1">AVERAGE(OFFSET($DS$3,0,0,'Données projet'!$E$14+1,1))-AVERAGE(OFFSET($H$3,0,0,'Données projet'!$E$14+1,1))</f>
        <v>210.08998695869161</v>
      </c>
      <c r="DU51" s="62">
        <f t="shared" si="44"/>
        <v>207.30911916430881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>
        <f>EXP(-LN(2)/35)*EA50+(1-EXP(-LN(2)/35))/(LN(2)/35)*DW51*DX51*VLOOKUP('Données projet'!$B$14,Paramètres!$A$1:$I$89,3,0)*0.475*44/12</f>
        <v>0.32198672240470116</v>
      </c>
      <c r="EB51" s="23">
        <f>EXP(-LN(2)/25)*EB50+(1-EXP(-LN(2)/25))/(LN(2)/25)*Calculateur!DW51*Calculateur!DY51*VLOOKUP('Données projet'!$B$14,Paramètres!$A$1:$I$89,3,0)*0.475*44/12</f>
        <v>0</v>
      </c>
      <c r="EC51" s="23">
        <f>EXP(-LN(2)/2)*EC50+(1-EXP(-LN(2)/2))/(LN(2)/2)*DW51*DZ51*VLOOKUP('Données projet'!$B$14,Paramètres!$A$1:$I$89,3,0)*0.475*44/12</f>
        <v>0</v>
      </c>
      <c r="ED51" s="24">
        <f t="shared" si="18"/>
        <v>0.32198672240470116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10.375</v>
      </c>
      <c r="EJ51" s="13">
        <f>IF('Données projet'!$A$192&gt;35,EJ50+EI51-ER50,IF(A51&lt;'Données projet'!$A$192,$EG$205^A51,IF(A51='Données projet'!$A$192,'Données projet'!$B$192,EJ50+EI51-ER50)))</f>
        <v>228.49999999999991</v>
      </c>
      <c r="EK51" s="18">
        <f>EJ51*VLOOKUP('Données projet'!$B$15,Paramètres!$A$1:$I$89,3,0)*VLOOKUP('Données projet'!$B$15,Paramètres!$A$1:$I$89,5,0)</f>
        <v>178.22999999999993</v>
      </c>
      <c r="EL51" s="14">
        <f t="shared" si="45"/>
        <v>44.928167580487852</v>
      </c>
      <c r="EM51" s="22">
        <f t="shared" si="19"/>
        <v>388.66714186934951</v>
      </c>
      <c r="EN51" s="62">
        <f t="shared" si="20"/>
        <v>682.00047520268276</v>
      </c>
      <c r="EO51" s="62">
        <f ca="1">AVERAGE(OFFSET($EN$3,0,0,'Données projet'!$E$15+1,1))-AVERAGE(OFFSET($H$3,0,0,'Données projet'!$E$15+1,1))</f>
        <v>288.82868507674738</v>
      </c>
      <c r="EP51" s="62">
        <f t="shared" si="46"/>
        <v>283.48738729114024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>
        <f>EXP(-LN(2)/35)*EV50+(1-EXP(-LN(2)/35))/(LN(2)/35)*ER51*ES51*VLOOKUP('Données projet'!$B$15,Paramètres!$A$1:$I$89,3,0)*0.475*44/12</f>
        <v>1.2696505848186839</v>
      </c>
      <c r="EW51" s="23">
        <f>EXP(-LN(2)/25)*EW50+(1-EXP(-LN(2)/25))/(LN(2)/25)*Calculateur!ER51*Calculateur!ET51*VLOOKUP('Données projet'!$B$15,Paramètres!$A$1:$I$89,3,0)*0.475*44/12</f>
        <v>0</v>
      </c>
      <c r="EX51" s="23">
        <f>EXP(-LN(2)/2)*EX50+(1-EXP(-LN(2)/2))/(LN(2)/2)*ER51*EU51*VLOOKUP('Données projet'!$B$15,Paramètres!$A$1:$I$89,3,0)*0.475*44/12</f>
        <v>0</v>
      </c>
      <c r="EY51" s="24">
        <f t="shared" si="21"/>
        <v>1.2696505848186839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>
        <f>VLOOKUP(A52,'Données projet'!$A$35:$I$55,2,0)</f>
        <v>361</v>
      </c>
      <c r="L52" s="13">
        <f>VLOOKUP(A52,'Données projet'!$A$35:$I$55,9,0)</f>
        <v>17.5</v>
      </c>
      <c r="M52" s="13">
        <f t="array" ref="M52">INDEX(L:L,MIN(IF(ISNUMBER(L52:L248),ROW(L52:L248),"")))</f>
        <v>17.5</v>
      </c>
      <c r="N52" s="14">
        <f>IF('Données projet'!$A$36&gt;35,N51+M52-V51,IF(A52&lt;'Données projet'!$A$36,$K$205^A52,IF(A52='Données projet'!$A$36,'Données projet'!$B$36,N51+M52-V51)))</f>
        <v>360.99999999999989</v>
      </c>
      <c r="O52" s="14">
        <f>N52*VLOOKUP('Données projet'!$B$9,Paramètres!$A$1:$I$89,3,0)*VLOOKUP('Données projet'!$B$9,Paramètres!$A$1:$I$89,5,0)</f>
        <v>168.94799999999995</v>
      </c>
      <c r="P52" s="14">
        <f t="shared" si="33"/>
        <v>42.854325527446242</v>
      </c>
      <c r="Q52" s="22">
        <f t="shared" si="53"/>
        <v>368.88905029363542</v>
      </c>
      <c r="R52" s="62">
        <f t="shared" si="0"/>
        <v>662.22238362696874</v>
      </c>
      <c r="S52" s="62">
        <f ca="1">AVERAGE(OFFSET($R$3,0,0,'Données projet'!$E$9+1,1))-AVERAGE(OFFSET($H$3,0,0,'Données projet'!$E$9+1,1))</f>
        <v>317.54276561627643</v>
      </c>
      <c r="T52" s="62">
        <f t="shared" si="34"/>
        <v>238.92443174298893</v>
      </c>
      <c r="U52" s="16">
        <f>IF(ISNA(VLOOKUP(A52,'Données projet'!$A$35:$I$55,3,0)),0,VLOOKUP(A52,'Données projet'!$A$35:$I$55,3,0))</f>
        <v>5</v>
      </c>
      <c r="V52" s="16">
        <f>IF(ISNA(VLOOKUP(A52,'Données projet'!$A$35:$I$55,4,0)),0,VLOOKUP(A52,'Données projet'!$A$35:$I$55,4,0))</f>
        <v>100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7.8</v>
      </c>
      <c r="AI52" s="14">
        <f>IF('Données projet'!$A$62&gt;35,AI51+AH52-AQ51,IF(A52&lt;'Données projet'!$A$62,$AF$205^A52,IF(A52='Données projet'!$A$62,'Données projet'!$B$62,AI51+AH52-AQ51)))</f>
        <v>201.19999999999996</v>
      </c>
      <c r="AJ52" s="14">
        <f>AI52*VLOOKUP('Données projet'!$B$10,Paramètres!$A$1:$I$89,3,0)*VLOOKUP('Données projet'!$B$10,Paramètres!$A$1:$I$89,5,0)</f>
        <v>175.76831999999999</v>
      </c>
      <c r="AK52" s="14">
        <f t="shared" si="35"/>
        <v>44.379415757690168</v>
      </c>
      <c r="AL52" s="22">
        <f t="shared" si="4"/>
        <v>383.42397311131032</v>
      </c>
      <c r="AM52" s="62">
        <f t="shared" si="5"/>
        <v>676.75730644464363</v>
      </c>
      <c r="AN52" s="62">
        <f ca="1">AVERAGE(OFFSET($AM$3,0,0,'Données projet'!$E$10+1,1))-AVERAGE(OFFSET($H$3,0,0,'Données projet'!$E$10+1,1))</f>
        <v>327.826081588335</v>
      </c>
      <c r="AO52" s="62">
        <f t="shared" si="36"/>
        <v>348.84706693879735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4.2186512404497343</v>
      </c>
      <c r="AV52" s="23">
        <f>EXP(-LN(2)/25)*AV51+(1-EXP(-LN(2)/25))/(LN(2)/25)*Calculateur!AQ52*Calculateur!AS52*VLOOKUP('Données projet'!$B$10,Paramètres!$A$1:$I$89,3,0)*0.475*44/12</f>
        <v>8.1013091576493999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12.319960398099134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11</v>
      </c>
      <c r="BD52" s="13">
        <f>IF('Données projet'!$A$88&gt;35,BD51+BC52-BL51,IF(A52&lt;'Données projet'!$A$88,$BA$205^A52,IF(A52='Données projet'!$A$88,'Données projet'!$B$88,BD51+BC52-BL51)))</f>
        <v>220.00000000000003</v>
      </c>
      <c r="BE52" s="14">
        <f>BD52*VLOOKUP('Données projet'!$B$11,Paramètres!$A$1:$I$89,3,0)*VLOOKUP('Données projet'!$B$11,Paramètres!$A$1:$I$89,5,0)</f>
        <v>223.08000000000004</v>
      </c>
      <c r="BF52" s="14">
        <f t="shared" si="37"/>
        <v>54.783765878062667</v>
      </c>
      <c r="BG52" s="22">
        <f t="shared" si="7"/>
        <v>483.94605890429256</v>
      </c>
      <c r="BH52" s="62">
        <f t="shared" si="8"/>
        <v>777.27939223762587</v>
      </c>
      <c r="BI52" s="62">
        <f ca="1">AVERAGE(OFFSET($BH$3,0,0,'Données projet'!$E$11+1,1))-AVERAGE(OFFSET($H$3,0,0,'Données projet'!$E$11+1,1))</f>
        <v>487.04124684635974</v>
      </c>
      <c r="BJ52" s="62">
        <f t="shared" si="38"/>
        <v>306.61893266146666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1.8527860177650863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1.8527860177650863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11</v>
      </c>
      <c r="BY52" s="13">
        <f>IF('Données projet'!$A$114&gt;35,BY51+BX52-CG51,IF(A52&lt;'Données projet'!$A$114,$BV$205^A52,IF(A52='Données projet'!$A$114,'Données projet'!$B$114,BY51+BX52-CG51)))</f>
        <v>220.00000000000003</v>
      </c>
      <c r="BZ52" s="14">
        <f>BY52*VLOOKUP('Données projet'!$B$12,Paramètres!$A$1:$I$89,3,0)*VLOOKUP('Données projet'!$B$12,Paramètres!$A$1:$I$89,5,0)</f>
        <v>199.05600000000001</v>
      </c>
      <c r="CA52" s="14">
        <f t="shared" si="39"/>
        <v>49.536648006253934</v>
      </c>
      <c r="CB52" s="22">
        <f t="shared" si="10"/>
        <v>432.96552861089231</v>
      </c>
      <c r="CC52" s="62">
        <f t="shared" si="11"/>
        <v>726.29886194422556</v>
      </c>
      <c r="CD52" s="62">
        <f ca="1">AVERAGE(OFFSET($CC$3,0,0,'Données projet'!$E$12+1,1))-AVERAGE(OFFSET($H$3,0,0,'Données projet'!$E$12+1,1))</f>
        <v>439.06700232017681</v>
      </c>
      <c r="CE52" s="62">
        <f t="shared" si="40"/>
        <v>278.21741231699929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1.6532552158519229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1.6532552158519229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8.4</v>
      </c>
      <c r="CT52" s="13">
        <f>IF('Données projet'!$A$140&gt;35,CT51+CS52-DB51,IF(A52&lt;'Données projet'!$A$140,$CQ$205^A52,IF(A52='Données projet'!$A$140,'Données projet'!$B$140,CT51+CS52-DB51)))</f>
        <v>251.60000000000002</v>
      </c>
      <c r="CU52" s="18">
        <f>CT52*VLOOKUP('Données projet'!$B$13,Paramètres!$A$1:$I$89,3,0)*VLOOKUP('Données projet'!$B$13,Paramètres!$A$1:$I$89,5,0)</f>
        <v>184.47312000000002</v>
      </c>
      <c r="CV52" s="14">
        <f t="shared" si="41"/>
        <v>46.315946745200151</v>
      </c>
      <c r="CW52" s="22">
        <f t="shared" si="13"/>
        <v>401.95762458122357</v>
      </c>
      <c r="CX52" s="62">
        <f t="shared" si="14"/>
        <v>695.29095791455688</v>
      </c>
      <c r="CY52" s="62">
        <f ca="1">AVERAGE(OFFSET($CX$3,0,0,'Données projet'!$E$13+1,1))-AVERAGE(OFFSET($H$3,0,0,'Données projet'!$E$13+1,1))</f>
        <v>327.81662150328646</v>
      </c>
      <c r="CZ52" s="62">
        <f t="shared" si="42"/>
        <v>320.24200483294322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1.3737610815768635</v>
      </c>
      <c r="DG52" s="23">
        <f>EXP(-LN(2)/25)*DG51+(1-EXP(-LN(2)/25))/(LN(2)/25)*Calculateur!DB52*Calculateur!DD52*VLOOKUP('Données projet'!$B$13,Paramètres!$A$1:$I$89,3,0)*0.475*44/12</f>
        <v>0</v>
      </c>
      <c r="DH52" s="23">
        <f>EXP(-LN(2)/2)*DH51+(1-EXP(-LN(2)/2))/(LN(2)/2)*DB52*DE52*VLOOKUP('Données projet'!$B$13,Paramètres!$A$1:$I$89,3,0)*0.475*44/12</f>
        <v>0</v>
      </c>
      <c r="DI52" s="24">
        <f t="shared" si="15"/>
        <v>1.3737610815768635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6</v>
      </c>
      <c r="DO52" s="13">
        <f>IF('Données projet'!$A$166&gt;35,DO51+DN52-DW51,IF(A52&lt;'Données projet'!$A$166,$DL$205^A52,IF(A52='Données projet'!$A$166,'Données projet'!$B$166,DO51+DN52-DW51)))</f>
        <v>157.00000000000011</v>
      </c>
      <c r="DP52" s="18">
        <f>DO52*VLOOKUP('Données projet'!$B$14,Paramètres!$A$1:$I$89,3,0)*VLOOKUP('Données projet'!$B$14,Paramètres!$A$1:$I$89,5,0)</f>
        <v>102.86640000000007</v>
      </c>
      <c r="DQ52" s="14">
        <f t="shared" si="43"/>
        <v>27.643750580905362</v>
      </c>
      <c r="DR52" s="22">
        <f t="shared" si="16"/>
        <v>227.30517892841024</v>
      </c>
      <c r="DS52" s="62">
        <f t="shared" si="17"/>
        <v>520.63851226174359</v>
      </c>
      <c r="DT52" s="62">
        <f ca="1">AVERAGE(OFFSET($DS$3,0,0,'Données projet'!$E$14+1,1))-AVERAGE(OFFSET($H$3,0,0,'Données projet'!$E$14+1,1))</f>
        <v>210.08998695869161</v>
      </c>
      <c r="DU52" s="62">
        <f t="shared" si="44"/>
        <v>207.30911916430881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>
        <f>EXP(-LN(2)/35)*EA51+(1-EXP(-LN(2)/35))/(LN(2)/35)*DW52*DX52*VLOOKUP('Données projet'!$B$14,Paramètres!$A$1:$I$89,3,0)*0.475*44/12</f>
        <v>0.31567275917085347</v>
      </c>
      <c r="EB52" s="23">
        <f>EXP(-LN(2)/25)*EB51+(1-EXP(-LN(2)/25))/(LN(2)/25)*Calculateur!DW52*Calculateur!DY52*VLOOKUP('Données projet'!$B$14,Paramètres!$A$1:$I$89,3,0)*0.475*44/12</f>
        <v>0</v>
      </c>
      <c r="EC52" s="23">
        <f>EXP(-LN(2)/2)*EC51+(1-EXP(-LN(2)/2))/(LN(2)/2)*DW52*DZ52*VLOOKUP('Données projet'!$B$14,Paramètres!$A$1:$I$89,3,0)*0.475*44/12</f>
        <v>0</v>
      </c>
      <c r="ED52" s="24">
        <f t="shared" si="18"/>
        <v>0.31567275917085347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10.375</v>
      </c>
      <c r="EJ52" s="13">
        <f>IF('Données projet'!$A$192&gt;35,EJ51+EI52-ER51,IF(A52&lt;'Données projet'!$A$192,$EG$205^A52,IF(A52='Données projet'!$A$192,'Données projet'!$B$192,EJ51+EI52-ER51)))</f>
        <v>238.87499999999991</v>
      </c>
      <c r="EK52" s="18">
        <f>EJ52*VLOOKUP('Données projet'!$B$15,Paramètres!$A$1:$I$89,3,0)*VLOOKUP('Données projet'!$B$15,Paramètres!$A$1:$I$89,5,0)</f>
        <v>186.32249999999993</v>
      </c>
      <c r="EL52" s="14">
        <f t="shared" si="45"/>
        <v>46.725987276254116</v>
      </c>
      <c r="EM52" s="22">
        <f t="shared" si="19"/>
        <v>405.8927820061424</v>
      </c>
      <c r="EN52" s="62">
        <f t="shared" si="20"/>
        <v>699.22611533947565</v>
      </c>
      <c r="EO52" s="62">
        <f ca="1">AVERAGE(OFFSET($EN$3,0,0,'Données projet'!$E$15+1,1))-AVERAGE(OFFSET($H$3,0,0,'Données projet'!$E$15+1,1))</f>
        <v>288.82868507674738</v>
      </c>
      <c r="EP52" s="62">
        <f t="shared" si="46"/>
        <v>283.48738729114024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>
        <f>EXP(-LN(2)/35)*EV51+(1-EXP(-LN(2)/35))/(LN(2)/35)*ER52*ES52*VLOOKUP('Données projet'!$B$15,Paramètres!$A$1:$I$89,3,0)*0.475*44/12</f>
        <v>1.2447535112607795</v>
      </c>
      <c r="EW52" s="23">
        <f>EXP(-LN(2)/25)*EW51+(1-EXP(-LN(2)/25))/(LN(2)/25)*Calculateur!ER52*Calculateur!ET52*VLOOKUP('Données projet'!$B$15,Paramètres!$A$1:$I$89,3,0)*0.475*44/12</f>
        <v>0</v>
      </c>
      <c r="EX52" s="23">
        <f>EXP(-LN(2)/2)*EX51+(1-EXP(-LN(2)/2))/(LN(2)/2)*ER52*EU52*VLOOKUP('Données projet'!$B$15,Paramètres!$A$1:$I$89,3,0)*0.475*44/12</f>
        <v>0</v>
      </c>
      <c r="EY52" s="24">
        <f t="shared" si="21"/>
        <v>1.2447535112607795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278</v>
      </c>
      <c r="L53" s="13">
        <f>VLOOKUP(A53,'Données projet'!$A$35:$I$55,9,0)</f>
        <v>17</v>
      </c>
      <c r="M53" s="13">
        <f t="array" ref="M53">INDEX(L:L,MIN(IF(ISNUMBER(L53:L249),ROW(L53:L249),"")))</f>
        <v>17</v>
      </c>
      <c r="N53" s="14">
        <f>IF('Données projet'!$A$36&gt;35,N52+M53-V52,IF(A53&lt;'Données projet'!$A$36,$K$205^A53,IF(A53='Données projet'!$A$36,'Données projet'!$B$36,N52+M53-V52)))</f>
        <v>277.99999999999989</v>
      </c>
      <c r="O53" s="14">
        <f>N53*VLOOKUP('Données projet'!$B$9,Paramètres!$A$1:$I$89,3,0)*VLOOKUP('Données projet'!$B$9,Paramètres!$A$1:$I$89,5,0)</f>
        <v>130.10399999999996</v>
      </c>
      <c r="P53" s="14">
        <f t="shared" si="33"/>
        <v>34.020389560268086</v>
      </c>
      <c r="Q53" s="22">
        <f t="shared" si="53"/>
        <v>285.84997848413349</v>
      </c>
      <c r="R53" s="62">
        <f t="shared" si="0"/>
        <v>579.1833118174668</v>
      </c>
      <c r="S53" s="62">
        <f ca="1">AVERAGE(OFFSET($R$3,0,0,'Données projet'!$E$9+1,1))-AVERAGE(OFFSET($H$3,0,0,'Données projet'!$E$9+1,1))</f>
        <v>317.54276561627643</v>
      </c>
      <c r="T53" s="62">
        <f t="shared" si="34"/>
        <v>238.92443174298893</v>
      </c>
      <c r="U53" s="16">
        <f>IF(ISNA(VLOOKUP(A53,'Données projet'!$A$35:$I$55,3,0)),0,VLOOKUP(A53,'Données projet'!$A$35:$I$55,3,0))</f>
        <v>6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209</v>
      </c>
      <c r="AG53" s="13">
        <f>VLOOKUP(A53,'Données projet'!$A$61:$I$81,9,0)</f>
        <v>7.8</v>
      </c>
      <c r="AH53" s="13">
        <f t="array" ref="AH53">INDEX(AG:AG,MIN(IF(ISNUMBER(AG53:AG249),ROW(AG53:AG249),"")))</f>
        <v>7.8</v>
      </c>
      <c r="AI53" s="14">
        <f>IF('Données projet'!$A$62&gt;35,AI52+AH53-AQ52,IF(A53&lt;'Données projet'!$A$62,$AF$205^A53,IF(A53='Données projet'!$A$62,'Données projet'!$B$62,AI52+AH53-AQ52)))</f>
        <v>208.99999999999997</v>
      </c>
      <c r="AJ53" s="14">
        <f>AI53*VLOOKUP('Données projet'!$B$10,Paramètres!$A$1:$I$89,3,0)*VLOOKUP('Données projet'!$B$10,Paramètres!$A$1:$I$89,5,0)</f>
        <v>182.58240000000001</v>
      </c>
      <c r="AK53" s="14">
        <f t="shared" si="35"/>
        <v>45.896245406460288</v>
      </c>
      <c r="AL53" s="22">
        <f t="shared" si="4"/>
        <v>397.93364074958498</v>
      </c>
      <c r="AM53" s="62">
        <f t="shared" si="5"/>
        <v>691.2669740829183</v>
      </c>
      <c r="AN53" s="62">
        <f ca="1">AVERAGE(OFFSET($AM$3,0,0,'Données projet'!$E$10+1,1))-AVERAGE(OFFSET($H$3,0,0,'Données projet'!$E$10+1,1))</f>
        <v>327.826081588335</v>
      </c>
      <c r="AO53" s="62">
        <f t="shared" si="36"/>
        <v>348.84706693879735</v>
      </c>
      <c r="AP53" s="16">
        <f>IF(ISNA(VLOOKUP(A53,'Données projet'!$A$61:$I$81,3,0)),0,VLOOKUP(A53,'Données projet'!$A$61:$I$81,3,0))</f>
        <v>7</v>
      </c>
      <c r="AQ53" s="16">
        <f>IF(ISNA(VLOOKUP(A53,'Données projet'!$A$61:$I$81,4,0)),0,VLOOKUP(A53,'Données projet'!$A$61:$I$81,4,0))</f>
        <v>28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4.1359260627476973</v>
      </c>
      <c r="AV53" s="23">
        <f>EXP(-LN(2)/25)*AV52+(1-EXP(-LN(2)/25))/(LN(2)/25)*Calculateur!AQ53*Calculateur!AS53*VLOOKUP('Données projet'!$B$10,Paramètres!$A$1:$I$89,3,0)*0.475*44/12</f>
        <v>7.8797784327041445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12.015704495451843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231</v>
      </c>
      <c r="BB53" s="13">
        <f>VLOOKUP(A53,'Données projet'!$A$87:$I$107,9,0)</f>
        <v>11</v>
      </c>
      <c r="BC53" s="13">
        <f t="array" ref="BC53">INDEX(BB:BB,MIN(IF(ISNUMBER(BB53:BB249),ROW(BB53:BB249),"")))</f>
        <v>11</v>
      </c>
      <c r="BD53" s="13">
        <f>IF('Données projet'!$A$88&gt;35,BD52+BC53-BL52,IF(A53&lt;'Données projet'!$A$88,$BA$205^A53,IF(A53='Données projet'!$A$88,'Données projet'!$B$88,BD52+BC53-BL52)))</f>
        <v>231.00000000000003</v>
      </c>
      <c r="BE53" s="14">
        <f>BD53*VLOOKUP('Données projet'!$B$11,Paramètres!$A$1:$I$89,3,0)*VLOOKUP('Données projet'!$B$11,Paramètres!$A$1:$I$89,5,0)</f>
        <v>234.23400000000007</v>
      </c>
      <c r="BF53" s="14">
        <f t="shared" si="37"/>
        <v>57.197197133603488</v>
      </c>
      <c r="BG53" s="22">
        <f t="shared" si="7"/>
        <v>507.57600167435953</v>
      </c>
      <c r="BH53" s="62">
        <f t="shared" si="8"/>
        <v>800.90933500769279</v>
      </c>
      <c r="BI53" s="62">
        <f ca="1">AVERAGE(OFFSET($BH$3,0,0,'Données projet'!$E$11+1,1))-AVERAGE(OFFSET($H$3,0,0,'Données projet'!$E$11+1,1))</f>
        <v>487.04124684635974</v>
      </c>
      <c r="BJ53" s="62">
        <f t="shared" si="38"/>
        <v>306.61893266146666</v>
      </c>
      <c r="BK53" s="16">
        <f>IF(ISNA(VLOOKUP(A53,'Données projet'!$A$87:$I$107,3,0)),0,VLOOKUP(A53,'Données projet'!$A$87:$I$107,3,0))</f>
        <v>7</v>
      </c>
      <c r="BL53" s="16">
        <f>IF(ISNA(VLOOKUP(A53,'Données projet'!$A$87:$I$107,4,0)),0,VLOOKUP(A53,'Données projet'!$A$87:$I$107,4,0))</f>
        <v>28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1.8164540140445968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1.8164540140445968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231</v>
      </c>
      <c r="BW53" s="13">
        <f>VLOOKUP(A53,'Données projet'!$A$113:$I$133,9,0)</f>
        <v>11</v>
      </c>
      <c r="BX53" s="13">
        <f t="array" ref="BX53">INDEX(BW:BW,MIN(IF(ISNUMBER(BW53:BW249),ROW(BW53:BW249),"")))</f>
        <v>11</v>
      </c>
      <c r="BY53" s="13">
        <f>IF('Données projet'!$A$114&gt;35,BY52+BX53-CG52,IF(A53&lt;'Données projet'!$A$114,$BV$205^A53,IF(A53='Données projet'!$A$114,'Données projet'!$B$114,BY52+BX53-CG52)))</f>
        <v>231.00000000000003</v>
      </c>
      <c r="BZ53" s="14">
        <f>BY53*VLOOKUP('Données projet'!$B$12,Paramètres!$A$1:$I$89,3,0)*VLOOKUP('Données projet'!$B$12,Paramètres!$A$1:$I$89,5,0)</f>
        <v>209.00880000000004</v>
      </c>
      <c r="CA53" s="14">
        <f t="shared" si="39"/>
        <v>51.718923953824252</v>
      </c>
      <c r="CB53" s="22">
        <f t="shared" si="10"/>
        <v>454.10078588624395</v>
      </c>
      <c r="CC53" s="62">
        <f t="shared" si="11"/>
        <v>747.43411921957727</v>
      </c>
      <c r="CD53" s="62">
        <f ca="1">AVERAGE(OFFSET($CC$3,0,0,'Données projet'!$E$12+1,1))-AVERAGE(OFFSET($H$3,0,0,'Données projet'!$E$12+1,1))</f>
        <v>439.06700232017681</v>
      </c>
      <c r="CE53" s="62">
        <f t="shared" si="40"/>
        <v>278.21741231699929</v>
      </c>
      <c r="CF53" s="16">
        <f>IF(ISNA(VLOOKUP(A53,'Données projet'!$A$113:$I$133,3,0)),0,VLOOKUP(A53,'Données projet'!$A$113:$I$133,3,0))</f>
        <v>7</v>
      </c>
      <c r="CG53" s="16">
        <f>IF(ISNA(VLOOKUP(A53,'Données projet'!$A$113:$I$133,4,0)),0,VLOOKUP(A53,'Données projet'!$A$113:$I$133,4,0))</f>
        <v>28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1.6208358894551784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1.6208358894551784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>
        <f>VLOOKUP(A53,'Données projet'!$A$139:$I$159,2,0)</f>
        <v>260</v>
      </c>
      <c r="CR53" s="13">
        <f>VLOOKUP(A53,'Données projet'!$A$139:$I$159,9,0)</f>
        <v>8.4</v>
      </c>
      <c r="CS53" s="13">
        <f t="array" ref="CS53">INDEX(CR:CR,MIN(IF(ISNUMBER(CR53:CR249),ROW(CR53:CR249),"")))</f>
        <v>8.4</v>
      </c>
      <c r="CT53" s="13">
        <f>IF('Données projet'!$A$140&gt;35,CT52+CS53-DB52,IF(A53&lt;'Données projet'!$A$140,$CQ$205^A53,IF(A53='Données projet'!$A$140,'Données projet'!$B$140,CT52+CS53-DB52)))</f>
        <v>260</v>
      </c>
      <c r="CU53" s="18">
        <f>CT53*VLOOKUP('Données projet'!$B$13,Paramètres!$A$1:$I$89,3,0)*VLOOKUP('Données projet'!$B$13,Paramètres!$A$1:$I$89,5,0)</f>
        <v>190.63199999999998</v>
      </c>
      <c r="CV53" s="14">
        <f t="shared" si="41"/>
        <v>47.679652061560311</v>
      </c>
      <c r="CW53" s="22">
        <f t="shared" si="13"/>
        <v>415.05946067388413</v>
      </c>
      <c r="CX53" s="62">
        <f t="shared" si="14"/>
        <v>708.39279400721739</v>
      </c>
      <c r="CY53" s="62">
        <f ca="1">AVERAGE(OFFSET($CX$3,0,0,'Données projet'!$E$13+1,1))-AVERAGE(OFFSET($H$3,0,0,'Données projet'!$E$13+1,1))</f>
        <v>327.81662150328646</v>
      </c>
      <c r="CZ53" s="62">
        <f t="shared" si="42"/>
        <v>320.24200483294322</v>
      </c>
      <c r="DA53" s="16">
        <f>IF(ISNA(VLOOKUP(A53,'Données projet'!$A$139:$I$159,3,0)),0,VLOOKUP(A53,'Données projet'!$A$139:$I$159,3,0))</f>
        <v>9</v>
      </c>
      <c r="DB53" s="16">
        <f>IF(ISNA(VLOOKUP(A53,'Données projet'!$A$139:$I$159,4,0)),0,VLOOKUP(A53,'Données projet'!$A$139:$I$159,4,0))</f>
        <v>19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1.3468224646786642</v>
      </c>
      <c r="DG53" s="23">
        <f>EXP(-LN(2)/25)*DG52+(1-EXP(-LN(2)/25))/(LN(2)/25)*Calculateur!DB53*Calculateur!DD53*VLOOKUP('Données projet'!$B$13,Paramètres!$A$1:$I$89,3,0)*0.475*44/12</f>
        <v>0</v>
      </c>
      <c r="DH53" s="23">
        <f>EXP(-LN(2)/2)*DH52+(1-EXP(-LN(2)/2))/(LN(2)/2)*DB53*DE53*VLOOKUP('Données projet'!$B$13,Paramètres!$A$1:$I$89,3,0)*0.475*44/12</f>
        <v>0</v>
      </c>
      <c r="DI53" s="24">
        <f t="shared" si="15"/>
        <v>1.3468224646786642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>
        <f>VLOOKUP(A53,'Données projet'!$A$165:$I$185,2,0)</f>
        <v>163</v>
      </c>
      <c r="DM53" s="13">
        <f>VLOOKUP(A53,'Données projet'!$A$165:$I$185,9,0)</f>
        <v>6</v>
      </c>
      <c r="DN53" s="13">
        <f t="array" ref="DN53">INDEX(DM:DM,MIN(IF(ISNUMBER(DM53:DM249),ROW(DM53:DM249),"")))</f>
        <v>6</v>
      </c>
      <c r="DO53" s="13">
        <f>IF('Données projet'!$A$166&gt;35,DO52+DN53-DW52,IF(A53&lt;'Données projet'!$A$166,$DL$205^A53,IF(A53='Données projet'!$A$166,'Données projet'!$B$166,DO52+DN53-DW52)))</f>
        <v>163.00000000000011</v>
      </c>
      <c r="DP53" s="18">
        <f>DO53*VLOOKUP('Données projet'!$B$14,Paramètres!$A$1:$I$89,3,0)*VLOOKUP('Données projet'!$B$14,Paramètres!$A$1:$I$89,5,0)</f>
        <v>106.79760000000009</v>
      </c>
      <c r="DQ53" s="14">
        <f t="shared" si="43"/>
        <v>28.575181674561119</v>
      </c>
      <c r="DR53" s="22">
        <f t="shared" si="16"/>
        <v>235.77426141652742</v>
      </c>
      <c r="DS53" s="62">
        <f t="shared" si="17"/>
        <v>529.10759474986071</v>
      </c>
      <c r="DT53" s="62">
        <f ca="1">AVERAGE(OFFSET($DS$3,0,0,'Données projet'!$E$14+1,1))-AVERAGE(OFFSET($H$3,0,0,'Données projet'!$E$14+1,1))</f>
        <v>210.08998695869161</v>
      </c>
      <c r="DU53" s="62">
        <f t="shared" si="44"/>
        <v>207.30911916430881</v>
      </c>
      <c r="DV53" s="16">
        <f>IF(ISNA(VLOOKUP(A53,'Données projet'!$A$165:$I$185,3,0)),0,VLOOKUP(A53,'Données projet'!$A$165:$I$185,3,0))</f>
        <v>9</v>
      </c>
      <c r="DW53" s="16">
        <f>IF(ISNA(VLOOKUP(A53,'Données projet'!$A$165:$I$185,4,0)),0,VLOOKUP(A53,'Données projet'!$A$165:$I$185,4,0))</f>
        <v>21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>
        <f>EXP(-LN(2)/35)*EA52+(1-EXP(-LN(2)/35))/(LN(2)/35)*DW53*DX53*VLOOKUP('Données projet'!$B$14,Paramètres!$A$1:$I$89,3,0)*0.475*44/12</f>
        <v>0.30948260890488427</v>
      </c>
      <c r="EB53" s="23">
        <f>EXP(-LN(2)/25)*EB52+(1-EXP(-LN(2)/25))/(LN(2)/25)*Calculateur!DW53*Calculateur!DY53*VLOOKUP('Données projet'!$B$14,Paramètres!$A$1:$I$89,3,0)*0.475*44/12</f>
        <v>0</v>
      </c>
      <c r="EC53" s="23">
        <f>EXP(-LN(2)/2)*EC52+(1-EXP(-LN(2)/2))/(LN(2)/2)*DW53*DZ53*VLOOKUP('Données projet'!$B$14,Paramètres!$A$1:$I$89,3,0)*0.475*44/12</f>
        <v>0</v>
      </c>
      <c r="ED53" s="24">
        <f t="shared" si="18"/>
        <v>0.30948260890488427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10.375</v>
      </c>
      <c r="EJ53" s="13">
        <f>IF('Données projet'!$A$192&gt;35,EJ52+EI53-ER52,IF(A53&lt;'Données projet'!$A$192,$EG$205^A53,IF(A53='Données projet'!$A$192,'Données projet'!$B$192,EJ52+EI53-ER52)))</f>
        <v>249.24999999999991</v>
      </c>
      <c r="EK53" s="18">
        <f>EJ53*VLOOKUP('Données projet'!$B$15,Paramètres!$A$1:$I$89,3,0)*VLOOKUP('Données projet'!$B$15,Paramètres!$A$1:$I$89,5,0)</f>
        <v>194.41499999999994</v>
      </c>
      <c r="EL53" s="14">
        <f t="shared" si="45"/>
        <v>48.514737888684927</v>
      </c>
      <c r="EM53" s="22">
        <f t="shared" si="19"/>
        <v>423.10262682279273</v>
      </c>
      <c r="EN53" s="62">
        <f t="shared" si="20"/>
        <v>716.43596015612604</v>
      </c>
      <c r="EO53" s="62">
        <f ca="1">AVERAGE(OFFSET($EN$3,0,0,'Données projet'!$E$15+1,1))-AVERAGE(OFFSET($H$3,0,0,'Données projet'!$E$15+1,1))</f>
        <v>288.82868507674738</v>
      </c>
      <c r="EP53" s="62">
        <f t="shared" si="46"/>
        <v>283.48738729114024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>
        <f>EXP(-LN(2)/35)*EV52+(1-EXP(-LN(2)/35))/(LN(2)/35)*ER53*ES53*VLOOKUP('Données projet'!$B$15,Paramètres!$A$1:$I$89,3,0)*0.475*44/12</f>
        <v>1.2203446541296303</v>
      </c>
      <c r="EW53" s="23">
        <f>EXP(-LN(2)/25)*EW52+(1-EXP(-LN(2)/25))/(LN(2)/25)*Calculateur!ER53*Calculateur!ET53*VLOOKUP('Données projet'!$B$15,Paramètres!$A$1:$I$89,3,0)*0.475*44/12</f>
        <v>0</v>
      </c>
      <c r="EX53" s="23">
        <f>EXP(-LN(2)/2)*EX52+(1-EXP(-LN(2)/2))/(LN(2)/2)*ER53*EU53*VLOOKUP('Données projet'!$B$15,Paramètres!$A$1:$I$89,3,0)*0.475*44/12</f>
        <v>0</v>
      </c>
      <c r="EY53" s="24">
        <f t="shared" si="21"/>
        <v>1.2203446541296303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17</v>
      </c>
      <c r="N54" s="14">
        <f>IF('Données projet'!$A$36&gt;35,N53+M54-V53,IF(A54&lt;'Données projet'!$A$36,$K$205^A54,IF(A54='Données projet'!$A$36,'Données projet'!$B$36,N53+M54-V53)))</f>
        <v>294.99999999999989</v>
      </c>
      <c r="O54" s="14">
        <f>N54*VLOOKUP('Données projet'!$B$9,Paramètres!$A$1:$I$89,3,0)*VLOOKUP('Données projet'!$B$9,Paramètres!$A$1:$I$89,5,0)</f>
        <v>138.05999999999995</v>
      </c>
      <c r="P54" s="14">
        <f t="shared" si="33"/>
        <v>35.85221845159689</v>
      </c>
      <c r="Q54" s="22">
        <f t="shared" si="53"/>
        <v>302.89711380319778</v>
      </c>
      <c r="R54" s="62">
        <f t="shared" si="0"/>
        <v>596.2304471365311</v>
      </c>
      <c r="S54" s="62">
        <f ca="1">AVERAGE(OFFSET($R$3,0,0,'Données projet'!$E$9+1,1))-AVERAGE(OFFSET($H$3,0,0,'Données projet'!$E$9+1,1))</f>
        <v>317.54276561627643</v>
      </c>
      <c r="T54" s="62">
        <f t="shared" si="34"/>
        <v>238.92443174298893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6.8</v>
      </c>
      <c r="AI54" s="14">
        <f>IF('Données projet'!$A$62&gt;35,AI53+AH54-AQ53,IF(A54&lt;'Données projet'!$A$62,$AF$205^A54,IF(A54='Données projet'!$A$62,'Données projet'!$B$62,AI53+AH54-AQ53)))</f>
        <v>187.79999999999998</v>
      </c>
      <c r="AJ54" s="14">
        <f>AI54*VLOOKUP('Données projet'!$B$10,Paramètres!$A$1:$I$89,3,0)*VLOOKUP('Données projet'!$B$10,Paramètres!$A$1:$I$89,5,0)</f>
        <v>164.06208000000001</v>
      </c>
      <c r="AK54" s="14">
        <f t="shared" si="35"/>
        <v>41.75738773013461</v>
      </c>
      <c r="AL54" s="22">
        <f t="shared" si="4"/>
        <v>358.46890629665108</v>
      </c>
      <c r="AM54" s="62">
        <f t="shared" si="5"/>
        <v>651.80223962998434</v>
      </c>
      <c r="AN54" s="62">
        <f ca="1">AVERAGE(OFFSET($AM$3,0,0,'Données projet'!$E$10+1,1))-AVERAGE(OFFSET($H$3,0,0,'Données projet'!$E$10+1,1))</f>
        <v>327.826081588335</v>
      </c>
      <c r="AO54" s="62">
        <f t="shared" si="36"/>
        <v>348.84706693879735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4.0548230753230206</v>
      </c>
      <c r="AV54" s="23">
        <f>EXP(-LN(2)/25)*AV53+(1-EXP(-LN(2)/25))/(LN(2)/25)*Calculateur!AQ54*Calculateur!AS54*VLOOKUP('Données projet'!$B$10,Paramètres!$A$1:$I$89,3,0)*0.475*44/12</f>
        <v>7.6643054770823111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11.719128552405332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10.199999999999999</v>
      </c>
      <c r="BD54" s="13">
        <f>IF('Données projet'!$A$88&gt;35,BD53+BC54-BL53,IF(A54&lt;'Données projet'!$A$88,$BA$205^A54,IF(A54='Données projet'!$A$88,'Données projet'!$B$88,BD53+BC54-BL53)))</f>
        <v>213.20000000000002</v>
      </c>
      <c r="BE54" s="14">
        <f>BD54*VLOOKUP('Données projet'!$B$11,Paramètres!$A$1:$I$89,3,0)*VLOOKUP('Données projet'!$B$11,Paramètres!$A$1:$I$89,5,0)</f>
        <v>216.18480000000002</v>
      </c>
      <c r="BF54" s="14">
        <f t="shared" si="37"/>
        <v>53.284828478170375</v>
      </c>
      <c r="BG54" s="22">
        <f t="shared" si="7"/>
        <v>469.3262695994801</v>
      </c>
      <c r="BH54" s="62">
        <f t="shared" si="8"/>
        <v>762.65960293281341</v>
      </c>
      <c r="BI54" s="62">
        <f ca="1">AVERAGE(OFFSET($BH$3,0,0,'Données projet'!$E$11+1,1))-AVERAGE(OFFSET($H$3,0,0,'Données projet'!$E$11+1,1))</f>
        <v>487.04124684635974</v>
      </c>
      <c r="BJ54" s="62">
        <f t="shared" si="38"/>
        <v>306.61893266146666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1.7808344587567322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1.7808344587567322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10.199999999999999</v>
      </c>
      <c r="BY54" s="13">
        <f>IF('Données projet'!$A$114&gt;35,BY53+BX54-CG53,IF(A54&lt;'Données projet'!$A$114,$BV$205^A54,IF(A54='Données projet'!$A$114,'Données projet'!$B$114,BY53+BX54-CG53)))</f>
        <v>213.20000000000002</v>
      </c>
      <c r="BZ54" s="14">
        <f>BY54*VLOOKUP('Données projet'!$B$12,Paramètres!$A$1:$I$89,3,0)*VLOOKUP('Données projet'!$B$12,Paramètres!$A$1:$I$89,5,0)</f>
        <v>192.90336000000002</v>
      </c>
      <c r="CA54" s="14">
        <f t="shared" si="39"/>
        <v>48.181276881765257</v>
      </c>
      <c r="CB54" s="22">
        <f t="shared" si="10"/>
        <v>419.88907590240791</v>
      </c>
      <c r="CC54" s="62">
        <f t="shared" si="11"/>
        <v>713.22240923574122</v>
      </c>
      <c r="CD54" s="62">
        <f ca="1">AVERAGE(OFFSET($CC$3,0,0,'Données projet'!$E$12+1,1))-AVERAGE(OFFSET($H$3,0,0,'Données projet'!$E$12+1,1))</f>
        <v>439.06700232017681</v>
      </c>
      <c r="CE54" s="62">
        <f t="shared" si="40"/>
        <v>278.21741231699929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1.5890522862752376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1.5890522862752376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7.4</v>
      </c>
      <c r="CT54" s="13">
        <f>IF('Données projet'!$A$140&gt;35,CT53+CS54-DB53,IF(A54&lt;'Données projet'!$A$140,$CQ$205^A54,IF(A54='Données projet'!$A$140,'Données projet'!$B$140,CT53+CS54-DB53)))</f>
        <v>248.39999999999998</v>
      </c>
      <c r="CU54" s="18">
        <f>CT54*VLOOKUP('Données projet'!$B$13,Paramètres!$A$1:$I$89,3,0)*VLOOKUP('Données projet'!$B$13,Paramètres!$A$1:$I$89,5,0)</f>
        <v>182.12687999999997</v>
      </c>
      <c r="CV54" s="14">
        <f t="shared" si="41"/>
        <v>45.795053793403618</v>
      </c>
      <c r="CW54" s="22">
        <f t="shared" si="13"/>
        <v>396.96403469017787</v>
      </c>
      <c r="CX54" s="62">
        <f t="shared" si="14"/>
        <v>690.29736802351113</v>
      </c>
      <c r="CY54" s="62">
        <f ca="1">AVERAGE(OFFSET($CX$3,0,0,'Données projet'!$E$13+1,1))-AVERAGE(OFFSET($H$3,0,0,'Données projet'!$E$13+1,1))</f>
        <v>327.81662150328646</v>
      </c>
      <c r="CZ54" s="62">
        <f t="shared" si="42"/>
        <v>320.24200483294322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1.3204120976269045</v>
      </c>
      <c r="DG54" s="23">
        <f>EXP(-LN(2)/25)*DG53+(1-EXP(-LN(2)/25))/(LN(2)/25)*Calculateur!DB54*Calculateur!DD54*VLOOKUP('Données projet'!$B$13,Paramètres!$A$1:$I$89,3,0)*0.475*44/12</f>
        <v>0</v>
      </c>
      <c r="DH54" s="23">
        <f>EXP(-LN(2)/2)*DH53+(1-EXP(-LN(2)/2))/(LN(2)/2)*DB54*DE54*VLOOKUP('Données projet'!$B$13,Paramètres!$A$1:$I$89,3,0)*0.475*44/12</f>
        <v>0</v>
      </c>
      <c r="DI54" s="24">
        <f t="shared" si="15"/>
        <v>1.3204120976269045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5.8</v>
      </c>
      <c r="DO54" s="13">
        <f>IF('Données projet'!$A$166&gt;35,DO53+DN54-DW53,IF(A54&lt;'Données projet'!$A$166,$DL$205^A54,IF(A54='Données projet'!$A$166,'Données projet'!$B$166,DO53+DN54-DW53)))</f>
        <v>147.80000000000013</v>
      </c>
      <c r="DP54" s="18">
        <f>DO54*VLOOKUP('Données projet'!$B$14,Paramètres!$A$1:$I$89,3,0)*VLOOKUP('Données projet'!$B$14,Paramètres!$A$1:$I$89,5,0)</f>
        <v>96.838560000000086</v>
      </c>
      <c r="DQ54" s="14">
        <f t="shared" si="43"/>
        <v>26.207425681432216</v>
      </c>
      <c r="DR54" s="22">
        <f t="shared" si="16"/>
        <v>214.3050917284946</v>
      </c>
      <c r="DS54" s="62">
        <f t="shared" si="17"/>
        <v>507.63842506182789</v>
      </c>
      <c r="DT54" s="62">
        <f ca="1">AVERAGE(OFFSET($DS$3,0,0,'Données projet'!$E$14+1,1))-AVERAGE(OFFSET($H$3,0,0,'Données projet'!$E$14+1,1))</f>
        <v>210.08998695869161</v>
      </c>
      <c r="DU54" s="62">
        <f t="shared" si="44"/>
        <v>207.30911916430881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>
        <f>EXP(-LN(2)/35)*EA53+(1-EXP(-LN(2)/35))/(LN(2)/35)*DW54*DX54*VLOOKUP('Données projet'!$B$14,Paramètres!$A$1:$I$89,3,0)*0.475*44/12</f>
        <v>0.30341384371001184</v>
      </c>
      <c r="EB54" s="23">
        <f>EXP(-LN(2)/25)*EB53+(1-EXP(-LN(2)/25))/(LN(2)/25)*Calculateur!DW54*Calculateur!DY54*VLOOKUP('Données projet'!$B$14,Paramètres!$A$1:$I$89,3,0)*0.475*44/12</f>
        <v>0</v>
      </c>
      <c r="EC54" s="23">
        <f>EXP(-LN(2)/2)*EC53+(1-EXP(-LN(2)/2))/(LN(2)/2)*DW54*DZ54*VLOOKUP('Données projet'!$B$14,Paramètres!$A$1:$I$89,3,0)*0.475*44/12</f>
        <v>0</v>
      </c>
      <c r="ED54" s="24">
        <f t="shared" si="18"/>
        <v>0.30341384371001184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10.375</v>
      </c>
      <c r="EJ54" s="13">
        <f>IF('Données projet'!$A$192&gt;35,EJ53+EI54-ER53,IF(A54&lt;'Données projet'!$A$192,$EG$205^A54,IF(A54='Données projet'!$A$192,'Données projet'!$B$192,EJ53+EI54-ER53)))</f>
        <v>259.62499999999989</v>
      </c>
      <c r="EK54" s="18">
        <f>EJ54*VLOOKUP('Données projet'!$B$15,Paramètres!$A$1:$I$89,3,0)*VLOOKUP('Données projet'!$B$15,Paramètres!$A$1:$I$89,5,0)</f>
        <v>202.50749999999991</v>
      </c>
      <c r="EL54" s="14">
        <f t="shared" si="45"/>
        <v>50.294840086606349</v>
      </c>
      <c r="EM54" s="22">
        <f t="shared" si="19"/>
        <v>440.29740898417253</v>
      </c>
      <c r="EN54" s="62">
        <f t="shared" si="20"/>
        <v>733.63074231750579</v>
      </c>
      <c r="EO54" s="62">
        <f ca="1">AVERAGE(OFFSET($EN$3,0,0,'Données projet'!$E$15+1,1))-AVERAGE(OFFSET($H$3,0,0,'Données projet'!$E$15+1,1))</f>
        <v>288.82868507674738</v>
      </c>
      <c r="EP54" s="62">
        <f t="shared" si="46"/>
        <v>283.48738729114024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>
        <f>EXP(-LN(2)/35)*EV53+(1-EXP(-LN(2)/35))/(LN(2)/35)*ER54*ES54*VLOOKUP('Données projet'!$B$15,Paramètres!$A$1:$I$89,3,0)*0.475*44/12</f>
        <v>1.1964144397988901</v>
      </c>
      <c r="EW54" s="23">
        <f>EXP(-LN(2)/25)*EW53+(1-EXP(-LN(2)/25))/(LN(2)/25)*Calculateur!ER54*Calculateur!ET54*VLOOKUP('Données projet'!$B$15,Paramètres!$A$1:$I$89,3,0)*0.475*44/12</f>
        <v>0</v>
      </c>
      <c r="EX54" s="23">
        <f>EXP(-LN(2)/2)*EX53+(1-EXP(-LN(2)/2))/(LN(2)/2)*ER54*EU54*VLOOKUP('Données projet'!$B$15,Paramètres!$A$1:$I$89,3,0)*0.475*44/12</f>
        <v>0</v>
      </c>
      <c r="EY54" s="24">
        <f t="shared" si="21"/>
        <v>1.1964144397988901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17</v>
      </c>
      <c r="N55" s="14">
        <f>IF('Données projet'!$A$36&gt;35,N54+M55-V54,IF(A55&lt;'Données projet'!$A$36,$K$205^A55,IF(A55='Données projet'!$A$36,'Données projet'!$B$36,N54+M55-V54)))</f>
        <v>311.99999999999989</v>
      </c>
      <c r="O55" s="14">
        <f>N55*VLOOKUP('Données projet'!$B$9,Paramètres!$A$1:$I$89,3,0)*VLOOKUP('Données projet'!$B$9,Paramètres!$A$1:$I$89,5,0)</f>
        <v>146.01599999999993</v>
      </c>
      <c r="P55" s="14">
        <f t="shared" si="33"/>
        <v>37.671793767891103</v>
      </c>
      <c r="Q55" s="22">
        <f t="shared" si="53"/>
        <v>319.92290747907685</v>
      </c>
      <c r="R55" s="62">
        <f t="shared" si="0"/>
        <v>613.25624081241017</v>
      </c>
      <c r="S55" s="62">
        <f ca="1">AVERAGE(OFFSET($R$3,0,0,'Données projet'!$E$9+1,1))-AVERAGE(OFFSET($H$3,0,0,'Données projet'!$E$9+1,1))</f>
        <v>317.54276561627643</v>
      </c>
      <c r="T55" s="62">
        <f t="shared" si="34"/>
        <v>238.92443174298893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6.8</v>
      </c>
      <c r="AI55" s="14">
        <f>IF('Données projet'!$A$62&gt;35,AI54+AH55-AQ54,IF(A55&lt;'Données projet'!$A$62,$AF$205^A55,IF(A55='Données projet'!$A$62,'Données projet'!$B$62,AI54+AH55-AQ54)))</f>
        <v>194.6</v>
      </c>
      <c r="AJ55" s="14">
        <f>AI55*VLOOKUP('Données projet'!$B$10,Paramètres!$A$1:$I$89,3,0)*VLOOKUP('Données projet'!$B$10,Paramètres!$A$1:$I$89,5,0)</f>
        <v>170.00256000000002</v>
      </c>
      <c r="AK55" s="14">
        <f t="shared" si="35"/>
        <v>43.090596939649579</v>
      </c>
      <c r="AL55" s="22">
        <f t="shared" si="4"/>
        <v>371.1372483365563</v>
      </c>
      <c r="AM55" s="62">
        <f t="shared" si="5"/>
        <v>664.47058166988961</v>
      </c>
      <c r="AN55" s="62">
        <f ca="1">AVERAGE(OFFSET($AM$3,0,0,'Données projet'!$E$10+1,1))-AVERAGE(OFFSET($H$3,0,0,'Données projet'!$E$10+1,1))</f>
        <v>327.826081588335</v>
      </c>
      <c r="AO55" s="62">
        <f t="shared" si="36"/>
        <v>348.84706693879735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3.9753104680138041</v>
      </c>
      <c r="AV55" s="23">
        <f>EXP(-LN(2)/25)*AV54+(1-EXP(-LN(2)/25))/(LN(2)/25)*Calculateur!AQ55*Calculateur!AS55*VLOOKUP('Données projet'!$B$10,Paramètres!$A$1:$I$89,3,0)*0.475*44/12</f>
        <v>7.4547246407631871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11.430035108776991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10.199999999999999</v>
      </c>
      <c r="BD55" s="13">
        <f>IF('Données projet'!$A$88&gt;35,BD54+BC55-BL54,IF(A55&lt;'Données projet'!$A$88,$BA$205^A55,IF(A55='Données projet'!$A$88,'Données projet'!$B$88,BD54+BC55-BL54)))</f>
        <v>223.4</v>
      </c>
      <c r="BE55" s="14">
        <f>BD55*VLOOKUP('Données projet'!$B$11,Paramètres!$A$1:$I$89,3,0)*VLOOKUP('Données projet'!$B$11,Paramètres!$A$1:$I$89,5,0)</f>
        <v>226.52760000000001</v>
      </c>
      <c r="BF55" s="14">
        <f t="shared" si="37"/>
        <v>55.531204013656371</v>
      </c>
      <c r="BG55" s="22">
        <f t="shared" si="7"/>
        <v>491.25241699045142</v>
      </c>
      <c r="BH55" s="62">
        <f t="shared" si="8"/>
        <v>784.58575032378474</v>
      </c>
      <c r="BI55" s="62">
        <f ca="1">AVERAGE(OFFSET($BH$3,0,0,'Données projet'!$E$11+1,1))-AVERAGE(OFFSET($H$3,0,0,'Données projet'!$E$11+1,1))</f>
        <v>487.04124684635974</v>
      </c>
      <c r="BJ55" s="62">
        <f t="shared" si="38"/>
        <v>306.61893266146666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1.7459133812222789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1.7459133812222789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10.199999999999999</v>
      </c>
      <c r="BY55" s="13">
        <f>IF('Données projet'!$A$114&gt;35,BY54+BX55-CG54,IF(A55&lt;'Données projet'!$A$114,$BV$205^A55,IF(A55='Données projet'!$A$114,'Données projet'!$B$114,BY54+BX55-CG54)))</f>
        <v>223.4</v>
      </c>
      <c r="BZ55" s="14">
        <f>BY55*VLOOKUP('Données projet'!$B$12,Paramètres!$A$1:$I$89,3,0)*VLOOKUP('Données projet'!$B$12,Paramètres!$A$1:$I$89,5,0)</f>
        <v>202.13232000000002</v>
      </c>
      <c r="CA55" s="14">
        <f t="shared" si="39"/>
        <v>50.212497488959627</v>
      </c>
      <c r="CB55" s="22">
        <f t="shared" si="10"/>
        <v>439.50055712660469</v>
      </c>
      <c r="CC55" s="62">
        <f t="shared" si="11"/>
        <v>732.83389045993795</v>
      </c>
      <c r="CD55" s="62">
        <f ca="1">AVERAGE(OFFSET($CC$3,0,0,'Données projet'!$E$12+1,1))-AVERAGE(OFFSET($H$3,0,0,'Données projet'!$E$12+1,1))</f>
        <v>439.06700232017681</v>
      </c>
      <c r="CE55" s="62">
        <f t="shared" si="40"/>
        <v>278.21741231699929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1.5578919401675717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1.5578919401675717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7.4</v>
      </c>
      <c r="CT55" s="13">
        <f>IF('Données projet'!$A$140&gt;35,CT54+CS55-DB54,IF(A55&lt;'Données projet'!$A$140,$CQ$205^A55,IF(A55='Données projet'!$A$140,'Données projet'!$B$140,CT54+CS55-DB54)))</f>
        <v>255.79999999999998</v>
      </c>
      <c r="CU55" s="18">
        <f>CT55*VLOOKUP('Données projet'!$B$13,Paramètres!$A$1:$I$89,3,0)*VLOOKUP('Données projet'!$B$13,Paramètres!$A$1:$I$89,5,0)</f>
        <v>187.55255999999997</v>
      </c>
      <c r="CV55" s="14">
        <f t="shared" si="41"/>
        <v>46.998451005954564</v>
      </c>
      <c r="CW55" s="22">
        <f t="shared" si="13"/>
        <v>408.50967750203745</v>
      </c>
      <c r="CX55" s="62">
        <f t="shared" si="14"/>
        <v>701.84301083537071</v>
      </c>
      <c r="CY55" s="62">
        <f ca="1">AVERAGE(OFFSET($CX$3,0,0,'Données projet'!$E$13+1,1))-AVERAGE(OFFSET($H$3,0,0,'Données projet'!$E$13+1,1))</f>
        <v>327.81662150328646</v>
      </c>
      <c r="CZ55" s="62">
        <f t="shared" si="42"/>
        <v>320.24200483294322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1.2945196217642965</v>
      </c>
      <c r="DG55" s="23">
        <f>EXP(-LN(2)/25)*DG54+(1-EXP(-LN(2)/25))/(LN(2)/25)*Calculateur!DB55*Calculateur!DD55*VLOOKUP('Données projet'!$B$13,Paramètres!$A$1:$I$89,3,0)*0.475*44/12</f>
        <v>0</v>
      </c>
      <c r="DH55" s="23">
        <f>EXP(-LN(2)/2)*DH54+(1-EXP(-LN(2)/2))/(LN(2)/2)*DB55*DE55*VLOOKUP('Données projet'!$B$13,Paramètres!$A$1:$I$89,3,0)*0.475*44/12</f>
        <v>0</v>
      </c>
      <c r="DI55" s="24">
        <f t="shared" si="15"/>
        <v>1.2945196217642965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5.8</v>
      </c>
      <c r="DO55" s="13">
        <f>IF('Données projet'!$A$166&gt;35,DO54+DN55-DW54,IF(A55&lt;'Données projet'!$A$166,$DL$205^A55,IF(A55='Données projet'!$A$166,'Données projet'!$B$166,DO54+DN55-DW54)))</f>
        <v>153.60000000000014</v>
      </c>
      <c r="DP55" s="18">
        <f>DO55*VLOOKUP('Données projet'!$B$14,Paramètres!$A$1:$I$89,3,0)*VLOOKUP('Données projet'!$B$14,Paramètres!$A$1:$I$89,5,0)</f>
        <v>100.63872000000009</v>
      </c>
      <c r="DQ55" s="14">
        <f t="shared" si="43"/>
        <v>27.114107349094599</v>
      </c>
      <c r="DR55" s="22">
        <f t="shared" si="16"/>
        <v>222.50284096633993</v>
      </c>
      <c r="DS55" s="62">
        <f t="shared" si="17"/>
        <v>515.8361742996733</v>
      </c>
      <c r="DT55" s="62">
        <f ca="1">AVERAGE(OFFSET($DS$3,0,0,'Données projet'!$E$14+1,1))-AVERAGE(OFFSET($H$3,0,0,'Données projet'!$E$14+1,1))</f>
        <v>210.08998695869161</v>
      </c>
      <c r="DU55" s="62">
        <f t="shared" si="44"/>
        <v>207.30911916430881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>
        <f>EXP(-LN(2)/35)*EA54+(1-EXP(-LN(2)/35))/(LN(2)/35)*DW55*DX55*VLOOKUP('Données projet'!$B$14,Paramètres!$A$1:$I$89,3,0)*0.475*44/12</f>
        <v>0.29746408329902962</v>
      </c>
      <c r="EB55" s="23">
        <f>EXP(-LN(2)/25)*EB54+(1-EXP(-LN(2)/25))/(LN(2)/25)*Calculateur!DW55*Calculateur!DY55*VLOOKUP('Données projet'!$B$14,Paramètres!$A$1:$I$89,3,0)*0.475*44/12</f>
        <v>0</v>
      </c>
      <c r="EC55" s="23">
        <f>EXP(-LN(2)/2)*EC54+(1-EXP(-LN(2)/2))/(LN(2)/2)*DW55*DZ55*VLOOKUP('Données projet'!$B$14,Paramètres!$A$1:$I$89,3,0)*0.475*44/12</f>
        <v>0</v>
      </c>
      <c r="ED55" s="24">
        <f t="shared" si="18"/>
        <v>0.29746408329902962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>
        <f>VLOOKUP(A55,'Données projet'!$A$191:$I$211,2,0)</f>
        <v>270</v>
      </c>
      <c r="EH55" s="13">
        <f>VLOOKUP(A55,'Données projet'!$A$191:$I$211,9,0)</f>
        <v>10.375</v>
      </c>
      <c r="EI55" s="13">
        <f t="array" ref="EI55">INDEX(EH:EH,MIN(IF(ISNUMBER(EH55:EH251),ROW(EH55:EH251),"")))</f>
        <v>10.375</v>
      </c>
      <c r="EJ55" s="13">
        <f>IF('Données projet'!$A$192&gt;35,EJ54+EI55-ER54,IF(A55&lt;'Données projet'!$A$192,$EG$205^A55,IF(A55='Données projet'!$A$192,'Données projet'!$B$192,EJ54+EI55-ER54)))</f>
        <v>269.99999999999989</v>
      </c>
      <c r="EK55" s="18">
        <f>EJ55*VLOOKUP('Données projet'!$B$15,Paramètres!$A$1:$I$89,3,0)*VLOOKUP('Données projet'!$B$15,Paramètres!$A$1:$I$89,5,0)</f>
        <v>210.59999999999991</v>
      </c>
      <c r="EL55" s="14">
        <f t="shared" si="45"/>
        <v>52.066679014659961</v>
      </c>
      <c r="EM55" s="22">
        <f t="shared" si="19"/>
        <v>457.47779928386586</v>
      </c>
      <c r="EN55" s="62">
        <f t="shared" si="20"/>
        <v>750.81113261719918</v>
      </c>
      <c r="EO55" s="62">
        <f ca="1">AVERAGE(OFFSET($EN$3,0,0,'Données projet'!$E$15+1,1))-AVERAGE(OFFSET($H$3,0,0,'Données projet'!$E$15+1,1))</f>
        <v>288.82868507674738</v>
      </c>
      <c r="EP55" s="62">
        <f t="shared" si="46"/>
        <v>283.48738729114024</v>
      </c>
      <c r="EQ55" s="16">
        <f>IF(ISNA(VLOOKUP(A55,'Données projet'!$A$191:$I$211,3,0)),0,VLOOKUP(A55,'Données projet'!$A$191:$I$211,3,0))</f>
        <v>7</v>
      </c>
      <c r="ER55" s="16">
        <f>IF(ISNA(VLOOKUP(A55,'Données projet'!$A$191:$I$211,4,0)),0,VLOOKUP(A55,'Données projet'!$A$191:$I$211,4,0))</f>
        <v>48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>
        <f>EXP(-LN(2)/35)*EV54+(1-EXP(-LN(2)/35))/(LN(2)/35)*ER55*ES55*VLOOKUP('Données projet'!$B$15,Paramètres!$A$1:$I$89,3,0)*0.475*44/12</f>
        <v>1.1729534823751862</v>
      </c>
      <c r="EW55" s="23">
        <f>EXP(-LN(2)/25)*EW54+(1-EXP(-LN(2)/25))/(LN(2)/25)*Calculateur!ER55*Calculateur!ET55*VLOOKUP('Données projet'!$B$15,Paramètres!$A$1:$I$89,3,0)*0.475*44/12</f>
        <v>0</v>
      </c>
      <c r="EX55" s="23">
        <f>EXP(-LN(2)/2)*EX54+(1-EXP(-LN(2)/2))/(LN(2)/2)*ER55*EU55*VLOOKUP('Données projet'!$B$15,Paramètres!$A$1:$I$89,3,0)*0.475*44/12</f>
        <v>0</v>
      </c>
      <c r="EY55" s="24">
        <f t="shared" si="21"/>
        <v>1.1729534823751862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17</v>
      </c>
      <c r="N56" s="14">
        <f>IF('Données projet'!$A$36&gt;35,N55+M56-V55,IF(A56&lt;'Données projet'!$A$36,$K$205^A56,IF(A56='Données projet'!$A$36,'Données projet'!$B$36,N55+M56-V55)))</f>
        <v>328.99999999999989</v>
      </c>
      <c r="O56" s="14">
        <f>N56*VLOOKUP('Données projet'!$B$9,Paramètres!$A$1:$I$89,3,0)*VLOOKUP('Données projet'!$B$9,Paramètres!$A$1:$I$89,5,0)</f>
        <v>153.97199999999995</v>
      </c>
      <c r="P56" s="14">
        <f t="shared" si="33"/>
        <v>39.479859284656378</v>
      </c>
      <c r="Q56" s="22">
        <f t="shared" si="53"/>
        <v>336.92865492077641</v>
      </c>
      <c r="R56" s="62">
        <f t="shared" si="0"/>
        <v>630.26198825410972</v>
      </c>
      <c r="S56" s="62">
        <f ca="1">AVERAGE(OFFSET($R$3,0,0,'Données projet'!$E$9+1,1))-AVERAGE(OFFSET($H$3,0,0,'Données projet'!$E$9+1,1))</f>
        <v>317.54276561627643</v>
      </c>
      <c r="T56" s="62">
        <f t="shared" si="34"/>
        <v>238.92443174298893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6.8</v>
      </c>
      <c r="AI56" s="14">
        <f>IF('Données projet'!$A$62&gt;35,AI55+AH56-AQ55,IF(A56&lt;'Données projet'!$A$62,$AF$205^A56,IF(A56='Données projet'!$A$62,'Données projet'!$B$62,AI55+AH56-AQ55)))</f>
        <v>201.4</v>
      </c>
      <c r="AJ56" s="14">
        <f>AI56*VLOOKUP('Données projet'!$B$10,Paramètres!$A$1:$I$89,3,0)*VLOOKUP('Données projet'!$B$10,Paramètres!$A$1:$I$89,5,0)</f>
        <v>175.94304000000002</v>
      </c>
      <c r="AK56" s="14">
        <f t="shared" si="35"/>
        <v>44.418393276556458</v>
      </c>
      <c r="AL56" s="22">
        <f t="shared" si="4"/>
        <v>383.79616295666915</v>
      </c>
      <c r="AM56" s="62">
        <f t="shared" si="5"/>
        <v>677.12949629000241</v>
      </c>
      <c r="AN56" s="62">
        <f ca="1">AVERAGE(OFFSET($AM$3,0,0,'Données projet'!$E$10+1,1))-AVERAGE(OFFSET($H$3,0,0,'Données projet'!$E$10+1,1))</f>
        <v>327.826081588335</v>
      </c>
      <c r="AO56" s="62">
        <f t="shared" si="36"/>
        <v>348.84706693879735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3.8973570544360197</v>
      </c>
      <c r="AV56" s="23">
        <f>EXP(-LN(2)/25)*AV55+(1-EXP(-LN(2)/25))/(LN(2)/25)*Calculateur!AQ56*Calculateur!AS56*VLOOKUP('Données projet'!$B$10,Paramètres!$A$1:$I$89,3,0)*0.475*44/12</f>
        <v>7.2508748034345869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11.148231857870606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10.199999999999999</v>
      </c>
      <c r="BD56" s="13">
        <f>IF('Données projet'!$A$88&gt;35,BD55+BC56-BL55,IF(A56&lt;'Données projet'!$A$88,$BA$205^A56,IF(A56='Données projet'!$A$88,'Données projet'!$B$88,BD55+BC56-BL55)))</f>
        <v>233.6</v>
      </c>
      <c r="BE56" s="14">
        <f>BD56*VLOOKUP('Données projet'!$B$11,Paramètres!$A$1:$I$89,3,0)*VLOOKUP('Données projet'!$B$11,Paramètres!$A$1:$I$89,5,0)</f>
        <v>236.87040000000002</v>
      </c>
      <c r="BF56" s="14">
        <f t="shared" si="37"/>
        <v>57.765668276484661</v>
      </c>
      <c r="BG56" s="22">
        <f t="shared" si="7"/>
        <v>513.15781891487757</v>
      </c>
      <c r="BH56" s="62">
        <f t="shared" si="8"/>
        <v>806.49115224821094</v>
      </c>
      <c r="BI56" s="62">
        <f ca="1">AVERAGE(OFFSET($BH$3,0,0,'Données projet'!$E$11+1,1))-AVERAGE(OFFSET($H$3,0,0,'Données projet'!$E$11+1,1))</f>
        <v>487.04124684635974</v>
      </c>
      <c r="BJ56" s="62">
        <f t="shared" si="38"/>
        <v>306.61893266146666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1.7116770847185223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1.7116770847185223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10.199999999999999</v>
      </c>
      <c r="BY56" s="13">
        <f>IF('Données projet'!$A$114&gt;35,BY55+BX56-CG55,IF(A56&lt;'Données projet'!$A$114,$BV$205^A56,IF(A56='Données projet'!$A$114,'Données projet'!$B$114,BY55+BX56-CG55)))</f>
        <v>233.6</v>
      </c>
      <c r="BZ56" s="14">
        <f>BY56*VLOOKUP('Données projet'!$B$12,Paramètres!$A$1:$I$89,3,0)*VLOOKUP('Données projet'!$B$12,Paramètres!$A$1:$I$89,5,0)</f>
        <v>211.36127999999999</v>
      </c>
      <c r="CA56" s="14">
        <f t="shared" si="39"/>
        <v>52.232947669705631</v>
      </c>
      <c r="CB56" s="22">
        <f t="shared" si="10"/>
        <v>459.09327985807062</v>
      </c>
      <c r="CC56" s="62">
        <f t="shared" si="11"/>
        <v>752.42661319140393</v>
      </c>
      <c r="CD56" s="62">
        <f ca="1">AVERAGE(OFFSET($CC$3,0,0,'Données projet'!$E$12+1,1))-AVERAGE(OFFSET($H$3,0,0,'Données projet'!$E$12+1,1))</f>
        <v>439.06700232017681</v>
      </c>
      <c r="CE56" s="62">
        <f t="shared" si="40"/>
        <v>278.21741231699929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1.5273426294411427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1.5273426294411427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7.4</v>
      </c>
      <c r="CT56" s="13">
        <f>IF('Données projet'!$A$140&gt;35,CT55+CS56-DB55,IF(A56&lt;'Données projet'!$A$140,$CQ$205^A56,IF(A56='Données projet'!$A$140,'Données projet'!$B$140,CT55+CS56-DB55)))</f>
        <v>263.2</v>
      </c>
      <c r="CU56" s="18">
        <f>CT56*VLOOKUP('Données projet'!$B$13,Paramètres!$A$1:$I$89,3,0)*VLOOKUP('Données projet'!$B$13,Paramètres!$A$1:$I$89,5,0)</f>
        <v>192.97824</v>
      </c>
      <c r="CV56" s="14">
        <f t="shared" si="41"/>
        <v>48.197802215761044</v>
      </c>
      <c r="CW56" s="22">
        <f t="shared" si="13"/>
        <v>420.04827352578377</v>
      </c>
      <c r="CX56" s="62">
        <f t="shared" si="14"/>
        <v>713.38160685911703</v>
      </c>
      <c r="CY56" s="62">
        <f ca="1">AVERAGE(OFFSET($CX$3,0,0,'Données projet'!$E$13+1,1))-AVERAGE(OFFSET($H$3,0,0,'Données projet'!$E$13+1,1))</f>
        <v>327.81662150328646</v>
      </c>
      <c r="CZ56" s="62">
        <f t="shared" si="42"/>
        <v>320.24200483294322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1.2691348815605035</v>
      </c>
      <c r="DG56" s="23">
        <f>EXP(-LN(2)/25)*DG55+(1-EXP(-LN(2)/25))/(LN(2)/25)*Calculateur!DB56*Calculateur!DD56*VLOOKUP('Données projet'!$B$13,Paramètres!$A$1:$I$89,3,0)*0.475*44/12</f>
        <v>0</v>
      </c>
      <c r="DH56" s="23">
        <f>EXP(-LN(2)/2)*DH55+(1-EXP(-LN(2)/2))/(LN(2)/2)*DB56*DE56*VLOOKUP('Données projet'!$B$13,Paramètres!$A$1:$I$89,3,0)*0.475*44/12</f>
        <v>0</v>
      </c>
      <c r="DI56" s="24">
        <f t="shared" si="15"/>
        <v>1.2691348815605035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5.8</v>
      </c>
      <c r="DO56" s="13">
        <f>IF('Données projet'!$A$166&gt;35,DO55+DN56-DW55,IF(A56&lt;'Données projet'!$A$166,$DL$205^A56,IF(A56='Données projet'!$A$166,'Données projet'!$B$166,DO55+DN56-DW55)))</f>
        <v>159.40000000000015</v>
      </c>
      <c r="DP56" s="18">
        <f>DO56*VLOOKUP('Données projet'!$B$14,Paramètres!$A$1:$I$89,3,0)*VLOOKUP('Données projet'!$B$14,Paramètres!$A$1:$I$89,5,0)</f>
        <v>104.4388800000001</v>
      </c>
      <c r="DQ56" s="14">
        <f t="shared" si="43"/>
        <v>28.016811614305542</v>
      </c>
      <c r="DR56" s="22">
        <f t="shared" si="16"/>
        <v>230.69366289491563</v>
      </c>
      <c r="DS56" s="62">
        <f t="shared" si="17"/>
        <v>524.02699622824889</v>
      </c>
      <c r="DT56" s="62">
        <f ca="1">AVERAGE(OFFSET($DS$3,0,0,'Données projet'!$E$14+1,1))-AVERAGE(OFFSET($H$3,0,0,'Données projet'!$E$14+1,1))</f>
        <v>210.08998695869161</v>
      </c>
      <c r="DU56" s="62">
        <f t="shared" si="44"/>
        <v>207.30911916430881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>
        <f>EXP(-LN(2)/35)*EA55+(1-EXP(-LN(2)/35))/(LN(2)/35)*DW56*DX56*VLOOKUP('Données projet'!$B$14,Paramètres!$A$1:$I$89,3,0)*0.475*44/12</f>
        <v>0.29163099406071125</v>
      </c>
      <c r="EB56" s="23">
        <f>EXP(-LN(2)/25)*EB55+(1-EXP(-LN(2)/25))/(LN(2)/25)*Calculateur!DW56*Calculateur!DY56*VLOOKUP('Données projet'!$B$14,Paramètres!$A$1:$I$89,3,0)*0.475*44/12</f>
        <v>0</v>
      </c>
      <c r="EC56" s="23">
        <f>EXP(-LN(2)/2)*EC55+(1-EXP(-LN(2)/2))/(LN(2)/2)*DW56*DZ56*VLOOKUP('Données projet'!$B$14,Paramètres!$A$1:$I$89,3,0)*0.475*44/12</f>
        <v>0</v>
      </c>
      <c r="ED56" s="24">
        <f t="shared" si="18"/>
        <v>0.29163099406071125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9.375</v>
      </c>
      <c r="EJ56" s="13">
        <f>IF('Données projet'!$A$192&gt;35,EJ55+EI56-ER55,IF(A56&lt;'Données projet'!$A$192,$EG$205^A56,IF(A56='Données projet'!$A$192,'Données projet'!$B$192,EJ55+EI56-ER55)))</f>
        <v>231.37499999999989</v>
      </c>
      <c r="EK56" s="18">
        <f>EJ56*VLOOKUP('Données projet'!$B$15,Paramètres!$A$1:$I$89,3,0)*VLOOKUP('Données projet'!$B$15,Paramètres!$A$1:$I$89,5,0)</f>
        <v>180.47249999999991</v>
      </c>
      <c r="EL56" s="14">
        <f t="shared" si="45"/>
        <v>45.427292666837829</v>
      </c>
      <c r="EM56" s="22">
        <f t="shared" si="19"/>
        <v>393.44213889474241</v>
      </c>
      <c r="EN56" s="62">
        <f t="shared" si="20"/>
        <v>686.77547222807573</v>
      </c>
      <c r="EO56" s="62">
        <f ca="1">AVERAGE(OFFSET($EN$3,0,0,'Données projet'!$E$15+1,1))-AVERAGE(OFFSET($H$3,0,0,'Données projet'!$E$15+1,1))</f>
        <v>288.82868507674738</v>
      </c>
      <c r="EP56" s="62">
        <f t="shared" si="46"/>
        <v>283.48738729114024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>
        <f>EXP(-LN(2)/35)*EV55+(1-EXP(-LN(2)/35))/(LN(2)/35)*ER56*ES56*VLOOKUP('Données projet'!$B$15,Paramètres!$A$1:$I$89,3,0)*0.475*44/12</f>
        <v>1.14995258001679</v>
      </c>
      <c r="EW56" s="23">
        <f>EXP(-LN(2)/25)*EW55+(1-EXP(-LN(2)/25))/(LN(2)/25)*Calculateur!ER56*Calculateur!ET56*VLOOKUP('Données projet'!$B$15,Paramètres!$A$1:$I$89,3,0)*0.475*44/12</f>
        <v>0</v>
      </c>
      <c r="EX56" s="23">
        <f>EXP(-LN(2)/2)*EX55+(1-EXP(-LN(2)/2))/(LN(2)/2)*ER56*EU56*VLOOKUP('Données projet'!$B$15,Paramètres!$A$1:$I$89,3,0)*0.475*44/12</f>
        <v>0</v>
      </c>
      <c r="EY56" s="24">
        <f t="shared" si="21"/>
        <v>1.14995258001679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17</v>
      </c>
      <c r="N57" s="14">
        <f>IF('Données projet'!$A$36&gt;35,N56+M57-V56,IF(A57&lt;'Données projet'!$A$36,$K$205^A57,IF(A57='Données projet'!$A$36,'Données projet'!$B$36,N56+M57-V56)))</f>
        <v>345.99999999999989</v>
      </c>
      <c r="O57" s="14">
        <f>N57*VLOOKUP('Données projet'!$B$9,Paramètres!$A$1:$I$89,3,0)*VLOOKUP('Données projet'!$B$9,Paramètres!$A$1:$I$89,5,0)</f>
        <v>161.92799999999994</v>
      </c>
      <c r="P57" s="14">
        <f t="shared" si="33"/>
        <v>41.277077571585316</v>
      </c>
      <c r="Q57" s="22">
        <f t="shared" si="53"/>
        <v>353.91551010384433</v>
      </c>
      <c r="R57" s="62">
        <f t="shared" si="0"/>
        <v>647.24884343717758</v>
      </c>
      <c r="S57" s="62">
        <f ca="1">AVERAGE(OFFSET($R$3,0,0,'Données projet'!$E$9+1,1))-AVERAGE(OFFSET($H$3,0,0,'Données projet'!$E$9+1,1))</f>
        <v>317.54276561627643</v>
      </c>
      <c r="T57" s="62">
        <f t="shared" si="34"/>
        <v>238.92443174298893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6.8</v>
      </c>
      <c r="AI57" s="14">
        <f>IF('Données projet'!$A$62&gt;35,AI56+AH57-AQ56,IF(A57&lt;'Données projet'!$A$62,$AF$205^A57,IF(A57='Données projet'!$A$62,'Données projet'!$B$62,AI56+AH57-AQ56)))</f>
        <v>208.20000000000002</v>
      </c>
      <c r="AJ57" s="14">
        <f>AI57*VLOOKUP('Données projet'!$B$10,Paramètres!$A$1:$I$89,3,0)*VLOOKUP('Données projet'!$B$10,Paramètres!$A$1:$I$89,5,0)</f>
        <v>181.88352000000006</v>
      </c>
      <c r="AK57" s="14">
        <f t="shared" si="35"/>
        <v>45.74098045051349</v>
      </c>
      <c r="AL57" s="22">
        <f t="shared" si="4"/>
        <v>396.44600495131112</v>
      </c>
      <c r="AM57" s="62">
        <f t="shared" si="5"/>
        <v>689.77933828464438</v>
      </c>
      <c r="AN57" s="62">
        <f ca="1">AVERAGE(OFFSET($AM$3,0,0,'Données projet'!$E$10+1,1))-AVERAGE(OFFSET($H$3,0,0,'Données projet'!$E$10+1,1))</f>
        <v>327.826081588335</v>
      </c>
      <c r="AO57" s="62">
        <f t="shared" si="36"/>
        <v>348.84706693879735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3.8209322597516082</v>
      </c>
      <c r="AV57" s="23">
        <f>EXP(-LN(2)/25)*AV56+(1-EXP(-LN(2)/25))/(LN(2)/25)*Calculateur!AQ57*Calculateur!AS57*VLOOKUP('Données projet'!$B$10,Paramètres!$A$1:$I$89,3,0)*0.475*44/12</f>
        <v>7.0525992506277344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10.873531510379342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10.199999999999999</v>
      </c>
      <c r="BD57" s="13">
        <f>IF('Données projet'!$A$88&gt;35,BD56+BC57-BL56,IF(A57&lt;'Données projet'!$A$88,$BA$205^A57,IF(A57='Données projet'!$A$88,'Données projet'!$B$88,BD56+BC57-BL56)))</f>
        <v>243.79999999999998</v>
      </c>
      <c r="BE57" s="14">
        <f>BD57*VLOOKUP('Données projet'!$B$11,Paramètres!$A$1:$I$89,3,0)*VLOOKUP('Données projet'!$B$11,Paramètres!$A$1:$I$89,5,0)</f>
        <v>247.2132</v>
      </c>
      <c r="BF57" s="14">
        <f t="shared" si="37"/>
        <v>59.988800807398761</v>
      </c>
      <c r="BG57" s="22">
        <f t="shared" si="7"/>
        <v>535.04348473955281</v>
      </c>
      <c r="BH57" s="62">
        <f t="shared" si="8"/>
        <v>828.37681807288618</v>
      </c>
      <c r="BI57" s="62">
        <f ca="1">AVERAGE(OFFSET($BH$3,0,0,'Données projet'!$E$11+1,1))-AVERAGE(OFFSET($H$3,0,0,'Données projet'!$E$11+1,1))</f>
        <v>487.04124684635974</v>
      </c>
      <c r="BJ57" s="62">
        <f t="shared" si="38"/>
        <v>306.61893266146666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1.6781121411071254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1.6781121411071254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10.199999999999999</v>
      </c>
      <c r="BY57" s="13">
        <f>IF('Données projet'!$A$114&gt;35,BY56+BX57-CG56,IF(A57&lt;'Données projet'!$A$114,$BV$205^A57,IF(A57='Données projet'!$A$114,'Données projet'!$B$114,BY56+BX57-CG56)))</f>
        <v>243.79999999999998</v>
      </c>
      <c r="BZ57" s="14">
        <f>BY57*VLOOKUP('Données projet'!$B$12,Paramètres!$A$1:$I$89,3,0)*VLOOKUP('Données projet'!$B$12,Paramètres!$A$1:$I$89,5,0)</f>
        <v>220.59023999999997</v>
      </c>
      <c r="CA57" s="14">
        <f t="shared" si="39"/>
        <v>54.24315145708789</v>
      </c>
      <c r="CB57" s="22">
        <f t="shared" si="10"/>
        <v>478.66815678776129</v>
      </c>
      <c r="CC57" s="62">
        <f t="shared" si="11"/>
        <v>772.00149012109455</v>
      </c>
      <c r="CD57" s="62">
        <f ca="1">AVERAGE(OFFSET($CC$3,0,0,'Données projet'!$E$12+1,1))-AVERAGE(OFFSET($H$3,0,0,'Données projet'!$E$12+1,1))</f>
        <v>439.06700232017681</v>
      </c>
      <c r="CE57" s="62">
        <f t="shared" si="40"/>
        <v>278.21741231699929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1.4973923720648192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1.4973923720648192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7.4</v>
      </c>
      <c r="CT57" s="13">
        <f>IF('Données projet'!$A$140&gt;35,CT56+CS57-DB56,IF(A57&lt;'Données projet'!$A$140,$CQ$205^A57,IF(A57='Données projet'!$A$140,'Données projet'!$B$140,CT56+CS57-DB56)))</f>
        <v>270.59999999999997</v>
      </c>
      <c r="CU57" s="18">
        <f>CT57*VLOOKUP('Données projet'!$B$13,Paramètres!$A$1:$I$89,3,0)*VLOOKUP('Données projet'!$B$13,Paramètres!$A$1:$I$89,5,0)</f>
        <v>198.40391999999997</v>
      </c>
      <c r="CV57" s="14">
        <f t="shared" si="41"/>
        <v>49.393234245618814</v>
      </c>
      <c r="CW57" s="22">
        <f t="shared" si="13"/>
        <v>431.5800436444527</v>
      </c>
      <c r="CX57" s="62">
        <f t="shared" si="14"/>
        <v>724.91337697778602</v>
      </c>
      <c r="CY57" s="62">
        <f ca="1">AVERAGE(OFFSET($CX$3,0,0,'Données projet'!$E$13+1,1))-AVERAGE(OFFSET($H$3,0,0,'Données projet'!$E$13+1,1))</f>
        <v>327.81662150328646</v>
      </c>
      <c r="CZ57" s="62">
        <f t="shared" si="42"/>
        <v>320.24200483294322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1.2442479206289441</v>
      </c>
      <c r="DG57" s="23">
        <f>EXP(-LN(2)/25)*DG56+(1-EXP(-LN(2)/25))/(LN(2)/25)*Calculateur!DB57*Calculateur!DD57*VLOOKUP('Données projet'!$B$13,Paramètres!$A$1:$I$89,3,0)*0.475*44/12</f>
        <v>0</v>
      </c>
      <c r="DH57" s="23">
        <f>EXP(-LN(2)/2)*DH56+(1-EXP(-LN(2)/2))/(LN(2)/2)*DB57*DE57*VLOOKUP('Données projet'!$B$13,Paramètres!$A$1:$I$89,3,0)*0.475*44/12</f>
        <v>0</v>
      </c>
      <c r="DI57" s="24">
        <f t="shared" si="15"/>
        <v>1.2442479206289441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5.8</v>
      </c>
      <c r="DO57" s="13">
        <f>IF('Données projet'!$A$166&gt;35,DO56+DN57-DW56,IF(A57&lt;'Données projet'!$A$166,$DL$205^A57,IF(A57='Données projet'!$A$166,'Données projet'!$B$166,DO56+DN57-DW56)))</f>
        <v>165.20000000000016</v>
      </c>
      <c r="DP57" s="18">
        <f>DO57*VLOOKUP('Données projet'!$B$14,Paramètres!$A$1:$I$89,3,0)*VLOOKUP('Données projet'!$B$14,Paramètres!$A$1:$I$89,5,0)</f>
        <v>108.23904000000009</v>
      </c>
      <c r="DQ57" s="14">
        <f t="shared" si="43"/>
        <v>28.91569977717025</v>
      </c>
      <c r="DR57" s="22">
        <f t="shared" si="16"/>
        <v>238.87783844523832</v>
      </c>
      <c r="DS57" s="62">
        <f t="shared" si="17"/>
        <v>532.21117177857161</v>
      </c>
      <c r="DT57" s="62">
        <f ca="1">AVERAGE(OFFSET($DS$3,0,0,'Données projet'!$E$14+1,1))-AVERAGE(OFFSET($H$3,0,0,'Données projet'!$E$14+1,1))</f>
        <v>210.08998695869161</v>
      </c>
      <c r="DU57" s="62">
        <f t="shared" si="44"/>
        <v>207.30911916430881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>
        <f>EXP(-LN(2)/35)*EA56+(1-EXP(-LN(2)/35))/(LN(2)/35)*DW57*DX57*VLOOKUP('Données projet'!$B$14,Paramètres!$A$1:$I$89,3,0)*0.475*44/12</f>
        <v>0.28591228814452313</v>
      </c>
      <c r="EB57" s="23">
        <f>EXP(-LN(2)/25)*EB56+(1-EXP(-LN(2)/25))/(LN(2)/25)*Calculateur!DW57*Calculateur!DY57*VLOOKUP('Données projet'!$B$14,Paramètres!$A$1:$I$89,3,0)*0.475*44/12</f>
        <v>0</v>
      </c>
      <c r="EC57" s="23">
        <f>EXP(-LN(2)/2)*EC56+(1-EXP(-LN(2)/2))/(LN(2)/2)*DW57*DZ57*VLOOKUP('Données projet'!$B$14,Paramètres!$A$1:$I$89,3,0)*0.475*44/12</f>
        <v>0</v>
      </c>
      <c r="ED57" s="24">
        <f t="shared" si="18"/>
        <v>0.28591228814452313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9.375</v>
      </c>
      <c r="EJ57" s="13">
        <f>IF('Données projet'!$A$192&gt;35,EJ56+EI57-ER56,IF(A57&lt;'Données projet'!$A$192,$EG$205^A57,IF(A57='Données projet'!$A$192,'Données projet'!$B$192,EJ56+EI57-ER56)))</f>
        <v>240.74999999999989</v>
      </c>
      <c r="EK57" s="18">
        <f>EJ57*VLOOKUP('Données projet'!$B$15,Paramètres!$A$1:$I$89,3,0)*VLOOKUP('Données projet'!$B$15,Paramètres!$A$1:$I$89,5,0)</f>
        <v>187.78499999999991</v>
      </c>
      <c r="EL57" s="14">
        <f t="shared" si="45"/>
        <v>47.049914090154054</v>
      </c>
      <c r="EM57" s="22">
        <f t="shared" si="19"/>
        <v>409.0041420403515</v>
      </c>
      <c r="EN57" s="62">
        <f t="shared" si="20"/>
        <v>702.33747537368481</v>
      </c>
      <c r="EO57" s="62">
        <f ca="1">AVERAGE(OFFSET($EN$3,0,0,'Données projet'!$E$15+1,1))-AVERAGE(OFFSET($H$3,0,0,'Données projet'!$E$15+1,1))</f>
        <v>288.82868507674738</v>
      </c>
      <c r="EP57" s="62">
        <f t="shared" si="46"/>
        <v>283.48738729114024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>
        <f>EXP(-LN(2)/35)*EV56+(1-EXP(-LN(2)/35))/(LN(2)/35)*ER57*ES57*VLOOKUP('Données projet'!$B$15,Paramètres!$A$1:$I$89,3,0)*0.475*44/12</f>
        <v>1.1274027113244769</v>
      </c>
      <c r="EW57" s="23">
        <f>EXP(-LN(2)/25)*EW56+(1-EXP(-LN(2)/25))/(LN(2)/25)*Calculateur!ER57*Calculateur!ET57*VLOOKUP('Données projet'!$B$15,Paramètres!$A$1:$I$89,3,0)*0.475*44/12</f>
        <v>0</v>
      </c>
      <c r="EX57" s="23">
        <f>EXP(-LN(2)/2)*EX56+(1-EXP(-LN(2)/2))/(LN(2)/2)*ER57*EU57*VLOOKUP('Données projet'!$B$15,Paramètres!$A$1:$I$89,3,0)*0.475*44/12</f>
        <v>0</v>
      </c>
      <c r="EY57" s="24">
        <f t="shared" si="21"/>
        <v>1.1274027113244769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17</v>
      </c>
      <c r="N58" s="14">
        <f>IF('Données projet'!$A$36&gt;35,N57+M58-V57,IF(A58&lt;'Données projet'!$A$36,$K$205^A58,IF(A58='Données projet'!$A$36,'Données projet'!$B$36,N57+M58-V57)))</f>
        <v>362.99999999999989</v>
      </c>
      <c r="O58" s="14">
        <f>N58*VLOOKUP('Données projet'!$B$9,Paramètres!$A$1:$I$89,3,0)*VLOOKUP('Données projet'!$B$9,Paramètres!$A$1:$I$89,5,0)</f>
        <v>169.88399999999993</v>
      </c>
      <c r="P58" s="14">
        <f t="shared" si="33"/>
        <v>43.064042412117296</v>
      </c>
      <c r="Q58" s="22">
        <f t="shared" si="53"/>
        <v>370.8845072011041</v>
      </c>
      <c r="R58" s="62">
        <f t="shared" si="0"/>
        <v>664.21784053443741</v>
      </c>
      <c r="S58" s="62">
        <f ca="1">AVERAGE(OFFSET($R$3,0,0,'Données projet'!$E$9+1,1))-AVERAGE(OFFSET($H$3,0,0,'Données projet'!$E$9+1,1))</f>
        <v>317.54276561627643</v>
      </c>
      <c r="T58" s="62">
        <f t="shared" si="34"/>
        <v>238.92443174298893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215</v>
      </c>
      <c r="AG58" s="13">
        <f>VLOOKUP(A58,'Données projet'!$A$61:$I$81,9,0)</f>
        <v>6.8</v>
      </c>
      <c r="AH58" s="13">
        <f t="array" ref="AH58">INDEX(AG:AG,MIN(IF(ISNUMBER(AG58:AG254),ROW(AG58:AG254),"")))</f>
        <v>6.8</v>
      </c>
      <c r="AI58" s="14">
        <f>IF('Données projet'!$A$62&gt;35,AI57+AH58-AQ57,IF(A58&lt;'Données projet'!$A$62,$AF$205^A58,IF(A58='Données projet'!$A$62,'Données projet'!$B$62,AI57+AH58-AQ57)))</f>
        <v>215.00000000000003</v>
      </c>
      <c r="AJ58" s="14">
        <f>AI58*VLOOKUP('Données projet'!$B$10,Paramètres!$A$1:$I$89,3,0)*VLOOKUP('Données projet'!$B$10,Paramètres!$A$1:$I$89,5,0)</f>
        <v>187.82400000000007</v>
      </c>
      <c r="AK58" s="14">
        <f t="shared" si="35"/>
        <v>47.05854810918273</v>
      </c>
      <c r="AL58" s="22">
        <f t="shared" si="4"/>
        <v>409.08710462349336</v>
      </c>
      <c r="AM58" s="62">
        <f t="shared" si="5"/>
        <v>702.42043795682662</v>
      </c>
      <c r="AN58" s="62">
        <f ca="1">AVERAGE(OFFSET($AM$3,0,0,'Données projet'!$E$10+1,1))-AVERAGE(OFFSET($H$3,0,0,'Données projet'!$E$10+1,1))</f>
        <v>327.826081588335</v>
      </c>
      <c r="AO58" s="62">
        <f t="shared" si="36"/>
        <v>348.84706693879735</v>
      </c>
      <c r="AP58" s="16">
        <f>IF(ISNA(VLOOKUP(A58,'Données projet'!$A$61:$I$81,3,0)),0,VLOOKUP(A58,'Données projet'!$A$61:$I$81,3,0))</f>
        <v>8</v>
      </c>
      <c r="AQ58" s="16">
        <f>IF(ISNA(VLOOKUP(A58,'Données projet'!$A$61:$I$81,4,0)),0,VLOOKUP(A58,'Données projet'!$A$61:$I$81,4,0))</f>
        <v>25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3.7460061086764362</v>
      </c>
      <c r="AV58" s="23">
        <f>EXP(-LN(2)/25)*AV57+(1-EXP(-LN(2)/25))/(LN(2)/25)*Calculateur!AQ58*Calculateur!AS58*VLOOKUP('Données projet'!$B$10,Paramètres!$A$1:$I$89,3,0)*0.475*44/12</f>
        <v>6.8597455532392431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10.605751661915679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254</v>
      </c>
      <c r="BB58" s="13">
        <f>VLOOKUP(A58,'Données projet'!$A$87:$I$107,9,0)</f>
        <v>10.199999999999999</v>
      </c>
      <c r="BC58" s="13">
        <f t="array" ref="BC58">INDEX(BB:BB,MIN(IF(ISNUMBER(BB58:BB254),ROW(BB58:BB254),"")))</f>
        <v>10.199999999999999</v>
      </c>
      <c r="BD58" s="13">
        <f>IF('Données projet'!$A$88&gt;35,BD57+BC58-BL57,IF(A58&lt;'Données projet'!$A$88,$BA$205^A58,IF(A58='Données projet'!$A$88,'Données projet'!$B$88,BD57+BC58-BL57)))</f>
        <v>253.99999999999997</v>
      </c>
      <c r="BE58" s="14">
        <f>BD58*VLOOKUP('Données projet'!$B$11,Paramètres!$A$1:$I$89,3,0)*VLOOKUP('Données projet'!$B$11,Paramètres!$A$1:$I$89,5,0)</f>
        <v>257.55599999999998</v>
      </c>
      <c r="BF58" s="14">
        <f t="shared" si="37"/>
        <v>62.201129910568184</v>
      </c>
      <c r="BG58" s="22">
        <f t="shared" si="7"/>
        <v>556.91033459423954</v>
      </c>
      <c r="BH58" s="62">
        <f t="shared" si="8"/>
        <v>850.24366792757291</v>
      </c>
      <c r="BI58" s="62">
        <f ca="1">AVERAGE(OFFSET($BH$3,0,0,'Données projet'!$E$11+1,1))-AVERAGE(OFFSET($H$3,0,0,'Données projet'!$E$11+1,1))</f>
        <v>487.04124684635974</v>
      </c>
      <c r="BJ58" s="62">
        <f t="shared" si="38"/>
        <v>306.61893266146666</v>
      </c>
      <c r="BK58" s="16">
        <f>IF(ISNA(VLOOKUP(A58,'Données projet'!$A$87:$I$107,3,0)),0,VLOOKUP(A58,'Données projet'!$A$87:$I$107,3,0))</f>
        <v>8</v>
      </c>
      <c r="BL58" s="16">
        <f>IF(ISNA(VLOOKUP(A58,'Données projet'!$A$87:$I$107,4,0)),0,VLOOKUP(A58,'Données projet'!$A$87:$I$107,4,0))</f>
        <v>28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1.6452053855673539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1.6452053855673539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>
        <f>VLOOKUP(A58,'Données projet'!$A$113:$I$133,2,0)</f>
        <v>254</v>
      </c>
      <c r="BW58" s="13">
        <f>VLOOKUP(A58,'Données projet'!$A$113:$I$133,9,0)</f>
        <v>10.199999999999999</v>
      </c>
      <c r="BX58" s="13">
        <f t="array" ref="BX58">INDEX(BW:BW,MIN(IF(ISNUMBER(BW58:BW254),ROW(BW58:BW254),"")))</f>
        <v>10.199999999999999</v>
      </c>
      <c r="BY58" s="13">
        <f>IF('Données projet'!$A$114&gt;35,BY57+BX58-CG57,IF(A58&lt;'Données projet'!$A$114,$BV$205^A58,IF(A58='Données projet'!$A$114,'Données projet'!$B$114,BY57+BX58-CG57)))</f>
        <v>253.99999999999997</v>
      </c>
      <c r="BZ58" s="14">
        <f>BY58*VLOOKUP('Données projet'!$B$12,Paramètres!$A$1:$I$89,3,0)*VLOOKUP('Données projet'!$B$12,Paramètres!$A$1:$I$89,5,0)</f>
        <v>229.81919999999997</v>
      </c>
      <c r="CA58" s="14">
        <f t="shared" si="39"/>
        <v>56.243586554989342</v>
      </c>
      <c r="CB58" s="22">
        <f t="shared" si="10"/>
        <v>498.22601991660639</v>
      </c>
      <c r="CC58" s="62">
        <f t="shared" si="11"/>
        <v>791.5593532499397</v>
      </c>
      <c r="CD58" s="62">
        <f ca="1">AVERAGE(OFFSET($CC$3,0,0,'Données projet'!$E$12+1,1))-AVERAGE(OFFSET($H$3,0,0,'Données projet'!$E$12+1,1))</f>
        <v>439.06700232017681</v>
      </c>
      <c r="CE58" s="62">
        <f t="shared" si="40"/>
        <v>278.21741231699929</v>
      </c>
      <c r="CF58" s="16">
        <f>IF(ISNA(VLOOKUP(A58,'Données projet'!$A$113:$I$133,3,0)),0,VLOOKUP(A58,'Données projet'!$A$113:$I$133,3,0))</f>
        <v>8</v>
      </c>
      <c r="CG58" s="16">
        <f>IF(ISNA(VLOOKUP(A58,'Données projet'!$A$113:$I$133,4,0)),0,VLOOKUP(A58,'Données projet'!$A$113:$I$133,4,0))</f>
        <v>28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1.4680294209677922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1.4680294209677922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>
        <f>VLOOKUP(A58,'Données projet'!$A$139:$I$159,2,0)</f>
        <v>278</v>
      </c>
      <c r="CR58" s="13">
        <f>VLOOKUP(A58,'Données projet'!$A$139:$I$159,9,0)</f>
        <v>7.4</v>
      </c>
      <c r="CS58" s="13">
        <f t="array" ref="CS58">INDEX(CR:CR,MIN(IF(ISNUMBER(CR58:CR254),ROW(CR58:CR254),"")))</f>
        <v>7.4</v>
      </c>
      <c r="CT58" s="13">
        <f>IF('Données projet'!$A$140&gt;35,CT57+CS58-DB57,IF(A58&lt;'Données projet'!$A$140,$CQ$205^A58,IF(A58='Données projet'!$A$140,'Données projet'!$B$140,CT57+CS58-DB57)))</f>
        <v>277.99999999999994</v>
      </c>
      <c r="CU58" s="18">
        <f>CT58*VLOOKUP('Données projet'!$B$13,Paramètres!$A$1:$I$89,3,0)*VLOOKUP('Données projet'!$B$13,Paramètres!$A$1:$I$89,5,0)</f>
        <v>203.82959999999997</v>
      </c>
      <c r="CV58" s="14">
        <f t="shared" si="41"/>
        <v>50.584866587182425</v>
      </c>
      <c r="CW58" s="22">
        <f t="shared" si="13"/>
        <v>443.10519597267603</v>
      </c>
      <c r="CX58" s="62">
        <f t="shared" si="14"/>
        <v>736.43852930600929</v>
      </c>
      <c r="CY58" s="62">
        <f ca="1">AVERAGE(OFFSET($CX$3,0,0,'Données projet'!$E$13+1,1))-AVERAGE(OFFSET($H$3,0,0,'Données projet'!$E$13+1,1))</f>
        <v>327.81662150328646</v>
      </c>
      <c r="CZ58" s="62">
        <f t="shared" si="42"/>
        <v>320.24200483294322</v>
      </c>
      <c r="DA58" s="16">
        <f>IF(ISNA(VLOOKUP(A58,'Données projet'!$A$139:$I$159,3,0)),0,VLOOKUP(A58,'Données projet'!$A$139:$I$159,3,0))</f>
        <v>10</v>
      </c>
      <c r="DB58" s="16">
        <f>IF(ISNA(VLOOKUP(A58,'Données projet'!$A$139:$I$159,4,0)),0,VLOOKUP(A58,'Données projet'!$A$139:$I$159,4,0))</f>
        <v>16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1.2198489778217052</v>
      </c>
      <c r="DG58" s="23">
        <f>EXP(-LN(2)/25)*DG57+(1-EXP(-LN(2)/25))/(LN(2)/25)*Calculateur!DB58*Calculateur!DD58*VLOOKUP('Données projet'!$B$13,Paramètres!$A$1:$I$89,3,0)*0.475*44/12</f>
        <v>0</v>
      </c>
      <c r="DH58" s="23">
        <f>EXP(-LN(2)/2)*DH57+(1-EXP(-LN(2)/2))/(LN(2)/2)*DB58*DE58*VLOOKUP('Données projet'!$B$13,Paramètres!$A$1:$I$89,3,0)*0.475*44/12</f>
        <v>0</v>
      </c>
      <c r="DI58" s="24">
        <f t="shared" si="15"/>
        <v>1.2198489778217052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>
        <f>VLOOKUP(A58,'Données projet'!$A$165:$I$185,2,0)</f>
        <v>171</v>
      </c>
      <c r="DM58" s="13">
        <f>VLOOKUP(A58,'Données projet'!$A$165:$I$185,9,0)</f>
        <v>5.8</v>
      </c>
      <c r="DN58" s="13">
        <f t="array" ref="DN58">INDEX(DM:DM,MIN(IF(ISNUMBER(DM58:DM254),ROW(DM58:DM254),"")))</f>
        <v>5.8</v>
      </c>
      <c r="DO58" s="13">
        <f>IF('Données projet'!$A$166&gt;35,DO57+DN58-DW57,IF(A58&lt;'Données projet'!$A$166,$DL$205^A58,IF(A58='Données projet'!$A$166,'Données projet'!$B$166,DO57+DN58-DW57)))</f>
        <v>171.00000000000017</v>
      </c>
      <c r="DP58" s="18">
        <f>DO58*VLOOKUP('Données projet'!$B$14,Paramètres!$A$1:$I$89,3,0)*VLOOKUP('Données projet'!$B$14,Paramètres!$A$1:$I$89,5,0)</f>
        <v>112.03920000000011</v>
      </c>
      <c r="DQ58" s="14">
        <f t="shared" si="43"/>
        <v>29.810921169420226</v>
      </c>
      <c r="DR58" s="22">
        <f t="shared" si="16"/>
        <v>247.05562770340705</v>
      </c>
      <c r="DS58" s="62">
        <f t="shared" si="17"/>
        <v>540.3889610367404</v>
      </c>
      <c r="DT58" s="62">
        <f ca="1">AVERAGE(OFFSET($DS$3,0,0,'Données projet'!$E$14+1,1))-AVERAGE(OFFSET($H$3,0,0,'Données projet'!$E$14+1,1))</f>
        <v>210.08998695869161</v>
      </c>
      <c r="DU58" s="62">
        <f t="shared" si="44"/>
        <v>207.30911916430881</v>
      </c>
      <c r="DV58" s="16">
        <f>IF(ISNA(VLOOKUP(A58,'Données projet'!$A$165:$I$185,3,0)),0,VLOOKUP(A58,'Données projet'!$A$165:$I$185,3,0))</f>
        <v>10</v>
      </c>
      <c r="DW58" s="16">
        <f>IF(ISNA(VLOOKUP(A58,'Données projet'!$A$165:$I$185,4,0)),0,VLOOKUP(A58,'Données projet'!$A$165:$I$185,4,0))</f>
        <v>20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>
        <f>EXP(-LN(2)/35)*EA57+(1-EXP(-LN(2)/35))/(LN(2)/35)*DW58*DX58*VLOOKUP('Données projet'!$B$14,Paramètres!$A$1:$I$89,3,0)*0.475*44/12</f>
        <v>0.28030572256328529</v>
      </c>
      <c r="EB58" s="23">
        <f>EXP(-LN(2)/25)*EB57+(1-EXP(-LN(2)/25))/(LN(2)/25)*Calculateur!DW58*Calculateur!DY58*VLOOKUP('Données projet'!$B$14,Paramètres!$A$1:$I$89,3,0)*0.475*44/12</f>
        <v>0</v>
      </c>
      <c r="EC58" s="23">
        <f>EXP(-LN(2)/2)*EC57+(1-EXP(-LN(2)/2))/(LN(2)/2)*DW58*DZ58*VLOOKUP('Données projet'!$B$14,Paramètres!$A$1:$I$89,3,0)*0.475*44/12</f>
        <v>0</v>
      </c>
      <c r="ED58" s="24">
        <f t="shared" si="18"/>
        <v>0.28030572256328529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9.375</v>
      </c>
      <c r="EJ58" s="13">
        <f>IF('Données projet'!$A$192&gt;35,EJ57+EI58-ER57,IF(A58&lt;'Données projet'!$A$192,$EG$205^A58,IF(A58='Données projet'!$A$192,'Données projet'!$B$192,EJ57+EI58-ER57)))</f>
        <v>250.12499999999989</v>
      </c>
      <c r="EK58" s="18">
        <f>EJ58*VLOOKUP('Données projet'!$B$15,Paramètres!$A$1:$I$89,3,0)*VLOOKUP('Données projet'!$B$15,Paramètres!$A$1:$I$89,5,0)</f>
        <v>195.09749999999991</v>
      </c>
      <c r="EL58" s="14">
        <f t="shared" si="45"/>
        <v>48.66519532492579</v>
      </c>
      <c r="EM58" s="22">
        <f t="shared" si="19"/>
        <v>424.55336102424553</v>
      </c>
      <c r="EN58" s="62">
        <f t="shared" si="20"/>
        <v>717.88669435757879</v>
      </c>
      <c r="EO58" s="62">
        <f ca="1">AVERAGE(OFFSET($EN$3,0,0,'Données projet'!$E$15+1,1))-AVERAGE(OFFSET($H$3,0,0,'Données projet'!$E$15+1,1))</f>
        <v>288.82868507674738</v>
      </c>
      <c r="EP58" s="62">
        <f t="shared" si="46"/>
        <v>283.48738729114024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>
        <f>EXP(-LN(2)/35)*EV57+(1-EXP(-LN(2)/35))/(LN(2)/35)*ER58*ES58*VLOOKUP('Données projet'!$B$15,Paramètres!$A$1:$I$89,3,0)*0.475*44/12</f>
        <v>1.1052950318031582</v>
      </c>
      <c r="EW58" s="23">
        <f>EXP(-LN(2)/25)*EW57+(1-EXP(-LN(2)/25))/(LN(2)/25)*Calculateur!ER58*Calculateur!ET58*VLOOKUP('Données projet'!$B$15,Paramètres!$A$1:$I$89,3,0)*0.475*44/12</f>
        <v>0</v>
      </c>
      <c r="EX58" s="23">
        <f>EXP(-LN(2)/2)*EX57+(1-EXP(-LN(2)/2))/(LN(2)/2)*ER58*EU58*VLOOKUP('Données projet'!$B$15,Paramètres!$A$1:$I$89,3,0)*0.475*44/12</f>
        <v>0</v>
      </c>
      <c r="EY58" s="24">
        <f t="shared" si="21"/>
        <v>1.1052950318031582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>
        <f>VLOOKUP(A59,'Données projet'!$A$35:$I$55,2,0)</f>
        <v>380</v>
      </c>
      <c r="L59" s="13">
        <f>VLOOKUP(A59,'Données projet'!$A$35:$I$55,9,0)</f>
        <v>17</v>
      </c>
      <c r="M59" s="13">
        <f t="array" ref="M59">INDEX(L:L,MIN(IF(ISNUMBER(L59:L255),ROW(L59:L255),"")))</f>
        <v>17</v>
      </c>
      <c r="N59" s="14">
        <f>IF('Données projet'!$A$36&gt;35,N58+M59-V58,IF(A59&lt;'Données projet'!$A$36,$K$205^A59,IF(A59='Données projet'!$A$36,'Données projet'!$B$36,N58+M59-V58)))</f>
        <v>379.99999999999989</v>
      </c>
      <c r="O59" s="14">
        <f>N59*VLOOKUP('Données projet'!$B$9,Paramètres!$A$1:$I$89,3,0)*VLOOKUP('Données projet'!$B$9,Paramètres!$A$1:$I$89,5,0)</f>
        <v>177.83999999999995</v>
      </c>
      <c r="P59" s="14">
        <f t="shared" si="33"/>
        <v>44.841288830609102</v>
      </c>
      <c r="Q59" s="22">
        <f t="shared" si="53"/>
        <v>387.83657804664409</v>
      </c>
      <c r="R59" s="62">
        <f t="shared" si="0"/>
        <v>681.16991137997741</v>
      </c>
      <c r="S59" s="62">
        <f ca="1">AVERAGE(OFFSET($R$3,0,0,'Données projet'!$E$9+1,1))-AVERAGE(OFFSET($H$3,0,0,'Données projet'!$E$9+1,1))</f>
        <v>317.54276561627643</v>
      </c>
      <c r="T59" s="62">
        <f t="shared" si="34"/>
        <v>238.92443174298893</v>
      </c>
      <c r="U59" s="16">
        <f>IF(ISNA(VLOOKUP(A59,'Données projet'!$A$35:$I$55,3,0)),0,VLOOKUP(A59,'Données projet'!$A$35:$I$55,3,0))</f>
        <v>7</v>
      </c>
      <c r="V59" s="16">
        <f>IF(ISNA(VLOOKUP(A59,'Données projet'!$A$35:$I$55,4,0)),0,VLOOKUP(A59,'Données projet'!$A$35:$I$55,4,0))</f>
        <v>79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6</v>
      </c>
      <c r="AI59" s="14">
        <f>IF('Données projet'!$A$62&gt;35,AI58+AH59-AQ58,IF(A59&lt;'Données projet'!$A$62,$AF$205^A59,IF(A59='Données projet'!$A$62,'Données projet'!$B$62,AI58+AH59-AQ58)))</f>
        <v>196.00000000000003</v>
      </c>
      <c r="AJ59" s="14">
        <f>AI59*VLOOKUP('Données projet'!$B$10,Paramètres!$A$1:$I$89,3,0)*VLOOKUP('Données projet'!$B$10,Paramètres!$A$1:$I$89,5,0)</f>
        <v>171.22560000000004</v>
      </c>
      <c r="AK59" s="14">
        <f t="shared" si="35"/>
        <v>43.364402348589557</v>
      </c>
      <c r="AL59" s="22">
        <f t="shared" si="4"/>
        <v>373.74425409046017</v>
      </c>
      <c r="AM59" s="62">
        <f t="shared" si="5"/>
        <v>667.07758742379349</v>
      </c>
      <c r="AN59" s="62">
        <f ca="1">AVERAGE(OFFSET($AM$3,0,0,'Données projet'!$E$10+1,1))-AVERAGE(OFFSET($H$3,0,0,'Données projet'!$E$10+1,1))</f>
        <v>327.826081588335</v>
      </c>
      <c r="AO59" s="62">
        <f t="shared" si="36"/>
        <v>348.84706693879735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3.6725492137234088</v>
      </c>
      <c r="AV59" s="23">
        <f>EXP(-LN(2)/25)*AV58+(1-EXP(-LN(2)/25))/(LN(2)/25)*Calculateur!AQ59*Calculateur!AS59*VLOOKUP('Données projet'!$B$10,Paramètres!$A$1:$I$89,3,0)*0.475*44/12</f>
        <v>6.6721654503475758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10.344714664070985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9.4</v>
      </c>
      <c r="BD59" s="13">
        <f>IF('Données projet'!$A$88&gt;35,BD58+BC59-BL58,IF(A59&lt;'Données projet'!$A$88,$BA$205^A59,IF(A59='Données projet'!$A$88,'Données projet'!$B$88,BD58+BC59-BL58)))</f>
        <v>235.39999999999998</v>
      </c>
      <c r="BE59" s="14">
        <f>BD59*VLOOKUP('Données projet'!$B$11,Paramètres!$A$1:$I$89,3,0)*VLOOKUP('Données projet'!$B$11,Paramètres!$A$1:$I$89,5,0)</f>
        <v>238.69559999999998</v>
      </c>
      <c r="BF59" s="14">
        <f t="shared" si="37"/>
        <v>58.158793514165929</v>
      </c>
      <c r="BG59" s="22">
        <f t="shared" si="7"/>
        <v>517.02140203717238</v>
      </c>
      <c r="BH59" s="62">
        <f t="shared" si="8"/>
        <v>810.35473537050575</v>
      </c>
      <c r="BI59" s="62">
        <f ca="1">AVERAGE(OFFSET($BH$3,0,0,'Données projet'!$E$11+1,1))-AVERAGE(OFFSET($H$3,0,0,'Données projet'!$E$11+1,1))</f>
        <v>487.04124684635974</v>
      </c>
      <c r="BJ59" s="62">
        <f t="shared" si="38"/>
        <v>306.61893266146666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1.6129439114325781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1.6129439114325781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9.4</v>
      </c>
      <c r="BY59" s="13">
        <f>IF('Données projet'!$A$114&gt;35,BY58+BX59-CG58,IF(A59&lt;'Données projet'!$A$114,$BV$205^A59,IF(A59='Données projet'!$A$114,'Données projet'!$B$114,BY58+BX59-CG58)))</f>
        <v>235.39999999999998</v>
      </c>
      <c r="BZ59" s="14">
        <f>BY59*VLOOKUP('Données projet'!$B$12,Paramètres!$A$1:$I$89,3,0)*VLOOKUP('Données projet'!$B$12,Paramètres!$A$1:$I$89,5,0)</f>
        <v>212.98991999999998</v>
      </c>
      <c r="CA59" s="14">
        <f t="shared" si="39"/>
        <v>52.588419883221171</v>
      </c>
      <c r="CB59" s="22">
        <f t="shared" si="10"/>
        <v>462.54894196327677</v>
      </c>
      <c r="CC59" s="62">
        <f t="shared" si="11"/>
        <v>755.88227529661003</v>
      </c>
      <c r="CD59" s="62">
        <f ca="1">AVERAGE(OFFSET($CC$3,0,0,'Données projet'!$E$12+1,1))-AVERAGE(OFFSET($H$3,0,0,'Données projet'!$E$12+1,1))</f>
        <v>439.06700232017681</v>
      </c>
      <c r="CE59" s="62">
        <f t="shared" si="40"/>
        <v>278.21741231699929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1.4392422594321463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1.4392422594321463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6.4</v>
      </c>
      <c r="CT59" s="13">
        <f>IF('Données projet'!$A$140&gt;35,CT58+CS59-DB58,IF(A59&lt;'Données projet'!$A$140,$CQ$205^A59,IF(A59='Données projet'!$A$140,'Données projet'!$B$140,CT58+CS59-DB58)))</f>
        <v>268.39999999999992</v>
      </c>
      <c r="CU59" s="18">
        <f>CT59*VLOOKUP('Données projet'!$B$13,Paramètres!$A$1:$I$89,3,0)*VLOOKUP('Données projet'!$B$13,Paramètres!$A$1:$I$89,5,0)</f>
        <v>196.79087999999993</v>
      </c>
      <c r="CV59" s="14">
        <f t="shared" si="41"/>
        <v>49.038237696621778</v>
      </c>
      <c r="CW59" s="22">
        <f t="shared" si="13"/>
        <v>428.1523799882828</v>
      </c>
      <c r="CX59" s="62">
        <f t="shared" si="14"/>
        <v>721.48571332161612</v>
      </c>
      <c r="CY59" s="62">
        <f ca="1">AVERAGE(OFFSET($CX$3,0,0,'Données projet'!$E$13+1,1))-AVERAGE(OFFSET($H$3,0,0,'Données projet'!$E$13+1,1))</f>
        <v>327.81662150328646</v>
      </c>
      <c r="CZ59" s="62">
        <f t="shared" si="42"/>
        <v>320.24200483294322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1.1959284834010306</v>
      </c>
      <c r="DG59" s="23">
        <f>EXP(-LN(2)/25)*DG58+(1-EXP(-LN(2)/25))/(LN(2)/25)*Calculateur!DB59*Calculateur!DD59*VLOOKUP('Données projet'!$B$13,Paramètres!$A$1:$I$89,3,0)*0.475*44/12</f>
        <v>0</v>
      </c>
      <c r="DH59" s="23">
        <f>EXP(-LN(2)/2)*DH58+(1-EXP(-LN(2)/2))/(LN(2)/2)*DB59*DE59*VLOOKUP('Données projet'!$B$13,Paramètres!$A$1:$I$89,3,0)*0.475*44/12</f>
        <v>0</v>
      </c>
      <c r="DI59" s="24">
        <f t="shared" si="15"/>
        <v>1.1959284834010306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5.2</v>
      </c>
      <c r="DO59" s="13">
        <f>IF('Données projet'!$A$166&gt;35,DO58+DN59-DW58,IF(A59&lt;'Données projet'!$A$166,$DL$205^A59,IF(A59='Données projet'!$A$166,'Données projet'!$B$166,DO58+DN59-DW58)))</f>
        <v>156.20000000000016</v>
      </c>
      <c r="DP59" s="18">
        <f>DO59*VLOOKUP('Données projet'!$B$14,Paramètres!$A$1:$I$89,3,0)*VLOOKUP('Données projet'!$B$14,Paramètres!$A$1:$I$89,5,0)</f>
        <v>102.34224000000012</v>
      </c>
      <c r="DQ59" s="14">
        <f t="shared" si="43"/>
        <v>27.519249813625812</v>
      </c>
      <c r="DR59" s="22">
        <f t="shared" si="16"/>
        <v>226.17542809206512</v>
      </c>
      <c r="DS59" s="62">
        <f t="shared" si="17"/>
        <v>519.50876142539846</v>
      </c>
      <c r="DT59" s="62">
        <f ca="1">AVERAGE(OFFSET($DS$3,0,0,'Données projet'!$E$14+1,1))-AVERAGE(OFFSET($H$3,0,0,'Données projet'!$E$14+1,1))</f>
        <v>210.08998695869161</v>
      </c>
      <c r="DU59" s="62">
        <f t="shared" si="44"/>
        <v>207.30911916430881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>
        <f>EXP(-LN(2)/35)*EA58+(1-EXP(-LN(2)/35))/(LN(2)/35)*DW59*DX59*VLOOKUP('Données projet'!$B$14,Paramètres!$A$1:$I$89,3,0)*0.475*44/12</f>
        <v>0.2748090983134282</v>
      </c>
      <c r="EB59" s="23">
        <f>EXP(-LN(2)/25)*EB58+(1-EXP(-LN(2)/25))/(LN(2)/25)*Calculateur!DW59*Calculateur!DY59*VLOOKUP('Données projet'!$B$14,Paramètres!$A$1:$I$89,3,0)*0.475*44/12</f>
        <v>0</v>
      </c>
      <c r="EC59" s="23">
        <f>EXP(-LN(2)/2)*EC58+(1-EXP(-LN(2)/2))/(LN(2)/2)*DW59*DZ59*VLOOKUP('Données projet'!$B$14,Paramètres!$A$1:$I$89,3,0)*0.475*44/12</f>
        <v>0</v>
      </c>
      <c r="ED59" s="24">
        <f t="shared" si="18"/>
        <v>0.2748090983134282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9.375</v>
      </c>
      <c r="EJ59" s="13">
        <f>IF('Données projet'!$A$192&gt;35,EJ58+EI59-ER58,IF(A59&lt;'Données projet'!$A$192,$EG$205^A59,IF(A59='Données projet'!$A$192,'Données projet'!$B$192,EJ58+EI59-ER58)))</f>
        <v>259.49999999999989</v>
      </c>
      <c r="EK59" s="18">
        <f>EJ59*VLOOKUP('Données projet'!$B$15,Paramètres!$A$1:$I$89,3,0)*VLOOKUP('Données projet'!$B$15,Paramètres!$A$1:$I$89,5,0)</f>
        <v>202.40999999999991</v>
      </c>
      <c r="EL59" s="14">
        <f t="shared" si="45"/>
        <v>50.273442991661817</v>
      </c>
      <c r="EM59" s="22">
        <f t="shared" si="19"/>
        <v>440.09032987714414</v>
      </c>
      <c r="EN59" s="62">
        <f t="shared" si="20"/>
        <v>733.42366321047746</v>
      </c>
      <c r="EO59" s="62">
        <f ca="1">AVERAGE(OFFSET($EN$3,0,0,'Données projet'!$E$15+1,1))-AVERAGE(OFFSET($H$3,0,0,'Données projet'!$E$15+1,1))</f>
        <v>288.82868507674738</v>
      </c>
      <c r="EP59" s="62">
        <f t="shared" si="46"/>
        <v>283.48738729114024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>
        <f>EXP(-LN(2)/35)*EV58+(1-EXP(-LN(2)/35))/(LN(2)/35)*ER59*ES59*VLOOKUP('Données projet'!$B$15,Paramètres!$A$1:$I$89,3,0)*0.475*44/12</f>
        <v>1.0836208703928996</v>
      </c>
      <c r="EW59" s="23">
        <f>EXP(-LN(2)/25)*EW58+(1-EXP(-LN(2)/25))/(LN(2)/25)*Calculateur!ER59*Calculateur!ET59*VLOOKUP('Données projet'!$B$15,Paramètres!$A$1:$I$89,3,0)*0.475*44/12</f>
        <v>0</v>
      </c>
      <c r="EX59" s="23">
        <f>EXP(-LN(2)/2)*EX58+(1-EXP(-LN(2)/2))/(LN(2)/2)*ER59*EU59*VLOOKUP('Données projet'!$B$15,Paramètres!$A$1:$I$89,3,0)*0.475*44/12</f>
        <v>0</v>
      </c>
      <c r="EY59" s="24">
        <f t="shared" si="21"/>
        <v>1.0836208703928996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>
        <f>VLOOKUP(A60,'Données projet'!$A$35:$I$55,2,0)</f>
        <v>316</v>
      </c>
      <c r="L60" s="13">
        <f>VLOOKUP(A60,'Données projet'!$A$35:$I$55,9,0)</f>
        <v>15</v>
      </c>
      <c r="M60" s="13">
        <f t="array" ref="M60">INDEX(L:L,MIN(IF(ISNUMBER(L60:L256),ROW(L60:L256),"")))</f>
        <v>15</v>
      </c>
      <c r="N60" s="14">
        <f>IF('Données projet'!$A$36&gt;35,N59+M60-V59,IF(A60&lt;'Données projet'!$A$36,$K$205^A60,IF(A60='Données projet'!$A$36,'Données projet'!$B$36,N59+M60-V59)))</f>
        <v>315.99999999999989</v>
      </c>
      <c r="O60" s="14">
        <f>N60*VLOOKUP('Données projet'!$B$9,Paramètres!$A$1:$I$89,3,0)*VLOOKUP('Données projet'!$B$9,Paramètres!$A$1:$I$89,5,0)</f>
        <v>147.88799999999995</v>
      </c>
      <c r="P60" s="14">
        <f t="shared" si="33"/>
        <v>38.098230660204834</v>
      </c>
      <c r="Q60" s="22">
        <f t="shared" si="53"/>
        <v>323.92601839985667</v>
      </c>
      <c r="R60" s="62">
        <f t="shared" si="0"/>
        <v>617.25935173318999</v>
      </c>
      <c r="S60" s="62">
        <f ca="1">AVERAGE(OFFSET($R$3,0,0,'Données projet'!$E$9+1,1))-AVERAGE(OFFSET($H$3,0,0,'Données projet'!$E$9+1,1))</f>
        <v>317.54276561627643</v>
      </c>
      <c r="T60" s="62">
        <f t="shared" si="34"/>
        <v>238.92443174298893</v>
      </c>
      <c r="U60" s="16">
        <f>IF(ISNA(VLOOKUP(A60,'Données projet'!$A$35:$I$55,3,0)),0,VLOOKUP(A60,'Données projet'!$A$35:$I$55,3,0))</f>
        <v>8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6</v>
      </c>
      <c r="AI60" s="14">
        <f>IF('Données projet'!$A$62&gt;35,AI59+AH60-AQ59,IF(A60&lt;'Données projet'!$A$62,$AF$205^A60,IF(A60='Données projet'!$A$62,'Données projet'!$B$62,AI59+AH60-AQ59)))</f>
        <v>202.00000000000003</v>
      </c>
      <c r="AJ60" s="14">
        <f>AI60*VLOOKUP('Données projet'!$B$10,Paramètres!$A$1:$I$89,3,0)*VLOOKUP('Données projet'!$B$10,Paramètres!$A$1:$I$89,5,0)</f>
        <v>176.46720000000005</v>
      </c>
      <c r="AK60" s="14">
        <f t="shared" si="35"/>
        <v>44.535298821989393</v>
      </c>
      <c r="AL60" s="22">
        <f t="shared" si="4"/>
        <v>384.91268544829819</v>
      </c>
      <c r="AM60" s="62">
        <f t="shared" si="5"/>
        <v>678.24601878163151</v>
      </c>
      <c r="AN60" s="62">
        <f ca="1">AVERAGE(OFFSET($AM$3,0,0,'Données projet'!$E$10+1,1))-AVERAGE(OFFSET($H$3,0,0,'Données projet'!$E$10+1,1))</f>
        <v>327.826081588335</v>
      </c>
      <c r="AO60" s="62">
        <f t="shared" si="36"/>
        <v>348.84706693879735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3.600532763676128</v>
      </c>
      <c r="AV60" s="23">
        <f>EXP(-LN(2)/25)*AV59+(1-EXP(-LN(2)/25))/(LN(2)/25)*Calculateur!AQ60*Calculateur!AS60*VLOOKUP('Données projet'!$B$10,Paramètres!$A$1:$I$89,3,0)*0.475*44/12</f>
        <v>6.48971473523389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10.090247498910017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9.4</v>
      </c>
      <c r="BD60" s="13">
        <f>IF('Données projet'!$A$88&gt;35,BD59+BC60-BL59,IF(A60&lt;'Données projet'!$A$88,$BA$205^A60,IF(A60='Données projet'!$A$88,'Données projet'!$B$88,BD59+BC60-BL59)))</f>
        <v>244.79999999999998</v>
      </c>
      <c r="BE60" s="14">
        <f>BD60*VLOOKUP('Données projet'!$B$11,Paramètres!$A$1:$I$89,3,0)*VLOOKUP('Données projet'!$B$11,Paramètres!$A$1:$I$89,5,0)</f>
        <v>248.22720000000001</v>
      </c>
      <c r="BF60" s="14">
        <f t="shared" si="37"/>
        <v>60.20616532763993</v>
      </c>
      <c r="BG60" s="22">
        <f t="shared" si="7"/>
        <v>537.18811127897277</v>
      </c>
      <c r="BH60" s="62">
        <f t="shared" si="8"/>
        <v>830.52144461230614</v>
      </c>
      <c r="BI60" s="62">
        <f ca="1">AVERAGE(OFFSET($BH$3,0,0,'Données projet'!$E$11+1,1))-AVERAGE(OFFSET($H$3,0,0,'Données projet'!$E$11+1,1))</f>
        <v>487.04124684635974</v>
      </c>
      <c r="BJ60" s="62">
        <f t="shared" si="38"/>
        <v>306.61893266146666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1.5813150651280292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1.5813150651280292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9.4</v>
      </c>
      <c r="BY60" s="13">
        <f>IF('Données projet'!$A$114&gt;35,BY59+BX60-CG59,IF(A60&lt;'Données projet'!$A$114,$BV$205^A60,IF(A60='Données projet'!$A$114,'Données projet'!$B$114,BY59+BX60-CG59)))</f>
        <v>244.79999999999998</v>
      </c>
      <c r="BZ60" s="14">
        <f>BY60*VLOOKUP('Données projet'!$B$12,Paramètres!$A$1:$I$89,3,0)*VLOOKUP('Données projet'!$B$12,Paramètres!$A$1:$I$89,5,0)</f>
        <v>221.49503999999999</v>
      </c>
      <c r="CA60" s="14">
        <f t="shared" si="39"/>
        <v>54.439697086174412</v>
      </c>
      <c r="CB60" s="22">
        <f t="shared" si="10"/>
        <v>480.58633375842032</v>
      </c>
      <c r="CC60" s="62">
        <f t="shared" si="11"/>
        <v>773.91966709175358</v>
      </c>
      <c r="CD60" s="62">
        <f ca="1">AVERAGE(OFFSET($CC$3,0,0,'Données projet'!$E$12+1,1))-AVERAGE(OFFSET($H$3,0,0,'Données projet'!$E$12+1,1))</f>
        <v>439.06700232017681</v>
      </c>
      <c r="CE60" s="62">
        <f t="shared" si="40"/>
        <v>278.21741231699929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1.4110195965757797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1.4110195965757797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6.4</v>
      </c>
      <c r="CT60" s="13">
        <f>IF('Données projet'!$A$140&gt;35,CT59+CS60-DB59,IF(A60&lt;'Données projet'!$A$140,$CQ$205^A60,IF(A60='Données projet'!$A$140,'Données projet'!$B$140,CT59+CS60-DB59)))</f>
        <v>274.7999999999999</v>
      </c>
      <c r="CU60" s="18">
        <f>CT60*VLOOKUP('Données projet'!$B$13,Paramètres!$A$1:$I$89,3,0)*VLOOKUP('Données projet'!$B$13,Paramètres!$A$1:$I$89,5,0)</f>
        <v>201.48335999999992</v>
      </c>
      <c r="CV60" s="14">
        <f t="shared" si="41"/>
        <v>50.070025024008594</v>
      </c>
      <c r="CW60" s="22">
        <f t="shared" si="13"/>
        <v>438.12214558348154</v>
      </c>
      <c r="CX60" s="62">
        <f t="shared" si="14"/>
        <v>731.45547891681485</v>
      </c>
      <c r="CY60" s="62">
        <f ca="1">AVERAGE(OFFSET($CX$3,0,0,'Données projet'!$E$13+1,1))-AVERAGE(OFFSET($H$3,0,0,'Données projet'!$E$13+1,1))</f>
        <v>327.81662150328646</v>
      </c>
      <c r="CZ60" s="62">
        <f t="shared" si="42"/>
        <v>320.24200483294322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1.1724770552858848</v>
      </c>
      <c r="DG60" s="23">
        <f>EXP(-LN(2)/25)*DG59+(1-EXP(-LN(2)/25))/(LN(2)/25)*Calculateur!DB60*Calculateur!DD60*VLOOKUP('Données projet'!$B$13,Paramètres!$A$1:$I$89,3,0)*0.475*44/12</f>
        <v>0</v>
      </c>
      <c r="DH60" s="23">
        <f>EXP(-LN(2)/2)*DH59+(1-EXP(-LN(2)/2))/(LN(2)/2)*DB60*DE60*VLOOKUP('Données projet'!$B$13,Paramètres!$A$1:$I$89,3,0)*0.475*44/12</f>
        <v>0</v>
      </c>
      <c r="DI60" s="24">
        <f t="shared" si="15"/>
        <v>1.1724770552858848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5.2</v>
      </c>
      <c r="DO60" s="13">
        <f>IF('Données projet'!$A$166&gt;35,DO59+DN60-DW59,IF(A60&lt;'Données projet'!$A$166,$DL$205^A60,IF(A60='Données projet'!$A$166,'Données projet'!$B$166,DO59+DN60-DW59)))</f>
        <v>161.40000000000015</v>
      </c>
      <c r="DP60" s="18">
        <f>DO60*VLOOKUP('Données projet'!$B$14,Paramètres!$A$1:$I$89,3,0)*VLOOKUP('Données projet'!$B$14,Paramètres!$A$1:$I$89,5,0)</f>
        <v>105.74928000000008</v>
      </c>
      <c r="DQ60" s="14">
        <f t="shared" si="43"/>
        <v>28.327196320252899</v>
      </c>
      <c r="DR60" s="22">
        <f t="shared" si="16"/>
        <v>233.51652959110729</v>
      </c>
      <c r="DS60" s="62">
        <f t="shared" si="17"/>
        <v>526.84986292444057</v>
      </c>
      <c r="DT60" s="62">
        <f ca="1">AVERAGE(OFFSET($DS$3,0,0,'Données projet'!$E$14+1,1))-AVERAGE(OFFSET($H$3,0,0,'Données projet'!$E$14+1,1))</f>
        <v>210.08998695869161</v>
      </c>
      <c r="DU60" s="62">
        <f t="shared" si="44"/>
        <v>207.30911916430881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>
        <f>EXP(-LN(2)/35)*EA59+(1-EXP(-LN(2)/35))/(LN(2)/35)*DW60*DX60*VLOOKUP('Données projet'!$B$14,Paramètres!$A$1:$I$89,3,0)*0.475*44/12</f>
        <v>0.26942025951250104</v>
      </c>
      <c r="EB60" s="23">
        <f>EXP(-LN(2)/25)*EB59+(1-EXP(-LN(2)/25))/(LN(2)/25)*Calculateur!DW60*Calculateur!DY60*VLOOKUP('Données projet'!$B$14,Paramètres!$A$1:$I$89,3,0)*0.475*44/12</f>
        <v>0</v>
      </c>
      <c r="EC60" s="23">
        <f>EXP(-LN(2)/2)*EC59+(1-EXP(-LN(2)/2))/(LN(2)/2)*DW60*DZ60*VLOOKUP('Données projet'!$B$14,Paramètres!$A$1:$I$89,3,0)*0.475*44/12</f>
        <v>0</v>
      </c>
      <c r="ED60" s="24">
        <f t="shared" si="18"/>
        <v>0.26942025951250104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9.375</v>
      </c>
      <c r="EJ60" s="13">
        <f>IF('Données projet'!$A$192&gt;35,EJ59+EI60-ER59,IF(A60&lt;'Données projet'!$A$192,$EG$205^A60,IF(A60='Données projet'!$A$192,'Données projet'!$B$192,EJ59+EI60-ER59)))</f>
        <v>268.87499999999989</v>
      </c>
      <c r="EK60" s="18">
        <f>EJ60*VLOOKUP('Données projet'!$B$15,Paramètres!$A$1:$I$89,3,0)*VLOOKUP('Données projet'!$B$15,Paramètres!$A$1:$I$89,5,0)</f>
        <v>209.72249999999991</v>
      </c>
      <c r="EL60" s="14">
        <f t="shared" si="45"/>
        <v>51.874940300502246</v>
      </c>
      <c r="EM60" s="22">
        <f t="shared" si="19"/>
        <v>455.61554185670792</v>
      </c>
      <c r="EN60" s="62">
        <f t="shared" si="20"/>
        <v>748.94887519004124</v>
      </c>
      <c r="EO60" s="62">
        <f ca="1">AVERAGE(OFFSET($EN$3,0,0,'Données projet'!$E$15+1,1))-AVERAGE(OFFSET($H$3,0,0,'Données projet'!$E$15+1,1))</f>
        <v>288.82868507674738</v>
      </c>
      <c r="EP60" s="62">
        <f t="shared" si="46"/>
        <v>283.48738729114024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>
        <f>EXP(-LN(2)/35)*EV59+(1-EXP(-LN(2)/35))/(LN(2)/35)*ER60*ES60*VLOOKUP('Données projet'!$B$15,Paramètres!$A$1:$I$89,3,0)*0.475*44/12</f>
        <v>1.062371726067963</v>
      </c>
      <c r="EW60" s="23">
        <f>EXP(-LN(2)/25)*EW59+(1-EXP(-LN(2)/25))/(LN(2)/25)*Calculateur!ER60*Calculateur!ET60*VLOOKUP('Données projet'!$B$15,Paramètres!$A$1:$I$89,3,0)*0.475*44/12</f>
        <v>0</v>
      </c>
      <c r="EX60" s="23">
        <f>EXP(-LN(2)/2)*EX59+(1-EXP(-LN(2)/2))/(LN(2)/2)*ER60*EU60*VLOOKUP('Données projet'!$B$15,Paramètres!$A$1:$I$89,3,0)*0.475*44/12</f>
        <v>0</v>
      </c>
      <c r="EY60" s="24">
        <f t="shared" si="21"/>
        <v>1.062371726067963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16.666666666666668</v>
      </c>
      <c r="N61" s="14">
        <f>IF('Données projet'!$A$36&gt;35,N60+M61-V60,IF(A61&lt;'Données projet'!$A$36,$K$205^A61,IF(A61='Données projet'!$A$36,'Données projet'!$B$36,N60+M61-V60)))</f>
        <v>332.66666666666657</v>
      </c>
      <c r="O61" s="14">
        <f>N61*VLOOKUP('Données projet'!$B$9,Paramètres!$A$1:$I$89,3,0)*VLOOKUP('Données projet'!$B$9,Paramètres!$A$1:$I$89,5,0)</f>
        <v>155.68799999999996</v>
      </c>
      <c r="P61" s="14">
        <f t="shared" si="33"/>
        <v>39.868390761764985</v>
      </c>
      <c r="Q61" s="22">
        <f t="shared" si="53"/>
        <v>340.5940472434072</v>
      </c>
      <c r="R61" s="62">
        <f t="shared" si="0"/>
        <v>633.92738057674046</v>
      </c>
      <c r="S61" s="62">
        <f ca="1">AVERAGE(OFFSET($R$3,0,0,'Données projet'!$E$9+1,1))-AVERAGE(OFFSET($H$3,0,0,'Données projet'!$E$9+1,1))</f>
        <v>317.54276561627643</v>
      </c>
      <c r="T61" s="62">
        <f t="shared" si="34"/>
        <v>238.92443174298893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6</v>
      </c>
      <c r="AI61" s="14">
        <f>IF('Données projet'!$A$62&gt;35,AI60+AH61-AQ60,IF(A61&lt;'Données projet'!$A$62,$AF$205^A61,IF(A61='Données projet'!$A$62,'Données projet'!$B$62,AI60+AH61-AQ60)))</f>
        <v>208.00000000000003</v>
      </c>
      <c r="AJ61" s="14">
        <f>AI61*VLOOKUP('Données projet'!$B$10,Paramètres!$A$1:$I$89,3,0)*VLOOKUP('Données projet'!$B$10,Paramètres!$A$1:$I$89,5,0)</f>
        <v>181.70880000000005</v>
      </c>
      <c r="AK61" s="14">
        <f t="shared" si="35"/>
        <v>45.702153370067812</v>
      </c>
      <c r="AL61" s="22">
        <f t="shared" si="4"/>
        <v>396.07407711953482</v>
      </c>
      <c r="AM61" s="62">
        <f t="shared" si="5"/>
        <v>689.40741045286813</v>
      </c>
      <c r="AN61" s="62">
        <f ca="1">AVERAGE(OFFSET($AM$3,0,0,'Données projet'!$E$10+1,1))-AVERAGE(OFFSET($H$3,0,0,'Données projet'!$E$10+1,1))</f>
        <v>327.826081588335</v>
      </c>
      <c r="AO61" s="62">
        <f t="shared" si="36"/>
        <v>348.84706693879735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3.5299285122885773</v>
      </c>
      <c r="AV61" s="23">
        <f>EXP(-LN(2)/25)*AV60+(1-EXP(-LN(2)/25))/(LN(2)/25)*Calculateur!AQ61*Calculateur!AS61*VLOOKUP('Données projet'!$B$10,Paramètres!$A$1:$I$89,3,0)*0.475*44/12</f>
        <v>6.3122531445196541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9.842181656808231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9.4</v>
      </c>
      <c r="BD61" s="13">
        <f>IF('Données projet'!$A$88&gt;35,BD60+BC61-BL60,IF(A61&lt;'Données projet'!$A$88,$BA$205^A61,IF(A61='Données projet'!$A$88,'Données projet'!$B$88,BD60+BC61-BL60)))</f>
        <v>254.2</v>
      </c>
      <c r="BE61" s="14">
        <f>BD61*VLOOKUP('Données projet'!$B$11,Paramètres!$A$1:$I$89,3,0)*VLOOKUP('Données projet'!$B$11,Paramètres!$A$1:$I$89,5,0)</f>
        <v>257.75880000000001</v>
      </c>
      <c r="BF61" s="14">
        <f t="shared" si="37"/>
        <v>62.244404241627407</v>
      </c>
      <c r="BG61" s="22">
        <f t="shared" si="7"/>
        <v>557.33891405416773</v>
      </c>
      <c r="BH61" s="62">
        <f t="shared" si="8"/>
        <v>850.6722473875011</v>
      </c>
      <c r="BI61" s="62">
        <f ca="1">AVERAGE(OFFSET($BH$3,0,0,'Données projet'!$E$11+1,1))-AVERAGE(OFFSET($H$3,0,0,'Données projet'!$E$11+1,1))</f>
        <v>487.04124684635974</v>
      </c>
      <c r="BJ61" s="62">
        <f t="shared" si="38"/>
        <v>306.61893266146666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1.5503064412078211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1.5503064412078211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9.4</v>
      </c>
      <c r="BY61" s="13">
        <f>IF('Données projet'!$A$114&gt;35,BY60+BX61-CG60,IF(A61&lt;'Données projet'!$A$114,$BV$205^A61,IF(A61='Données projet'!$A$114,'Données projet'!$B$114,BY60+BX61-CG60)))</f>
        <v>254.2</v>
      </c>
      <c r="BZ61" s="14">
        <f>BY61*VLOOKUP('Données projet'!$B$12,Paramètres!$A$1:$I$89,3,0)*VLOOKUP('Données projet'!$B$12,Paramètres!$A$1:$I$89,5,0)</f>
        <v>230.00015999999997</v>
      </c>
      <c r="CA61" s="14">
        <f t="shared" si="39"/>
        <v>56.282716126880423</v>
      </c>
      <c r="CB61" s="22">
        <f t="shared" si="10"/>
        <v>498.60934258765002</v>
      </c>
      <c r="CC61" s="62">
        <f t="shared" si="11"/>
        <v>791.94267592098333</v>
      </c>
      <c r="CD61" s="62">
        <f ca="1">AVERAGE(OFFSET($CC$3,0,0,'Données projet'!$E$12+1,1))-AVERAGE(OFFSET($H$3,0,0,'Données projet'!$E$12+1,1))</f>
        <v>439.06700232017681</v>
      </c>
      <c r="CE61" s="62">
        <f t="shared" si="40"/>
        <v>278.21741231699929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1.3833503629239017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1.3833503629239017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6.4</v>
      </c>
      <c r="CT61" s="13">
        <f>IF('Données projet'!$A$140&gt;35,CT60+CS61-DB60,IF(A61&lt;'Données projet'!$A$140,$CQ$205^A61,IF(A61='Données projet'!$A$140,'Données projet'!$B$140,CT60+CS61-DB60)))</f>
        <v>281.19999999999987</v>
      </c>
      <c r="CU61" s="18">
        <f>CT61*VLOOKUP('Données projet'!$B$13,Paramètres!$A$1:$I$89,3,0)*VLOOKUP('Données projet'!$B$13,Paramètres!$A$1:$I$89,5,0)</f>
        <v>206.17583999999991</v>
      </c>
      <c r="CV61" s="14">
        <f t="shared" si="41"/>
        <v>51.099018782559604</v>
      </c>
      <c r="CW61" s="22">
        <f t="shared" si="13"/>
        <v>448.08704571295783</v>
      </c>
      <c r="CX61" s="62">
        <f t="shared" si="14"/>
        <v>741.42037904629115</v>
      </c>
      <c r="CY61" s="62">
        <f ca="1">AVERAGE(OFFSET($CX$3,0,0,'Données projet'!$E$13+1,1))-AVERAGE(OFFSET($H$3,0,0,'Données projet'!$E$13+1,1))</f>
        <v>327.81662150328646</v>
      </c>
      <c r="CZ61" s="62">
        <f t="shared" si="42"/>
        <v>320.24200483294322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1.1494854953721181</v>
      </c>
      <c r="DG61" s="23">
        <f>EXP(-LN(2)/25)*DG60+(1-EXP(-LN(2)/25))/(LN(2)/25)*Calculateur!DB61*Calculateur!DD61*VLOOKUP('Données projet'!$B$13,Paramètres!$A$1:$I$89,3,0)*0.475*44/12</f>
        <v>0</v>
      </c>
      <c r="DH61" s="23">
        <f>EXP(-LN(2)/2)*DH60+(1-EXP(-LN(2)/2))/(LN(2)/2)*DB61*DE61*VLOOKUP('Données projet'!$B$13,Paramètres!$A$1:$I$89,3,0)*0.475*44/12</f>
        <v>0</v>
      </c>
      <c r="DI61" s="24">
        <f t="shared" si="15"/>
        <v>1.1494854953721181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5.2</v>
      </c>
      <c r="DO61" s="13">
        <f>IF('Données projet'!$A$166&gt;35,DO60+DN61-DW60,IF(A61&lt;'Données projet'!$A$166,$DL$205^A61,IF(A61='Données projet'!$A$166,'Données projet'!$B$166,DO60+DN61-DW60)))</f>
        <v>166.60000000000014</v>
      </c>
      <c r="DP61" s="18">
        <f>DO61*VLOOKUP('Données projet'!$B$14,Paramètres!$A$1:$I$89,3,0)*VLOOKUP('Données projet'!$B$14,Paramètres!$A$1:$I$89,5,0)</f>
        <v>109.15632000000008</v>
      </c>
      <c r="DQ61" s="14">
        <f t="shared" si="43"/>
        <v>29.132117998790388</v>
      </c>
      <c r="DR61" s="22">
        <f t="shared" si="16"/>
        <v>240.85236284789337</v>
      </c>
      <c r="DS61" s="62">
        <f t="shared" si="17"/>
        <v>534.18569618122672</v>
      </c>
      <c r="DT61" s="62">
        <f ca="1">AVERAGE(OFFSET($DS$3,0,0,'Données projet'!$E$14+1,1))-AVERAGE(OFFSET($H$3,0,0,'Données projet'!$E$14+1,1))</f>
        <v>210.08998695869161</v>
      </c>
      <c r="DU61" s="62">
        <f t="shared" si="44"/>
        <v>207.30911916430881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>
        <f>EXP(-LN(2)/35)*EA60+(1-EXP(-LN(2)/35))/(LN(2)/35)*DW61*DX61*VLOOKUP('Données projet'!$B$14,Paramètres!$A$1:$I$89,3,0)*0.475*44/12</f>
        <v>0.26413709255359297</v>
      </c>
      <c r="EB61" s="23">
        <f>EXP(-LN(2)/25)*EB60+(1-EXP(-LN(2)/25))/(LN(2)/25)*Calculateur!DW61*Calculateur!DY61*VLOOKUP('Données projet'!$B$14,Paramètres!$A$1:$I$89,3,0)*0.475*44/12</f>
        <v>0</v>
      </c>
      <c r="EC61" s="23">
        <f>EXP(-LN(2)/2)*EC60+(1-EXP(-LN(2)/2))/(LN(2)/2)*DW61*DZ61*VLOOKUP('Données projet'!$B$14,Paramètres!$A$1:$I$89,3,0)*0.475*44/12</f>
        <v>0</v>
      </c>
      <c r="ED61" s="24">
        <f t="shared" si="18"/>
        <v>0.26413709255359297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9.375</v>
      </c>
      <c r="EJ61" s="13">
        <f>IF('Données projet'!$A$192&gt;35,EJ60+EI61-ER60,IF(A61&lt;'Données projet'!$A$192,$EG$205^A61,IF(A61='Données projet'!$A$192,'Données projet'!$B$192,EJ60+EI61-ER60)))</f>
        <v>278.24999999999989</v>
      </c>
      <c r="EK61" s="18">
        <f>EJ61*VLOOKUP('Données projet'!$B$15,Paramètres!$A$1:$I$89,3,0)*VLOOKUP('Données projet'!$B$15,Paramètres!$A$1:$I$89,5,0)</f>
        <v>217.03499999999991</v>
      </c>
      <c r="EL61" s="14">
        <f t="shared" si="45"/>
        <v>53.469949591969474</v>
      </c>
      <c r="EM61" s="22">
        <f t="shared" si="19"/>
        <v>471.12945387267996</v>
      </c>
      <c r="EN61" s="62">
        <f t="shared" si="20"/>
        <v>764.46278720601322</v>
      </c>
      <c r="EO61" s="62">
        <f ca="1">AVERAGE(OFFSET($EN$3,0,0,'Données projet'!$E$15+1,1))-AVERAGE(OFFSET($H$3,0,0,'Données projet'!$E$15+1,1))</f>
        <v>288.82868507674738</v>
      </c>
      <c r="EP61" s="62">
        <f t="shared" si="46"/>
        <v>283.48738729114024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>
        <f>EXP(-LN(2)/35)*EV60+(1-EXP(-LN(2)/35))/(LN(2)/35)*ER61*ES61*VLOOKUP('Données projet'!$B$15,Paramètres!$A$1:$I$89,3,0)*0.475*44/12</f>
        <v>1.0415392645025403</v>
      </c>
      <c r="EW61" s="23">
        <f>EXP(-LN(2)/25)*EW60+(1-EXP(-LN(2)/25))/(LN(2)/25)*Calculateur!ER61*Calculateur!ET61*VLOOKUP('Données projet'!$B$15,Paramètres!$A$1:$I$89,3,0)*0.475*44/12</f>
        <v>0</v>
      </c>
      <c r="EX61" s="23">
        <f>EXP(-LN(2)/2)*EX60+(1-EXP(-LN(2)/2))/(LN(2)/2)*ER61*EU61*VLOOKUP('Données projet'!$B$15,Paramètres!$A$1:$I$89,3,0)*0.475*44/12</f>
        <v>0</v>
      </c>
      <c r="EY61" s="24">
        <f t="shared" si="21"/>
        <v>1.0415392645025403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16.666666666666668</v>
      </c>
      <c r="N62" s="14">
        <f>IF('Données projet'!$A$36&gt;35,N61+M62-V61,IF(A62&lt;'Données projet'!$A$36,$K$205^A62,IF(A62='Données projet'!$A$36,'Données projet'!$B$36,N61+M62-V61)))</f>
        <v>349.33333333333326</v>
      </c>
      <c r="O62" s="14">
        <f>N62*VLOOKUP('Données projet'!$B$9,Paramètres!$A$1:$I$89,3,0)*VLOOKUP('Données projet'!$B$9,Paramètres!$A$1:$I$89,5,0)</f>
        <v>163.48799999999994</v>
      </c>
      <c r="P62" s="14">
        <f t="shared" si="33"/>
        <v>41.628253379180116</v>
      </c>
      <c r="Q62" s="22">
        <f t="shared" si="53"/>
        <v>357.24414130207191</v>
      </c>
      <c r="R62" s="62">
        <f t="shared" si="0"/>
        <v>650.57747463540522</v>
      </c>
      <c r="S62" s="62">
        <f ca="1">AVERAGE(OFFSET($R$3,0,0,'Données projet'!$E$9+1,1))-AVERAGE(OFFSET($H$3,0,0,'Données projet'!$E$9+1,1))</f>
        <v>317.54276561627643</v>
      </c>
      <c r="T62" s="62">
        <f t="shared" si="34"/>
        <v>238.92443174298893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6</v>
      </c>
      <c r="AI62" s="14">
        <f>IF('Données projet'!$A$62&gt;35,AI61+AH62-AQ61,IF(A62&lt;'Données projet'!$A$62,$AF$205^A62,IF(A62='Données projet'!$A$62,'Données projet'!$B$62,AI61+AH62-AQ61)))</f>
        <v>214.00000000000003</v>
      </c>
      <c r="AJ62" s="14">
        <f>AI62*VLOOKUP('Données projet'!$B$10,Paramètres!$A$1:$I$89,3,0)*VLOOKUP('Données projet'!$B$10,Paramètres!$A$1:$I$89,5,0)</f>
        <v>186.95040000000006</v>
      </c>
      <c r="AK62" s="14">
        <f t="shared" si="35"/>
        <v>46.865095976617653</v>
      </c>
      <c r="AL62" s="22">
        <f t="shared" si="4"/>
        <v>407.22865549260922</v>
      </c>
      <c r="AM62" s="62">
        <f t="shared" si="5"/>
        <v>700.56198882594254</v>
      </c>
      <c r="AN62" s="62">
        <f ca="1">AVERAGE(OFFSET($AM$3,0,0,'Données projet'!$E$10+1,1))-AVERAGE(OFFSET($H$3,0,0,'Données projet'!$E$10+1,1))</f>
        <v>327.826081588335</v>
      </c>
      <c r="AO62" s="62">
        <f t="shared" si="36"/>
        <v>348.84706693879735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3.4607087672063952</v>
      </c>
      <c r="AV62" s="23">
        <f>EXP(-LN(2)/25)*AV61+(1-EXP(-LN(2)/25))/(LN(2)/25)*Calculateur!AQ62*Calculateur!AS62*VLOOKUP('Données projet'!$B$10,Paramètres!$A$1:$I$89,3,0)*0.475*44/12</f>
        <v>6.139644250335798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9.6003530175421936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9.4</v>
      </c>
      <c r="BD62" s="13">
        <f>IF('Données projet'!$A$88&gt;35,BD61+BC62-BL61,IF(A62&lt;'Données projet'!$A$88,$BA$205^A62,IF(A62='Données projet'!$A$88,'Données projet'!$B$88,BD61+BC62-BL61)))</f>
        <v>263.59999999999997</v>
      </c>
      <c r="BE62" s="14">
        <f>BD62*VLOOKUP('Données projet'!$B$11,Paramètres!$A$1:$I$89,3,0)*VLOOKUP('Données projet'!$B$11,Paramètres!$A$1:$I$89,5,0)</f>
        <v>267.29039999999998</v>
      </c>
      <c r="BF62" s="14">
        <f t="shared" si="37"/>
        <v>64.273886654661325</v>
      </c>
      <c r="BG62" s="22">
        <f t="shared" si="7"/>
        <v>577.47446592353515</v>
      </c>
      <c r="BH62" s="62">
        <f t="shared" si="8"/>
        <v>870.80779925686852</v>
      </c>
      <c r="BI62" s="62">
        <f ca="1">AVERAGE(OFFSET($BH$3,0,0,'Données projet'!$E$11+1,1))-AVERAGE(OFFSET($H$3,0,0,'Données projet'!$E$11+1,1))</f>
        <v>487.04124684635974</v>
      </c>
      <c r="BJ62" s="62">
        <f t="shared" si="38"/>
        <v>306.61893266146666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1.5199058774892953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1.5199058774892953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9.4</v>
      </c>
      <c r="BY62" s="13">
        <f>IF('Données projet'!$A$114&gt;35,BY61+BX62-CG61,IF(A62&lt;'Données projet'!$A$114,$BV$205^A62,IF(A62='Données projet'!$A$114,'Données projet'!$B$114,BY61+BX62-CG61)))</f>
        <v>263.59999999999997</v>
      </c>
      <c r="BZ62" s="14">
        <f>BY62*VLOOKUP('Données projet'!$B$12,Paramètres!$A$1:$I$89,3,0)*VLOOKUP('Données projet'!$B$12,Paramètres!$A$1:$I$89,5,0)</f>
        <v>238.50527999999997</v>
      </c>
      <c r="CA62" s="14">
        <f t="shared" si="39"/>
        <v>58.117817352909881</v>
      </c>
      <c r="CB62" s="22">
        <f t="shared" si="10"/>
        <v>516.61856122298457</v>
      </c>
      <c r="CC62" s="62">
        <f t="shared" si="11"/>
        <v>809.95189455631794</v>
      </c>
      <c r="CD62" s="62">
        <f ca="1">AVERAGE(OFFSET($CC$3,0,0,'Données projet'!$E$12+1,1))-AVERAGE(OFFSET($H$3,0,0,'Données projet'!$E$12+1,1))</f>
        <v>439.06700232017681</v>
      </c>
      <c r="CE62" s="62">
        <f t="shared" si="40"/>
        <v>278.21741231699929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1.356223706067371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1.356223706067371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6.4</v>
      </c>
      <c r="CT62" s="13">
        <f>IF('Données projet'!$A$140&gt;35,CT61+CS62-DB61,IF(A62&lt;'Données projet'!$A$140,$CQ$205^A62,IF(A62='Données projet'!$A$140,'Données projet'!$B$140,CT61+CS62-DB61)))</f>
        <v>287.59999999999985</v>
      </c>
      <c r="CU62" s="18">
        <f>CT62*VLOOKUP('Données projet'!$B$13,Paramètres!$A$1:$I$89,3,0)*VLOOKUP('Données projet'!$B$13,Paramètres!$A$1:$I$89,5,0)</f>
        <v>210.86831999999987</v>
      </c>
      <c r="CV62" s="14">
        <f t="shared" si="41"/>
        <v>52.125289871991086</v>
      </c>
      <c r="CW62" s="22">
        <f t="shared" si="13"/>
        <v>458.04720386038417</v>
      </c>
      <c r="CX62" s="62">
        <f t="shared" si="14"/>
        <v>751.38053719371749</v>
      </c>
      <c r="CY62" s="62">
        <f ca="1">AVERAGE(OFFSET($CX$3,0,0,'Données projet'!$E$13+1,1))-AVERAGE(OFFSET($H$3,0,0,'Données projet'!$E$13+1,1))</f>
        <v>327.81662150328646</v>
      </c>
      <c r="CZ62" s="62">
        <f t="shared" si="42"/>
        <v>320.24200483294322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1.1269447859247934</v>
      </c>
      <c r="DG62" s="23">
        <f>EXP(-LN(2)/25)*DG61+(1-EXP(-LN(2)/25))/(LN(2)/25)*Calculateur!DB62*Calculateur!DD62*VLOOKUP('Données projet'!$B$13,Paramètres!$A$1:$I$89,3,0)*0.475*44/12</f>
        <v>0</v>
      </c>
      <c r="DH62" s="23">
        <f>EXP(-LN(2)/2)*DH61+(1-EXP(-LN(2)/2))/(LN(2)/2)*DB62*DE62*VLOOKUP('Données projet'!$B$13,Paramètres!$A$1:$I$89,3,0)*0.475*44/12</f>
        <v>0</v>
      </c>
      <c r="DI62" s="24">
        <f t="shared" si="15"/>
        <v>1.1269447859247934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5.2</v>
      </c>
      <c r="DO62" s="13">
        <f>IF('Données projet'!$A$166&gt;35,DO61+DN62-DW61,IF(A62&lt;'Données projet'!$A$166,$DL$205^A62,IF(A62='Données projet'!$A$166,'Données projet'!$B$166,DO61+DN62-DW61)))</f>
        <v>171.80000000000013</v>
      </c>
      <c r="DP62" s="18">
        <f>DO62*VLOOKUP('Données projet'!$B$14,Paramètres!$A$1:$I$89,3,0)*VLOOKUP('Données projet'!$B$14,Paramètres!$A$1:$I$89,5,0)</f>
        <v>112.56336000000007</v>
      </c>
      <c r="DQ62" s="14">
        <f t="shared" si="43"/>
        <v>29.934120094679091</v>
      </c>
      <c r="DR62" s="22">
        <f t="shared" si="16"/>
        <v>248.18311116489954</v>
      </c>
      <c r="DS62" s="62">
        <f t="shared" si="17"/>
        <v>541.51644449823289</v>
      </c>
      <c r="DT62" s="62">
        <f ca="1">AVERAGE(OFFSET($DS$3,0,0,'Données projet'!$E$14+1,1))-AVERAGE(OFFSET($H$3,0,0,'Données projet'!$E$14+1,1))</f>
        <v>210.08998695869161</v>
      </c>
      <c r="DU62" s="62">
        <f t="shared" si="44"/>
        <v>207.30911916430881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>
        <f>EXP(-LN(2)/35)*EA61+(1-EXP(-LN(2)/35))/(LN(2)/35)*DW62*DX62*VLOOKUP('Données projet'!$B$14,Paramètres!$A$1:$I$89,3,0)*0.475*44/12</f>
        <v>0.25895752527633542</v>
      </c>
      <c r="EB62" s="23">
        <f>EXP(-LN(2)/25)*EB61+(1-EXP(-LN(2)/25))/(LN(2)/25)*Calculateur!DW62*Calculateur!DY62*VLOOKUP('Données projet'!$B$14,Paramètres!$A$1:$I$89,3,0)*0.475*44/12</f>
        <v>0</v>
      </c>
      <c r="EC62" s="23">
        <f>EXP(-LN(2)/2)*EC61+(1-EXP(-LN(2)/2))/(LN(2)/2)*DW62*DZ62*VLOOKUP('Données projet'!$B$14,Paramètres!$A$1:$I$89,3,0)*0.475*44/12</f>
        <v>0</v>
      </c>
      <c r="ED62" s="24">
        <f t="shared" si="18"/>
        <v>0.25895752527633542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9.375</v>
      </c>
      <c r="EJ62" s="13">
        <f>IF('Données projet'!$A$192&gt;35,EJ61+EI62-ER61,IF(A62&lt;'Données projet'!$A$192,$EG$205^A62,IF(A62='Données projet'!$A$192,'Données projet'!$B$192,EJ61+EI62-ER61)))</f>
        <v>287.62499999999989</v>
      </c>
      <c r="EK62" s="18">
        <f>EJ62*VLOOKUP('Données projet'!$B$15,Paramètres!$A$1:$I$89,3,0)*VLOOKUP('Données projet'!$B$15,Paramètres!$A$1:$I$89,5,0)</f>
        <v>224.34749999999991</v>
      </c>
      <c r="EL62" s="14">
        <f t="shared" si="45"/>
        <v>55.058714525680429</v>
      </c>
      <c r="EM62" s="22">
        <f t="shared" si="19"/>
        <v>486.63249029889329</v>
      </c>
      <c r="EN62" s="62">
        <f t="shared" si="20"/>
        <v>779.9658236322266</v>
      </c>
      <c r="EO62" s="62">
        <f ca="1">AVERAGE(OFFSET($EN$3,0,0,'Données projet'!$E$15+1,1))-AVERAGE(OFFSET($H$3,0,0,'Données projet'!$E$15+1,1))</f>
        <v>288.82868507674738</v>
      </c>
      <c r="EP62" s="62">
        <f t="shared" si="46"/>
        <v>283.48738729114024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>
        <f>EXP(-LN(2)/35)*EV61+(1-EXP(-LN(2)/35))/(LN(2)/35)*ER62*ES62*VLOOKUP('Données projet'!$B$15,Paramètres!$A$1:$I$89,3,0)*0.475*44/12</f>
        <v>1.0211153148018686</v>
      </c>
      <c r="EW62" s="23">
        <f>EXP(-LN(2)/25)*EW61+(1-EXP(-LN(2)/25))/(LN(2)/25)*Calculateur!ER62*Calculateur!ET62*VLOOKUP('Données projet'!$B$15,Paramètres!$A$1:$I$89,3,0)*0.475*44/12</f>
        <v>0</v>
      </c>
      <c r="EX62" s="23">
        <f>EXP(-LN(2)/2)*EX61+(1-EXP(-LN(2)/2))/(LN(2)/2)*ER62*EU62*VLOOKUP('Données projet'!$B$15,Paramètres!$A$1:$I$89,3,0)*0.475*44/12</f>
        <v>0</v>
      </c>
      <c r="EY62" s="24">
        <f t="shared" si="21"/>
        <v>1.0211153148018686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16.666666666666668</v>
      </c>
      <c r="N63" s="14">
        <f>IF('Données projet'!$A$36&gt;35,N62+M63-V62,IF(A63&lt;'Données projet'!$A$36,$K$205^A63,IF(A63='Données projet'!$A$36,'Données projet'!$B$36,N62+M63-V62)))</f>
        <v>365.99999999999994</v>
      </c>
      <c r="O63" s="14">
        <f>N63*VLOOKUP('Données projet'!$B$9,Paramètres!$A$1:$I$89,3,0)*VLOOKUP('Données projet'!$B$9,Paramètres!$A$1:$I$89,5,0)</f>
        <v>171.28799999999995</v>
      </c>
      <c r="P63" s="14">
        <f t="shared" si="33"/>
        <v>43.378365895721338</v>
      </c>
      <c r="Q63" s="22">
        <f t="shared" si="53"/>
        <v>373.87725393504792</v>
      </c>
      <c r="R63" s="62">
        <f t="shared" si="0"/>
        <v>667.21058726838123</v>
      </c>
      <c r="S63" s="62">
        <f ca="1">AVERAGE(OFFSET($R$3,0,0,'Données projet'!$E$9+1,1))-AVERAGE(OFFSET($H$3,0,0,'Données projet'!$E$9+1,1))</f>
        <v>317.54276561627643</v>
      </c>
      <c r="T63" s="62">
        <f t="shared" si="34"/>
        <v>238.92443174298893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220</v>
      </c>
      <c r="AG63" s="13">
        <f>VLOOKUP(A63,'Données projet'!$A$61:$I$81,9,0)</f>
        <v>6</v>
      </c>
      <c r="AH63" s="13">
        <f t="array" ref="AH63">INDEX(AG:AG,MIN(IF(ISNUMBER(AG63:AG259),ROW(AG63:AG259),"")))</f>
        <v>6</v>
      </c>
      <c r="AI63" s="14">
        <f>IF('Données projet'!$A$62&gt;35,AI62+AH63-AQ62,IF(A63&lt;'Données projet'!$A$62,$AF$205^A63,IF(A63='Données projet'!$A$62,'Données projet'!$B$62,AI62+AH63-AQ62)))</f>
        <v>220.00000000000003</v>
      </c>
      <c r="AJ63" s="14">
        <f>AI63*VLOOKUP('Données projet'!$B$10,Paramètres!$A$1:$I$89,3,0)*VLOOKUP('Données projet'!$B$10,Paramètres!$A$1:$I$89,5,0)</f>
        <v>192.19200000000006</v>
      </c>
      <c r="AK63" s="14">
        <f t="shared" si="35"/>
        <v>48.02424892193244</v>
      </c>
      <c r="AL63" s="22">
        <f t="shared" si="4"/>
        <v>418.37663353903241</v>
      </c>
      <c r="AM63" s="62">
        <f t="shared" si="5"/>
        <v>711.70996687236573</v>
      </c>
      <c r="AN63" s="62">
        <f ca="1">AVERAGE(OFFSET($AM$3,0,0,'Données projet'!$E$10+1,1))-AVERAGE(OFFSET($H$3,0,0,'Données projet'!$E$10+1,1))</f>
        <v>327.826081588335</v>
      </c>
      <c r="AO63" s="62">
        <f t="shared" si="36"/>
        <v>348.84706693879735</v>
      </c>
      <c r="AP63" s="16">
        <f>IF(ISNA(VLOOKUP(A63,'Données projet'!$A$61:$I$81,3,0)),0,VLOOKUP(A63,'Données projet'!$A$61:$I$81,3,0))</f>
        <v>9</v>
      </c>
      <c r="AQ63" s="16">
        <f>IF(ISNA(VLOOKUP(A63,'Données projet'!$A$61:$I$81,4,0)),0,VLOOKUP(A63,'Données projet'!$A$61:$I$81,4,0))</f>
        <v>22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3.3928463791053991</v>
      </c>
      <c r="AV63" s="23">
        <f>EXP(-LN(2)/25)*AV62+(1-EXP(-LN(2)/25))/(LN(2)/25)*Calculateur!AQ63*Calculateur!AS63*VLOOKUP('Données projet'!$B$10,Paramètres!$A$1:$I$89,3,0)*0.475*44/12</f>
        <v>5.9717553554405072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9.3646017345459072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273</v>
      </c>
      <c r="BB63" s="13">
        <f>VLOOKUP(A63,'Données projet'!$A$87:$I$107,9,0)</f>
        <v>9.4</v>
      </c>
      <c r="BC63" s="13">
        <f t="array" ref="BC63">INDEX(BB:BB,MIN(IF(ISNUMBER(BB63:BB259),ROW(BB63:BB259),"")))</f>
        <v>9.4</v>
      </c>
      <c r="BD63" s="13">
        <f>IF('Données projet'!$A$88&gt;35,BD62+BC63-BL62,IF(A63&lt;'Données projet'!$A$88,$BA$205^A63,IF(A63='Données projet'!$A$88,'Données projet'!$B$88,BD62+BC63-BL62)))</f>
        <v>272.99999999999994</v>
      </c>
      <c r="BE63" s="14">
        <f>BD63*VLOOKUP('Données projet'!$B$11,Paramètres!$A$1:$I$89,3,0)*VLOOKUP('Données projet'!$B$11,Paramètres!$A$1:$I$89,5,0)</f>
        <v>276.82199999999995</v>
      </c>
      <c r="BF63" s="14">
        <f t="shared" si="37"/>
        <v>66.29496059864374</v>
      </c>
      <c r="BG63" s="22">
        <f t="shared" si="7"/>
        <v>597.59537304263779</v>
      </c>
      <c r="BH63" s="62">
        <f t="shared" si="8"/>
        <v>890.92870637597116</v>
      </c>
      <c r="BI63" s="62">
        <f ca="1">AVERAGE(OFFSET($BH$3,0,0,'Données projet'!$E$11+1,1))-AVERAGE(OFFSET($H$3,0,0,'Données projet'!$E$11+1,1))</f>
        <v>487.04124684635974</v>
      </c>
      <c r="BJ63" s="62">
        <f t="shared" si="38"/>
        <v>306.61893266146666</v>
      </c>
      <c r="BK63" s="16">
        <f>IF(ISNA(VLOOKUP(A63,'Données projet'!$A$87:$I$107,3,0)),0,VLOOKUP(A63,'Données projet'!$A$87:$I$107,3,0))</f>
        <v>9</v>
      </c>
      <c r="BL63" s="16">
        <f>IF(ISNA(VLOOKUP(A63,'Données projet'!$A$87:$I$107,4,0)),0,VLOOKUP(A63,'Données projet'!$A$87:$I$107,4,0))</f>
        <v>28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1.4901014502827767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1.4901014502827767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273</v>
      </c>
      <c r="BW63" s="13">
        <f>VLOOKUP(A63,'Données projet'!$A$113:$I$133,9,0)</f>
        <v>9.4</v>
      </c>
      <c r="BX63" s="13">
        <f t="array" ref="BX63">INDEX(BW:BW,MIN(IF(ISNUMBER(BW63:BW259),ROW(BW63:BW259),"")))</f>
        <v>9.4</v>
      </c>
      <c r="BY63" s="13">
        <f>IF('Données projet'!$A$114&gt;35,BY62+BX63-CG62,IF(A63&lt;'Données projet'!$A$114,$BV$205^A63,IF(A63='Données projet'!$A$114,'Données projet'!$B$114,BY62+BX63-CG62)))</f>
        <v>272.99999999999994</v>
      </c>
      <c r="BZ63" s="14">
        <f>BY63*VLOOKUP('Données projet'!$B$12,Paramètres!$A$1:$I$89,3,0)*VLOOKUP('Données projet'!$B$12,Paramètres!$A$1:$I$89,5,0)</f>
        <v>247.01039999999992</v>
      </c>
      <c r="CA63" s="14">
        <f t="shared" si="39"/>
        <v>59.945315462121812</v>
      </c>
      <c r="CB63" s="22">
        <f t="shared" si="10"/>
        <v>534.61453776319524</v>
      </c>
      <c r="CC63" s="62">
        <f t="shared" si="11"/>
        <v>827.94787109652862</v>
      </c>
      <c r="CD63" s="62">
        <f ca="1">AVERAGE(OFFSET($CC$3,0,0,'Données projet'!$E$12+1,1))-AVERAGE(OFFSET($H$3,0,0,'Données projet'!$E$12+1,1))</f>
        <v>439.06700232017681</v>
      </c>
      <c r="CE63" s="62">
        <f t="shared" si="40"/>
        <v>278.21741231699929</v>
      </c>
      <c r="CF63" s="16">
        <f>IF(ISNA(VLOOKUP(A63,'Données projet'!$A$113:$I$133,3,0)),0,VLOOKUP(A63,'Données projet'!$A$113:$I$133,3,0))</f>
        <v>9</v>
      </c>
      <c r="CG63" s="16">
        <f>IF(ISNA(VLOOKUP(A63,'Données projet'!$A$113:$I$133,4,0)),0,VLOOKUP(A63,'Données projet'!$A$113:$I$133,4,0))</f>
        <v>28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1.3296289864061699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1.3296289864061699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>
        <f>VLOOKUP(A63,'Données projet'!$A$139:$I$159,2,0)</f>
        <v>294</v>
      </c>
      <c r="CR63" s="13">
        <f>VLOOKUP(A63,'Données projet'!$A$139:$I$159,9,0)</f>
        <v>6.4</v>
      </c>
      <c r="CS63" s="13">
        <f t="array" ref="CS63">INDEX(CR:CR,MIN(IF(ISNUMBER(CR63:CR259),ROW(CR63:CR259),"")))</f>
        <v>6.4</v>
      </c>
      <c r="CT63" s="13">
        <f>IF('Données projet'!$A$140&gt;35,CT62+CS63-DB62,IF(A63&lt;'Données projet'!$A$140,$CQ$205^A63,IF(A63='Données projet'!$A$140,'Données projet'!$B$140,CT62+CS63-DB62)))</f>
        <v>293.99999999999983</v>
      </c>
      <c r="CU63" s="18">
        <f>CT63*VLOOKUP('Données projet'!$B$13,Paramètres!$A$1:$I$89,3,0)*VLOOKUP('Données projet'!$B$13,Paramètres!$A$1:$I$89,5,0)</f>
        <v>215.56079999999989</v>
      </c>
      <c r="CV63" s="14">
        <f t="shared" si="41"/>
        <v>53.14890585638225</v>
      </c>
      <c r="CW63" s="22">
        <f t="shared" si="13"/>
        <v>468.00273769986552</v>
      </c>
      <c r="CX63" s="62">
        <f t="shared" si="14"/>
        <v>761.33607103319878</v>
      </c>
      <c r="CY63" s="62">
        <f ca="1">AVERAGE(OFFSET($CX$3,0,0,'Données projet'!$E$13+1,1))-AVERAGE(OFFSET($H$3,0,0,'Données projet'!$E$13+1,1))</f>
        <v>327.81662150328646</v>
      </c>
      <c r="CZ63" s="62">
        <f t="shared" si="42"/>
        <v>320.24200483294322</v>
      </c>
      <c r="DA63" s="16">
        <f>IF(ISNA(VLOOKUP(A63,'Données projet'!$A$139:$I$159,3,0)),0,VLOOKUP(A63,'Données projet'!$A$139:$I$159,3,0))</f>
        <v>11</v>
      </c>
      <c r="DB63" s="16">
        <f>IF(ISNA(VLOOKUP(A63,'Données projet'!$A$139:$I$159,4,0)),0,VLOOKUP(A63,'Données projet'!$A$139:$I$159,4,0))</f>
        <v>14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1.1048460860412557</v>
      </c>
      <c r="DG63" s="23">
        <f>EXP(-LN(2)/25)*DG62+(1-EXP(-LN(2)/25))/(LN(2)/25)*Calculateur!DB63*Calculateur!DD63*VLOOKUP('Données projet'!$B$13,Paramètres!$A$1:$I$89,3,0)*0.475*44/12</f>
        <v>0</v>
      </c>
      <c r="DH63" s="23">
        <f>EXP(-LN(2)/2)*DH62+(1-EXP(-LN(2)/2))/(LN(2)/2)*DB63*DE63*VLOOKUP('Données projet'!$B$13,Paramètres!$A$1:$I$89,3,0)*0.475*44/12</f>
        <v>0</v>
      </c>
      <c r="DI63" s="24">
        <f t="shared" si="15"/>
        <v>1.1048460860412557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>
        <f>VLOOKUP(A63,'Données projet'!$A$165:$I$185,2,0)</f>
        <v>177</v>
      </c>
      <c r="DM63" s="13">
        <f>VLOOKUP(A63,'Données projet'!$A$165:$I$185,9,0)</f>
        <v>5.2</v>
      </c>
      <c r="DN63" s="13">
        <f t="array" ref="DN63">INDEX(DM:DM,MIN(IF(ISNUMBER(DM63:DM259),ROW(DM63:DM259),"")))</f>
        <v>5.2</v>
      </c>
      <c r="DO63" s="13">
        <f>IF('Données projet'!$A$166&gt;35,DO62+DN63-DW62,IF(A63&lt;'Données projet'!$A$166,$DL$205^A63,IF(A63='Données projet'!$A$166,'Données projet'!$B$166,DO62+DN63-DW62)))</f>
        <v>177.00000000000011</v>
      </c>
      <c r="DP63" s="18">
        <f>DO63*VLOOKUP('Données projet'!$B$14,Paramètres!$A$1:$I$89,3,0)*VLOOKUP('Données projet'!$B$14,Paramètres!$A$1:$I$89,5,0)</f>
        <v>115.97040000000007</v>
      </c>
      <c r="DQ63" s="14">
        <f t="shared" si="43"/>
        <v>30.733301120222794</v>
      </c>
      <c r="DR63" s="22">
        <f t="shared" si="16"/>
        <v>255.50894611772148</v>
      </c>
      <c r="DS63" s="62">
        <f t="shared" si="17"/>
        <v>548.84227945105476</v>
      </c>
      <c r="DT63" s="62">
        <f ca="1">AVERAGE(OFFSET($DS$3,0,0,'Données projet'!$E$14+1,1))-AVERAGE(OFFSET($H$3,0,0,'Données projet'!$E$14+1,1))</f>
        <v>210.08998695869161</v>
      </c>
      <c r="DU63" s="62">
        <f t="shared" si="44"/>
        <v>207.30911916430881</v>
      </c>
      <c r="DV63" s="16">
        <f>IF(ISNA(VLOOKUP(A63,'Données projet'!$A$165:$I$185,3,0)),0,VLOOKUP(A63,'Données projet'!$A$165:$I$185,3,0))</f>
        <v>11</v>
      </c>
      <c r="DW63" s="16">
        <f>IF(ISNA(VLOOKUP(A63,'Données projet'!$A$165:$I$185,4,0)),0,VLOOKUP(A63,'Données projet'!$A$165:$I$185,4,0))</f>
        <v>19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>
        <f>EXP(-LN(2)/35)*EA62+(1-EXP(-LN(2)/35))/(LN(2)/35)*DW63*DX63*VLOOKUP('Données projet'!$B$14,Paramètres!$A$1:$I$89,3,0)*0.475*44/12</f>
        <v>0.25387952615416076</v>
      </c>
      <c r="EB63" s="23">
        <f>EXP(-LN(2)/25)*EB62+(1-EXP(-LN(2)/25))/(LN(2)/25)*Calculateur!DW63*Calculateur!DY63*VLOOKUP('Données projet'!$B$14,Paramètres!$A$1:$I$89,3,0)*0.475*44/12</f>
        <v>0</v>
      </c>
      <c r="EC63" s="23">
        <f>EXP(-LN(2)/2)*EC62+(1-EXP(-LN(2)/2))/(LN(2)/2)*DW63*DZ63*VLOOKUP('Données projet'!$B$14,Paramètres!$A$1:$I$89,3,0)*0.475*44/12</f>
        <v>0</v>
      </c>
      <c r="ED63" s="24">
        <f t="shared" si="18"/>
        <v>0.25387952615416076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>
        <f>VLOOKUP(A63,'Données projet'!$A$191:$I$211,2,0)</f>
        <v>297</v>
      </c>
      <c r="EH63" s="13">
        <f>VLOOKUP(A63,'Données projet'!$A$191:$I$211,9,0)</f>
        <v>9.375</v>
      </c>
      <c r="EI63" s="13">
        <f t="array" ref="EI63">INDEX(EH:EH,MIN(IF(ISNUMBER(EH63:EH259),ROW(EH63:EH259),"")))</f>
        <v>9.375</v>
      </c>
      <c r="EJ63" s="13">
        <f>IF('Données projet'!$A$192&gt;35,EJ62+EI63-ER62,IF(A63&lt;'Données projet'!$A$192,$EG$205^A63,IF(A63='Données projet'!$A$192,'Données projet'!$B$192,EJ62+EI63-ER62)))</f>
        <v>296.99999999999989</v>
      </c>
      <c r="EK63" s="18">
        <f>EJ63*VLOOKUP('Données projet'!$B$15,Paramètres!$A$1:$I$89,3,0)*VLOOKUP('Données projet'!$B$15,Paramètres!$A$1:$I$89,5,0)</f>
        <v>231.65999999999991</v>
      </c>
      <c r="EL63" s="14">
        <f t="shared" si="45"/>
        <v>56.641461975682766</v>
      </c>
      <c r="EM63" s="22">
        <f t="shared" si="19"/>
        <v>502.125046274314</v>
      </c>
      <c r="EN63" s="62">
        <f t="shared" si="20"/>
        <v>795.45837960764732</v>
      </c>
      <c r="EO63" s="62">
        <f ca="1">AVERAGE(OFFSET($EN$3,0,0,'Données projet'!$E$15+1,1))-AVERAGE(OFFSET($H$3,0,0,'Données projet'!$E$15+1,1))</f>
        <v>288.82868507674738</v>
      </c>
      <c r="EP63" s="62">
        <f t="shared" si="46"/>
        <v>283.48738729114024</v>
      </c>
      <c r="EQ63" s="16">
        <f>IF(ISNA(VLOOKUP(A63,'Données projet'!$A$191:$I$211,3,0)),0,VLOOKUP(A63,'Données projet'!$A$191:$I$211,3,0))</f>
        <v>8</v>
      </c>
      <c r="ER63" s="16">
        <f>IF(ISNA(VLOOKUP(A63,'Données projet'!$A$191:$I$211,4,0)),0,VLOOKUP(A63,'Données projet'!$A$191:$I$211,4,0))</f>
        <v>47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>
        <f>EXP(-LN(2)/35)*EV62+(1-EXP(-LN(2)/35))/(LN(2)/35)*ER63*ES63*VLOOKUP('Données projet'!$B$15,Paramètres!$A$1:$I$89,3,0)*0.475*44/12</f>
        <v>1.0010918662974477</v>
      </c>
      <c r="EW63" s="23">
        <f>EXP(-LN(2)/25)*EW62+(1-EXP(-LN(2)/25))/(LN(2)/25)*Calculateur!ER63*Calculateur!ET63*VLOOKUP('Données projet'!$B$15,Paramètres!$A$1:$I$89,3,0)*0.475*44/12</f>
        <v>0</v>
      </c>
      <c r="EX63" s="23">
        <f>EXP(-LN(2)/2)*EX62+(1-EXP(-LN(2)/2))/(LN(2)/2)*ER63*EU63*VLOOKUP('Données projet'!$B$15,Paramètres!$A$1:$I$89,3,0)*0.475*44/12</f>
        <v>0</v>
      </c>
      <c r="EY63" s="24">
        <f t="shared" si="21"/>
        <v>1.0010918662974477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16.666666666666668</v>
      </c>
      <c r="N64" s="14">
        <f>IF('Données projet'!$A$36&gt;35,N63+M64-V63,IF(A64&lt;'Données projet'!$A$36,$K$205^A64,IF(A64='Données projet'!$A$36,'Données projet'!$B$36,N63+M64-V63)))</f>
        <v>382.66666666666663</v>
      </c>
      <c r="O64" s="14">
        <f>N64*VLOOKUP('Données projet'!$B$9,Paramètres!$A$1:$I$89,3,0)*VLOOKUP('Données projet'!$B$9,Paramètres!$A$1:$I$89,5,0)</f>
        <v>179.08799999999999</v>
      </c>
      <c r="P64" s="14">
        <f t="shared" si="33"/>
        <v>45.119223023956835</v>
      </c>
      <c r="Q64" s="22">
        <f t="shared" si="53"/>
        <v>390.49424676672476</v>
      </c>
      <c r="R64" s="62">
        <f t="shared" si="0"/>
        <v>683.82758010005807</v>
      </c>
      <c r="S64" s="62">
        <f ca="1">AVERAGE(OFFSET($R$3,0,0,'Données projet'!$E$9+1,1))-AVERAGE(OFFSET($H$3,0,0,'Données projet'!$E$9+1,1))</f>
        <v>317.54276561627643</v>
      </c>
      <c r="T64" s="62">
        <f t="shared" si="34"/>
        <v>238.92443174298893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5.2</v>
      </c>
      <c r="AI64" s="14">
        <f>IF('Données projet'!$A$62&gt;35,AI63+AH64-AQ63,IF(A64&lt;'Données projet'!$A$62,$AF$205^A64,IF(A64='Données projet'!$A$62,'Données projet'!$B$62,AI63+AH64-AQ63)))</f>
        <v>203.20000000000002</v>
      </c>
      <c r="AJ64" s="14">
        <f>AI64*VLOOKUP('Données projet'!$B$10,Paramètres!$A$1:$I$89,3,0)*VLOOKUP('Données projet'!$B$10,Paramètres!$A$1:$I$89,5,0)</f>
        <v>177.51552000000004</v>
      </c>
      <c r="AK64" s="14">
        <f t="shared" si="35"/>
        <v>44.768988809542904</v>
      </c>
      <c r="AL64" s="22">
        <f t="shared" si="4"/>
        <v>387.145519509954</v>
      </c>
      <c r="AM64" s="62">
        <f t="shared" si="5"/>
        <v>680.47885284328731</v>
      </c>
      <c r="AN64" s="62">
        <f ca="1">AVERAGE(OFFSET($AM$3,0,0,'Données projet'!$E$10+1,1))-AVERAGE(OFFSET($H$3,0,0,'Données projet'!$E$10+1,1))</f>
        <v>327.826081588335</v>
      </c>
      <c r="AO64" s="62">
        <f t="shared" si="36"/>
        <v>348.84706693879735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3.3263147310430941</v>
      </c>
      <c r="AV64" s="23">
        <f>EXP(-LN(2)/25)*AV63+(1-EXP(-LN(2)/25))/(LN(2)/25)*Calculateur!AQ64*Calculateur!AS64*VLOOKUP('Données projet'!$B$10,Paramètres!$A$1:$I$89,3,0)*0.475*44/12</f>
        <v>5.808457391205021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9.1347721222481155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8.8000000000000007</v>
      </c>
      <c r="BD64" s="13">
        <f>IF('Données projet'!$A$88&gt;35,BD63+BC64-BL63,IF(A64&lt;'Données projet'!$A$88,$BA$205^A64,IF(A64='Données projet'!$A$88,'Données projet'!$B$88,BD63+BC64-BL63)))</f>
        <v>253.79999999999995</v>
      </c>
      <c r="BE64" s="14">
        <f>BD64*VLOOKUP('Données projet'!$B$11,Paramètres!$A$1:$I$89,3,0)*VLOOKUP('Données projet'!$B$11,Paramètres!$A$1:$I$89,5,0)</f>
        <v>257.35319999999996</v>
      </c>
      <c r="BF64" s="14">
        <f t="shared" si="37"/>
        <v>62.157851613080908</v>
      </c>
      <c r="BG64" s="22">
        <f t="shared" si="7"/>
        <v>556.48174822611588</v>
      </c>
      <c r="BH64" s="62">
        <f t="shared" si="8"/>
        <v>849.81508155944925</v>
      </c>
      <c r="BI64" s="62">
        <f ca="1">AVERAGE(OFFSET($BH$3,0,0,'Données projet'!$E$11+1,1))-AVERAGE(OFFSET($H$3,0,0,'Données projet'!$E$11+1,1))</f>
        <v>487.04124684635974</v>
      </c>
      <c r="BJ64" s="62">
        <f t="shared" si="38"/>
        <v>306.61893266146666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1.4608814697148724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1.4608814697148724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8.8000000000000007</v>
      </c>
      <c r="BY64" s="13">
        <f>IF('Données projet'!$A$114&gt;35,BY63+BX64-CG63,IF(A64&lt;'Données projet'!$A$114,$BV$205^A64,IF(A64='Données projet'!$A$114,'Données projet'!$B$114,BY63+BX64-CG63)))</f>
        <v>253.79999999999995</v>
      </c>
      <c r="BZ64" s="14">
        <f>BY64*VLOOKUP('Données projet'!$B$12,Paramètres!$A$1:$I$89,3,0)*VLOOKUP('Données projet'!$B$12,Paramètres!$A$1:$I$89,5,0)</f>
        <v>229.63823999999994</v>
      </c>
      <c r="CA64" s="14">
        <f t="shared" si="39"/>
        <v>56.204453396569633</v>
      </c>
      <c r="CB64" s="22">
        <f t="shared" si="10"/>
        <v>497.84269099902531</v>
      </c>
      <c r="CC64" s="62">
        <f t="shared" si="11"/>
        <v>791.17602433235857</v>
      </c>
      <c r="CD64" s="62">
        <f ca="1">AVERAGE(OFFSET($CC$3,0,0,'Données projet'!$E$12+1,1))-AVERAGE(OFFSET($H$3,0,0,'Données projet'!$E$12+1,1))</f>
        <v>439.06700232017681</v>
      </c>
      <c r="CE64" s="62">
        <f t="shared" si="40"/>
        <v>278.21741231699929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1.3035557729763476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1.3035557729763476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5.2</v>
      </c>
      <c r="CT64" s="13">
        <f>IF('Données projet'!$A$140&gt;35,CT63+CS64-DB63,IF(A64&lt;'Données projet'!$A$140,$CQ$205^A64,IF(A64='Données projet'!$A$140,'Données projet'!$B$140,CT63+CS64-DB63)))</f>
        <v>285.19999999999982</v>
      </c>
      <c r="CU64" s="18">
        <f>CT64*VLOOKUP('Données projet'!$B$13,Paramètres!$A$1:$I$89,3,0)*VLOOKUP('Données projet'!$B$13,Paramètres!$A$1:$I$89,5,0)</f>
        <v>209.10863999999984</v>
      </c>
      <c r="CV64" s="14">
        <f t="shared" si="41"/>
        <v>51.740752917406994</v>
      </c>
      <c r="CW64" s="22">
        <f t="shared" si="13"/>
        <v>454.31269266448356</v>
      </c>
      <c r="CX64" s="62">
        <f t="shared" si="14"/>
        <v>747.64602599781688</v>
      </c>
      <c r="CY64" s="62">
        <f ca="1">AVERAGE(OFFSET($CX$3,0,0,'Données projet'!$E$13+1,1))-AVERAGE(OFFSET($H$3,0,0,'Données projet'!$E$13+1,1))</f>
        <v>327.81662150328646</v>
      </c>
      <c r="CZ64" s="62">
        <f t="shared" si="42"/>
        <v>320.24200483294322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1.0831807281835582</v>
      </c>
      <c r="DG64" s="23">
        <f>EXP(-LN(2)/25)*DG63+(1-EXP(-LN(2)/25))/(LN(2)/25)*Calculateur!DB64*Calculateur!DD64*VLOOKUP('Données projet'!$B$13,Paramètres!$A$1:$I$89,3,0)*0.475*44/12</f>
        <v>0</v>
      </c>
      <c r="DH64" s="23">
        <f>EXP(-LN(2)/2)*DH63+(1-EXP(-LN(2)/2))/(LN(2)/2)*DB64*DE64*VLOOKUP('Données projet'!$B$13,Paramètres!$A$1:$I$89,3,0)*0.475*44/12</f>
        <v>0</v>
      </c>
      <c r="DI64" s="24">
        <f t="shared" si="15"/>
        <v>1.0831807281835582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5</v>
      </c>
      <c r="DO64" s="13">
        <f>IF('Données projet'!$A$166&gt;35,DO63+DN64-DW63,IF(A64&lt;'Données projet'!$A$166,$DL$205^A64,IF(A64='Données projet'!$A$166,'Données projet'!$B$166,DO63+DN64-DW63)))</f>
        <v>163.00000000000011</v>
      </c>
      <c r="DP64" s="18">
        <f>DO64*VLOOKUP('Données projet'!$B$14,Paramètres!$A$1:$I$89,3,0)*VLOOKUP('Données projet'!$B$14,Paramètres!$A$1:$I$89,5,0)</f>
        <v>106.79760000000009</v>
      </c>
      <c r="DQ64" s="14">
        <f t="shared" si="43"/>
        <v>28.575181674561119</v>
      </c>
      <c r="DR64" s="22">
        <f t="shared" si="16"/>
        <v>235.77426141652742</v>
      </c>
      <c r="DS64" s="62">
        <f t="shared" si="17"/>
        <v>529.10759474986071</v>
      </c>
      <c r="DT64" s="62">
        <f ca="1">AVERAGE(OFFSET($DS$3,0,0,'Données projet'!$E$14+1,1))-AVERAGE(OFFSET($H$3,0,0,'Données projet'!$E$14+1,1))</f>
        <v>210.08998695869161</v>
      </c>
      <c r="DU64" s="62">
        <f t="shared" si="44"/>
        <v>207.30911916430881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>
        <f>EXP(-LN(2)/35)*EA63+(1-EXP(-LN(2)/35))/(LN(2)/35)*DW64*DX64*VLOOKUP('Données projet'!$B$14,Paramètres!$A$1:$I$89,3,0)*0.475*44/12</f>
        <v>0.24890110349749833</v>
      </c>
      <c r="EB64" s="23">
        <f>EXP(-LN(2)/25)*EB63+(1-EXP(-LN(2)/25))/(LN(2)/25)*Calculateur!DW64*Calculateur!DY64*VLOOKUP('Données projet'!$B$14,Paramètres!$A$1:$I$89,3,0)*0.475*44/12</f>
        <v>0</v>
      </c>
      <c r="EC64" s="23">
        <f>EXP(-LN(2)/2)*EC63+(1-EXP(-LN(2)/2))/(LN(2)/2)*DW64*DZ64*VLOOKUP('Données projet'!$B$14,Paramètres!$A$1:$I$89,3,0)*0.475*44/12</f>
        <v>0</v>
      </c>
      <c r="ED64" s="24">
        <f t="shared" si="18"/>
        <v>0.24890110349749833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8.6666666666666661</v>
      </c>
      <c r="EJ64" s="13">
        <f>IF('Données projet'!$A$192&gt;35,EJ63+EI64-ER63,IF(A64&lt;'Données projet'!$A$192,$EG$205^A64,IF(A64='Données projet'!$A$192,'Données projet'!$B$192,EJ63+EI64-ER63)))</f>
        <v>258.66666666666657</v>
      </c>
      <c r="EK64" s="18">
        <f>EJ64*VLOOKUP('Données projet'!$B$15,Paramètres!$A$1:$I$89,3,0)*VLOOKUP('Données projet'!$B$15,Paramètres!$A$1:$I$89,5,0)</f>
        <v>201.75999999999993</v>
      </c>
      <c r="EL64" s="14">
        <f t="shared" si="45"/>
        <v>50.130765000424169</v>
      </c>
      <c r="EM64" s="22">
        <f t="shared" si="19"/>
        <v>438.70974904240529</v>
      </c>
      <c r="EN64" s="62">
        <f t="shared" si="20"/>
        <v>732.04308237573855</v>
      </c>
      <c r="EO64" s="62">
        <f ca="1">AVERAGE(OFFSET($EN$3,0,0,'Données projet'!$E$15+1,1))-AVERAGE(OFFSET($H$3,0,0,'Données projet'!$E$15+1,1))</f>
        <v>288.82868507674738</v>
      </c>
      <c r="EP64" s="62">
        <f t="shared" si="46"/>
        <v>283.48738729114024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>
        <f>EXP(-LN(2)/35)*EV63+(1-EXP(-LN(2)/35))/(LN(2)/35)*ER64*ES64*VLOOKUP('Données projet'!$B$15,Paramètres!$A$1:$I$89,3,0)*0.475*44/12</f>
        <v>0.98146106540510092</v>
      </c>
      <c r="EW64" s="23">
        <f>EXP(-LN(2)/25)*EW63+(1-EXP(-LN(2)/25))/(LN(2)/25)*Calculateur!ER64*Calculateur!ET64*VLOOKUP('Données projet'!$B$15,Paramètres!$A$1:$I$89,3,0)*0.475*44/12</f>
        <v>0</v>
      </c>
      <c r="EX64" s="23">
        <f>EXP(-LN(2)/2)*EX63+(1-EXP(-LN(2)/2))/(LN(2)/2)*ER64*EU64*VLOOKUP('Données projet'!$B$15,Paramètres!$A$1:$I$89,3,0)*0.475*44/12</f>
        <v>0</v>
      </c>
      <c r="EY64" s="24">
        <f t="shared" si="21"/>
        <v>0.98146106540510092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16.666666666666668</v>
      </c>
      <c r="N65" s="14">
        <f>IF('Données projet'!$A$36&gt;35,N64+M65-V64,IF(A65&lt;'Données projet'!$A$36,$K$205^A65,IF(A65='Données projet'!$A$36,'Données projet'!$B$36,N64+M65-V64)))</f>
        <v>399.33333333333331</v>
      </c>
      <c r="O65" s="14">
        <f>N65*VLOOKUP('Données projet'!$B$9,Paramètres!$A$1:$I$89,3,0)*VLOOKUP('Données projet'!$B$9,Paramètres!$A$1:$I$89,5,0)</f>
        <v>186.88800000000001</v>
      </c>
      <c r="P65" s="14">
        <f t="shared" si="33"/>
        <v>46.851273946133198</v>
      </c>
      <c r="Q65" s="22">
        <f t="shared" si="53"/>
        <v>407.09590212284866</v>
      </c>
      <c r="R65" s="62">
        <f t="shared" si="0"/>
        <v>700.42923545618191</v>
      </c>
      <c r="S65" s="62">
        <f ca="1">AVERAGE(OFFSET($R$3,0,0,'Données projet'!$E$9+1,1))-AVERAGE(OFFSET($H$3,0,0,'Données projet'!$E$9+1,1))</f>
        <v>317.54276561627643</v>
      </c>
      <c r="T65" s="62">
        <f t="shared" si="34"/>
        <v>238.92443174298893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5.2</v>
      </c>
      <c r="AI65" s="14">
        <f>IF('Données projet'!$A$62&gt;35,AI64+AH65-AQ64,IF(A65&lt;'Données projet'!$A$62,$AF$205^A65,IF(A65='Données projet'!$A$62,'Données projet'!$B$62,AI64+AH65-AQ64)))</f>
        <v>208.4</v>
      </c>
      <c r="AJ65" s="14">
        <f>AI65*VLOOKUP('Données projet'!$B$10,Paramètres!$A$1:$I$89,3,0)*VLOOKUP('Données projet'!$B$10,Paramètres!$A$1:$I$89,5,0)</f>
        <v>182.05824000000001</v>
      </c>
      <c r="AK65" s="14">
        <f t="shared" si="35"/>
        <v>45.779803189729343</v>
      </c>
      <c r="AL65" s="22">
        <f t="shared" si="4"/>
        <v>396.81792522211191</v>
      </c>
      <c r="AM65" s="62">
        <f t="shared" si="5"/>
        <v>690.15125855544522</v>
      </c>
      <c r="AN65" s="62">
        <f ca="1">AVERAGE(OFFSET($AM$3,0,0,'Données projet'!$E$10+1,1))-AVERAGE(OFFSET($H$3,0,0,'Données projet'!$E$10+1,1))</f>
        <v>327.826081588335</v>
      </c>
      <c r="AO65" s="62">
        <f t="shared" si="36"/>
        <v>348.84706693879735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3.2610877280189925</v>
      </c>
      <c r="AV65" s="23">
        <f>EXP(-LN(2)/25)*AV64+(1-EXP(-LN(2)/25))/(LN(2)/25)*Calculateur!AQ65*Calculateur!AS65*VLOOKUP('Données projet'!$B$10,Paramètres!$A$1:$I$89,3,0)*0.475*44/12</f>
        <v>5.6496248183890208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8.9107125464080141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8.8000000000000007</v>
      </c>
      <c r="BD65" s="13">
        <f>IF('Données projet'!$A$88&gt;35,BD64+BC65-BL64,IF(A65&lt;'Données projet'!$A$88,$BA$205^A65,IF(A65='Données projet'!$A$88,'Données projet'!$B$88,BD64+BC65-BL64)))</f>
        <v>262.59999999999997</v>
      </c>
      <c r="BE65" s="14">
        <f>BD65*VLOOKUP('Données projet'!$B$11,Paramètres!$A$1:$I$89,3,0)*VLOOKUP('Données projet'!$B$11,Paramètres!$A$1:$I$89,5,0)</f>
        <v>266.27640000000002</v>
      </c>
      <c r="BF65" s="14">
        <f t="shared" si="37"/>
        <v>64.058389829439747</v>
      </c>
      <c r="BG65" s="22">
        <f t="shared" si="7"/>
        <v>575.33309228627434</v>
      </c>
      <c r="BH65" s="62">
        <f t="shared" si="8"/>
        <v>868.66642561960771</v>
      </c>
      <c r="BI65" s="62">
        <f ca="1">AVERAGE(OFFSET($BH$3,0,0,'Données projet'!$E$11+1,1))-AVERAGE(OFFSET($H$3,0,0,'Données projet'!$E$11+1,1))</f>
        <v>487.04124684635974</v>
      </c>
      <c r="BJ65" s="62">
        <f t="shared" si="38"/>
        <v>306.61893266146666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1.4322344751434763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1.4322344751434763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8.8000000000000007</v>
      </c>
      <c r="BY65" s="13">
        <f>IF('Données projet'!$A$114&gt;35,BY64+BX65-CG64,IF(A65&lt;'Données projet'!$A$114,$BV$205^A65,IF(A65='Données projet'!$A$114,'Données projet'!$B$114,BY64+BX65-CG64)))</f>
        <v>262.59999999999997</v>
      </c>
      <c r="BZ65" s="14">
        <f>BY65*VLOOKUP('Données projet'!$B$12,Paramètres!$A$1:$I$89,3,0)*VLOOKUP('Données projet'!$B$12,Paramètres!$A$1:$I$89,5,0)</f>
        <v>237.60047999999995</v>
      </c>
      <c r="CA65" s="14">
        <f t="shared" si="39"/>
        <v>57.922960533442058</v>
      </c>
      <c r="CB65" s="22">
        <f t="shared" si="10"/>
        <v>514.70332559574479</v>
      </c>
      <c r="CC65" s="62">
        <f t="shared" si="11"/>
        <v>808.03665892907816</v>
      </c>
      <c r="CD65" s="62">
        <f ca="1">AVERAGE(OFFSET($CC$3,0,0,'Données projet'!$E$12+1,1))-AVERAGE(OFFSET($H$3,0,0,'Données projet'!$E$12+1,1))</f>
        <v>439.06700232017681</v>
      </c>
      <c r="CE65" s="62">
        <f t="shared" si="40"/>
        <v>278.21741231699929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1.2779938393587942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1.2779938393587942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5.2</v>
      </c>
      <c r="CT65" s="13">
        <f>IF('Données projet'!$A$140&gt;35,CT64+CS65-DB64,IF(A65&lt;'Données projet'!$A$140,$CQ$205^A65,IF(A65='Données projet'!$A$140,'Données projet'!$B$140,CT64+CS65-DB64)))</f>
        <v>290.39999999999981</v>
      </c>
      <c r="CU65" s="18">
        <f>CT65*VLOOKUP('Données projet'!$B$13,Paramètres!$A$1:$I$89,3,0)*VLOOKUP('Données projet'!$B$13,Paramètres!$A$1:$I$89,5,0)</f>
        <v>212.92127999999988</v>
      </c>
      <c r="CV65" s="14">
        <f t="shared" si="41"/>
        <v>52.57344469809297</v>
      </c>
      <c r="CW65" s="22">
        <f t="shared" si="13"/>
        <v>462.40331218251168</v>
      </c>
      <c r="CX65" s="62">
        <f t="shared" si="14"/>
        <v>755.736645515845</v>
      </c>
      <c r="CY65" s="62">
        <f ca="1">AVERAGE(OFFSET($CX$3,0,0,'Données projet'!$E$13+1,1))-AVERAGE(OFFSET($H$3,0,0,'Données projet'!$E$13+1,1))</f>
        <v>327.81662150328646</v>
      </c>
      <c r="CZ65" s="62">
        <f t="shared" si="42"/>
        <v>320.24200483294322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1.0619402147788866</v>
      </c>
      <c r="DG65" s="23">
        <f>EXP(-LN(2)/25)*DG64+(1-EXP(-LN(2)/25))/(LN(2)/25)*Calculateur!DB65*Calculateur!DD65*VLOOKUP('Données projet'!$B$13,Paramètres!$A$1:$I$89,3,0)*0.475*44/12</f>
        <v>0</v>
      </c>
      <c r="DH65" s="23">
        <f>EXP(-LN(2)/2)*DH64+(1-EXP(-LN(2)/2))/(LN(2)/2)*DB65*DE65*VLOOKUP('Données projet'!$B$13,Paramètres!$A$1:$I$89,3,0)*0.475*44/12</f>
        <v>0</v>
      </c>
      <c r="DI65" s="24">
        <f t="shared" si="15"/>
        <v>1.0619402147788866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5</v>
      </c>
      <c r="DO65" s="13">
        <f>IF('Données projet'!$A$166&gt;35,DO64+DN65-DW64,IF(A65&lt;'Données projet'!$A$166,$DL$205^A65,IF(A65='Données projet'!$A$166,'Données projet'!$B$166,DO64+DN65-DW64)))</f>
        <v>168.00000000000011</v>
      </c>
      <c r="DP65" s="18">
        <f>DO65*VLOOKUP('Données projet'!$B$14,Paramètres!$A$1:$I$89,3,0)*VLOOKUP('Données projet'!$B$14,Paramètres!$A$1:$I$89,5,0)</f>
        <v>110.07360000000007</v>
      </c>
      <c r="DQ65" s="14">
        <f t="shared" si="43"/>
        <v>29.348324631518828</v>
      </c>
      <c r="DR65" s="22">
        <f t="shared" si="16"/>
        <v>242.82651873322871</v>
      </c>
      <c r="DS65" s="62">
        <f t="shared" si="17"/>
        <v>536.15985206656205</v>
      </c>
      <c r="DT65" s="62">
        <f ca="1">AVERAGE(OFFSET($DS$3,0,0,'Données projet'!$E$14+1,1))-AVERAGE(OFFSET($H$3,0,0,'Données projet'!$E$14+1,1))</f>
        <v>210.08998695869161</v>
      </c>
      <c r="DU65" s="62">
        <f t="shared" si="44"/>
        <v>207.30911916430881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>
        <f>EXP(-LN(2)/35)*EA64+(1-EXP(-LN(2)/35))/(LN(2)/35)*DW65*DX65*VLOOKUP('Données projet'!$B$14,Paramètres!$A$1:$I$89,3,0)*0.475*44/12</f>
        <v>0.24402030467259506</v>
      </c>
      <c r="EB65" s="23">
        <f>EXP(-LN(2)/25)*EB64+(1-EXP(-LN(2)/25))/(LN(2)/25)*Calculateur!DW65*Calculateur!DY65*VLOOKUP('Données projet'!$B$14,Paramètres!$A$1:$I$89,3,0)*0.475*44/12</f>
        <v>0</v>
      </c>
      <c r="EC65" s="23">
        <f>EXP(-LN(2)/2)*EC64+(1-EXP(-LN(2)/2))/(LN(2)/2)*DW65*DZ65*VLOOKUP('Données projet'!$B$14,Paramètres!$A$1:$I$89,3,0)*0.475*44/12</f>
        <v>0</v>
      </c>
      <c r="ED65" s="24">
        <f t="shared" si="18"/>
        <v>0.24402030467259506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8.6666666666666661</v>
      </c>
      <c r="EJ65" s="13">
        <f>IF('Données projet'!$A$192&gt;35,EJ64+EI65-ER64,IF(A65&lt;'Données projet'!$A$192,$EG$205^A65,IF(A65='Données projet'!$A$192,'Données projet'!$B$192,EJ64+EI65-ER64)))</f>
        <v>267.33333333333326</v>
      </c>
      <c r="EK65" s="18">
        <f>EJ65*VLOOKUP('Données projet'!$B$15,Paramètres!$A$1:$I$89,3,0)*VLOOKUP('Données projet'!$B$15,Paramètres!$A$1:$I$89,5,0)</f>
        <v>208.51999999999995</v>
      </c>
      <c r="EL65" s="14">
        <f t="shared" si="45"/>
        <v>51.612035456318459</v>
      </c>
      <c r="EM65" s="22">
        <f t="shared" si="19"/>
        <v>453.06329508642119</v>
      </c>
      <c r="EN65" s="62">
        <f t="shared" si="20"/>
        <v>746.39662841975451</v>
      </c>
      <c r="EO65" s="62">
        <f ca="1">AVERAGE(OFFSET($EN$3,0,0,'Données projet'!$E$15+1,1))-AVERAGE(OFFSET($H$3,0,0,'Données projet'!$E$15+1,1))</f>
        <v>288.82868507674738</v>
      </c>
      <c r="EP65" s="62">
        <f t="shared" si="46"/>
        <v>283.48738729114024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>
        <f>EXP(-LN(2)/35)*EV64+(1-EXP(-LN(2)/35))/(LN(2)/35)*ER65*ES65*VLOOKUP('Données projet'!$B$15,Paramètres!$A$1:$I$89,3,0)*0.475*44/12</f>
        <v>0.96221521254464681</v>
      </c>
      <c r="EW65" s="23">
        <f>EXP(-LN(2)/25)*EW64+(1-EXP(-LN(2)/25))/(LN(2)/25)*Calculateur!ER65*Calculateur!ET65*VLOOKUP('Données projet'!$B$15,Paramètres!$A$1:$I$89,3,0)*0.475*44/12</f>
        <v>0</v>
      </c>
      <c r="EX65" s="23">
        <f>EXP(-LN(2)/2)*EX64+(1-EXP(-LN(2)/2))/(LN(2)/2)*ER65*EU65*VLOOKUP('Données projet'!$B$15,Paramètres!$A$1:$I$89,3,0)*0.475*44/12</f>
        <v>0</v>
      </c>
      <c r="EY65" s="24">
        <f t="shared" si="21"/>
        <v>0.96221521254464681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>
        <f>VLOOKUP(A66,'Données projet'!$A$35:$I$55,2,0)</f>
        <v>416</v>
      </c>
      <c r="L66" s="13">
        <f>VLOOKUP(A66,'Données projet'!$A$35:$I$55,9,0)</f>
        <v>16.666666666666668</v>
      </c>
      <c r="M66" s="13">
        <f t="array" ref="M66">INDEX(L:L,MIN(IF(ISNUMBER(L66:L262),ROW(L66:L262),"")))</f>
        <v>16.666666666666668</v>
      </c>
      <c r="N66" s="14">
        <f>IF('Données projet'!$A$36&gt;35,N65+M66-V65,IF(A66&lt;'Données projet'!$A$36,$K$205^A66,IF(A66='Données projet'!$A$36,'Données projet'!$B$36,N65+M66-V65)))</f>
        <v>416</v>
      </c>
      <c r="O66" s="14">
        <f>N66*VLOOKUP('Données projet'!$B$9,Paramètres!$A$1:$I$89,3,0)*VLOOKUP('Données projet'!$B$9,Paramètres!$A$1:$I$89,5,0)</f>
        <v>194.68799999999999</v>
      </c>
      <c r="P66" s="14">
        <f t="shared" si="33"/>
        <v>48.574928228914978</v>
      </c>
      <c r="Q66" s="22">
        <f t="shared" si="53"/>
        <v>423.68293333202695</v>
      </c>
      <c r="R66" s="62">
        <f t="shared" si="0"/>
        <v>717.01626666536026</v>
      </c>
      <c r="S66" s="62">
        <f ca="1">AVERAGE(OFFSET($R$3,0,0,'Données projet'!$E$9+1,1))-AVERAGE(OFFSET($H$3,0,0,'Données projet'!$E$9+1,1))</f>
        <v>317.54276561627643</v>
      </c>
      <c r="T66" s="62">
        <f t="shared" si="34"/>
        <v>238.92443174298893</v>
      </c>
      <c r="U66" s="16">
        <f>IF(ISNA(VLOOKUP(A66,'Données projet'!$A$35:$I$55,3,0)),0,VLOOKUP(A66,'Données projet'!$A$35:$I$55,3,0))</f>
        <v>9</v>
      </c>
      <c r="V66" s="16">
        <f>IF(ISNA(VLOOKUP(A66,'Données projet'!$A$35:$I$55,4,0)),0,VLOOKUP(A66,'Données projet'!$A$35:$I$55,4,0))</f>
        <v>79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5.2</v>
      </c>
      <c r="AI66" s="14">
        <f>IF('Données projet'!$A$62&gt;35,AI65+AH66-AQ65,IF(A66&lt;'Données projet'!$A$62,$AF$205^A66,IF(A66='Données projet'!$A$62,'Données projet'!$B$62,AI65+AH66-AQ65)))</f>
        <v>213.6</v>
      </c>
      <c r="AJ66" s="14">
        <f>AI66*VLOOKUP('Données projet'!$B$10,Paramètres!$A$1:$I$89,3,0)*VLOOKUP('Données projet'!$B$10,Paramètres!$A$1:$I$89,5,0)</f>
        <v>186.60096000000001</v>
      </c>
      <c r="AK66" s="14">
        <f t="shared" si="35"/>
        <v>46.787685683664144</v>
      </c>
      <c r="AL66" s="22">
        <f t="shared" si="4"/>
        <v>406.48522456571504</v>
      </c>
      <c r="AM66" s="62">
        <f t="shared" si="5"/>
        <v>699.8185578990483</v>
      </c>
      <c r="AN66" s="62">
        <f ca="1">AVERAGE(OFFSET($AM$3,0,0,'Données projet'!$E$10+1,1))-AVERAGE(OFFSET($H$3,0,0,'Données projet'!$E$10+1,1))</f>
        <v>327.826081588335</v>
      </c>
      <c r="AO66" s="62">
        <f t="shared" si="36"/>
        <v>348.84706693879735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3.1971397867396503</v>
      </c>
      <c r="AV66" s="23">
        <f>EXP(-LN(2)/25)*AV65+(1-EXP(-LN(2)/25))/(LN(2)/25)*Calculateur!AQ66*Calculateur!AS66*VLOOKUP('Données projet'!$B$10,Paramètres!$A$1:$I$89,3,0)*0.475*44/12</f>
        <v>5.4951355306293159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8.6922753173689671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8.8000000000000007</v>
      </c>
      <c r="BD66" s="13">
        <f>IF('Données projet'!$A$88&gt;35,BD65+BC66-BL65,IF(A66&lt;'Données projet'!$A$88,$BA$205^A66,IF(A66='Données projet'!$A$88,'Données projet'!$B$88,BD65+BC66-BL65)))</f>
        <v>271.39999999999998</v>
      </c>
      <c r="BE66" s="14">
        <f>BD66*VLOOKUP('Données projet'!$B$11,Paramètres!$A$1:$I$89,3,0)*VLOOKUP('Données projet'!$B$11,Paramètres!$A$1:$I$89,5,0)</f>
        <v>275.19960000000003</v>
      </c>
      <c r="BF66" s="14">
        <f t="shared" si="37"/>
        <v>65.951527620662617</v>
      </c>
      <c r="BG66" s="22">
        <f t="shared" si="7"/>
        <v>594.17154727265404</v>
      </c>
      <c r="BH66" s="62">
        <f t="shared" si="8"/>
        <v>887.50488060598741</v>
      </c>
      <c r="BI66" s="62">
        <f ca="1">AVERAGE(OFFSET($BH$3,0,0,'Données projet'!$E$11+1,1))-AVERAGE(OFFSET($H$3,0,0,'Données projet'!$E$11+1,1))</f>
        <v>487.04124684635974</v>
      </c>
      <c r="BJ66" s="62">
        <f t="shared" si="38"/>
        <v>306.61893266146666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1.4041492306626842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1.4041492306626842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8.8000000000000007</v>
      </c>
      <c r="BY66" s="13">
        <f>IF('Données projet'!$A$114&gt;35,BY65+BX66-CG65,IF(A66&lt;'Données projet'!$A$114,$BV$205^A66,IF(A66='Données projet'!$A$114,'Données projet'!$B$114,BY65+BX66-CG65)))</f>
        <v>271.39999999999998</v>
      </c>
      <c r="BZ66" s="14">
        <f>BY66*VLOOKUP('Données projet'!$B$12,Paramètres!$A$1:$I$89,3,0)*VLOOKUP('Données projet'!$B$12,Paramètres!$A$1:$I$89,5,0)</f>
        <v>245.56271999999998</v>
      </c>
      <c r="CA66" s="14">
        <f t="shared" si="39"/>
        <v>59.634776048276898</v>
      </c>
      <c r="CB66" s="22">
        <f t="shared" si="10"/>
        <v>531.55230561741564</v>
      </c>
      <c r="CC66" s="62">
        <f t="shared" si="11"/>
        <v>824.8856389507489</v>
      </c>
      <c r="CD66" s="62">
        <f ca="1">AVERAGE(OFFSET($CC$3,0,0,'Données projet'!$E$12+1,1))-AVERAGE(OFFSET($H$3,0,0,'Données projet'!$E$12+1,1))</f>
        <v>439.06700232017681</v>
      </c>
      <c r="CE66" s="62">
        <f t="shared" si="40"/>
        <v>278.21741231699929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1.2529331596682411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1.2529331596682411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5.2</v>
      </c>
      <c r="CT66" s="13">
        <f>IF('Données projet'!$A$140&gt;35,CT65+CS66-DB65,IF(A66&lt;'Données projet'!$A$140,$CQ$205^A66,IF(A66='Données projet'!$A$140,'Données projet'!$B$140,CT65+CS66-DB65)))</f>
        <v>295.5999999999998</v>
      </c>
      <c r="CU66" s="18">
        <f>CT66*VLOOKUP('Données projet'!$B$13,Paramètres!$A$1:$I$89,3,0)*VLOOKUP('Données projet'!$B$13,Paramètres!$A$1:$I$89,5,0)</f>
        <v>216.73391999999987</v>
      </c>
      <c r="CV66" s="14">
        <f t="shared" si="41"/>
        <v>53.404402610883679</v>
      </c>
      <c r="CW66" s="22">
        <f t="shared" si="13"/>
        <v>470.49091188062221</v>
      </c>
      <c r="CX66" s="62">
        <f t="shared" si="14"/>
        <v>763.82424521395546</v>
      </c>
      <c r="CY66" s="62">
        <f ca="1">AVERAGE(OFFSET($CX$3,0,0,'Données projet'!$E$13+1,1))-AVERAGE(OFFSET($H$3,0,0,'Données projet'!$E$13+1,1))</f>
        <v>327.81662150328646</v>
      </c>
      <c r="CZ66" s="62">
        <f t="shared" si="42"/>
        <v>320.24200483294322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1.0411162148866466</v>
      </c>
      <c r="DG66" s="23">
        <f>EXP(-LN(2)/25)*DG65+(1-EXP(-LN(2)/25))/(LN(2)/25)*Calculateur!DB66*Calculateur!DD66*VLOOKUP('Données projet'!$B$13,Paramètres!$A$1:$I$89,3,0)*0.475*44/12</f>
        <v>0</v>
      </c>
      <c r="DH66" s="23">
        <f>EXP(-LN(2)/2)*DH65+(1-EXP(-LN(2)/2))/(LN(2)/2)*DB66*DE66*VLOOKUP('Données projet'!$B$13,Paramètres!$A$1:$I$89,3,0)*0.475*44/12</f>
        <v>0</v>
      </c>
      <c r="DI66" s="24">
        <f t="shared" si="15"/>
        <v>1.0411162148866466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5</v>
      </c>
      <c r="DO66" s="13">
        <f>IF('Données projet'!$A$166&gt;35,DO65+DN66-DW65,IF(A66&lt;'Données projet'!$A$166,$DL$205^A66,IF(A66='Données projet'!$A$166,'Données projet'!$B$166,DO65+DN66-DW65)))</f>
        <v>173.00000000000011</v>
      </c>
      <c r="DP66" s="18">
        <f>DO66*VLOOKUP('Données projet'!$B$14,Paramètres!$A$1:$I$89,3,0)*VLOOKUP('Données projet'!$B$14,Paramètres!$A$1:$I$89,5,0)</f>
        <v>113.34960000000007</v>
      </c>
      <c r="DQ66" s="14">
        <f t="shared" si="43"/>
        <v>30.118793417247105</v>
      </c>
      <c r="DR66" s="22">
        <f t="shared" si="16"/>
        <v>249.87411853503883</v>
      </c>
      <c r="DS66" s="62">
        <f t="shared" si="17"/>
        <v>543.20745186837212</v>
      </c>
      <c r="DT66" s="62">
        <f ca="1">AVERAGE(OFFSET($DS$3,0,0,'Données projet'!$E$14+1,1))-AVERAGE(OFFSET($H$3,0,0,'Données projet'!$E$14+1,1))</f>
        <v>210.08998695869161</v>
      </c>
      <c r="DU66" s="62">
        <f t="shared" si="44"/>
        <v>207.30911916430881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>
        <f>EXP(-LN(2)/35)*EA65+(1-EXP(-LN(2)/35))/(LN(2)/35)*DW66*DX66*VLOOKUP('Données projet'!$B$14,Paramètres!$A$1:$I$89,3,0)*0.475*44/12</f>
        <v>0.23923521533565481</v>
      </c>
      <c r="EB66" s="23">
        <f>EXP(-LN(2)/25)*EB65+(1-EXP(-LN(2)/25))/(LN(2)/25)*Calculateur!DW66*Calculateur!DY66*VLOOKUP('Données projet'!$B$14,Paramètres!$A$1:$I$89,3,0)*0.475*44/12</f>
        <v>0</v>
      </c>
      <c r="EC66" s="23">
        <f>EXP(-LN(2)/2)*EC65+(1-EXP(-LN(2)/2))/(LN(2)/2)*DW66*DZ66*VLOOKUP('Données projet'!$B$14,Paramètres!$A$1:$I$89,3,0)*0.475*44/12</f>
        <v>0</v>
      </c>
      <c r="ED66" s="24">
        <f t="shared" si="18"/>
        <v>0.23923521533565481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8.6666666666666661</v>
      </c>
      <c r="EJ66" s="13">
        <f>IF('Données projet'!$A$192&gt;35,EJ65+EI66-ER65,IF(A66&lt;'Données projet'!$A$192,$EG$205^A66,IF(A66='Données projet'!$A$192,'Données projet'!$B$192,EJ65+EI66-ER65)))</f>
        <v>275.99999999999994</v>
      </c>
      <c r="EK66" s="18">
        <f>EJ66*VLOOKUP('Données projet'!$B$15,Paramètres!$A$1:$I$89,3,0)*VLOOKUP('Données projet'!$B$15,Paramètres!$A$1:$I$89,5,0)</f>
        <v>215.27999999999997</v>
      </c>
      <c r="EL66" s="14">
        <f t="shared" si="45"/>
        <v>53.087725740853138</v>
      </c>
      <c r="EM66" s="22">
        <f t="shared" si="19"/>
        <v>467.40712233198587</v>
      </c>
      <c r="EN66" s="62">
        <f t="shared" si="20"/>
        <v>760.74045566531913</v>
      </c>
      <c r="EO66" s="62">
        <f ca="1">AVERAGE(OFFSET($EN$3,0,0,'Données projet'!$E$15+1,1))-AVERAGE(OFFSET($H$3,0,0,'Données projet'!$E$15+1,1))</f>
        <v>288.82868507674738</v>
      </c>
      <c r="EP66" s="62">
        <f t="shared" si="46"/>
        <v>283.48738729114024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>
        <f>EXP(-LN(2)/35)*EV65+(1-EXP(-LN(2)/35))/(LN(2)/35)*ER66*ES66*VLOOKUP('Données projet'!$B$15,Paramètres!$A$1:$I$89,3,0)*0.475*44/12</f>
        <v>0.94334675911997501</v>
      </c>
      <c r="EW66" s="23">
        <f>EXP(-LN(2)/25)*EW65+(1-EXP(-LN(2)/25))/(LN(2)/25)*Calculateur!ER66*Calculateur!ET66*VLOOKUP('Données projet'!$B$15,Paramètres!$A$1:$I$89,3,0)*0.475*44/12</f>
        <v>0</v>
      </c>
      <c r="EX66" s="23">
        <f>EXP(-LN(2)/2)*EX65+(1-EXP(-LN(2)/2))/(LN(2)/2)*ER66*EU66*VLOOKUP('Données projet'!$B$15,Paramètres!$A$1:$I$89,3,0)*0.475*44/12</f>
        <v>0</v>
      </c>
      <c r="EY66" s="24">
        <f t="shared" si="21"/>
        <v>0.94334675911997501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>
        <f>VLOOKUP(A67,'Données projet'!$A$35:$I$55,2,0)</f>
        <v>353</v>
      </c>
      <c r="L67" s="13">
        <f>VLOOKUP(A67,'Données projet'!$A$35:$I$55,9,0)</f>
        <v>16</v>
      </c>
      <c r="M67" s="13">
        <f t="array" ref="M67">INDEX(L:L,MIN(IF(ISNUMBER(L67:L263),ROW(L67:L263),"")))</f>
        <v>16</v>
      </c>
      <c r="N67" s="14">
        <f>IF('Données projet'!$A$36&gt;35,N66+M67-V66,IF(A67&lt;'Données projet'!$A$36,$K$205^A67,IF(A67='Données projet'!$A$36,'Données projet'!$B$36,N66+M67-V66)))</f>
        <v>353</v>
      </c>
      <c r="O67" s="14">
        <f>N67*VLOOKUP('Données projet'!$B$9,Paramètres!$A$1:$I$89,3,0)*VLOOKUP('Données projet'!$B$9,Paramètres!$A$1:$I$89,5,0)</f>
        <v>165.20400000000001</v>
      </c>
      <c r="P67" s="14">
        <f t="shared" si="33"/>
        <v>42.01409666579589</v>
      </c>
      <c r="Q67" s="22">
        <f t="shared" ref="Q67:Q98" si="54">(O67+P67)*0.475*44/12</f>
        <v>360.90485169292782</v>
      </c>
      <c r="R67" s="62">
        <f t="shared" ref="R67:R130" si="55">Q67+(I67+J67)*44/12</f>
        <v>654.23818502626114</v>
      </c>
      <c r="S67" s="62">
        <f ca="1">AVERAGE(OFFSET($R$3,0,0,'Données projet'!$E$9+1,1))-AVERAGE(OFFSET($H$3,0,0,'Données projet'!$E$9+1,1))</f>
        <v>317.54276561627643</v>
      </c>
      <c r="T67" s="62">
        <f t="shared" si="34"/>
        <v>238.92443174298893</v>
      </c>
      <c r="U67" s="16">
        <f>IF(ISNA(VLOOKUP(A67,'Données projet'!$A$35:$I$55,3,0)),0,VLOOKUP(A67,'Données projet'!$A$35:$I$55,3,0))</f>
        <v>10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5.2</v>
      </c>
      <c r="AI67" s="14">
        <f>IF('Données projet'!$A$62&gt;35,AI66+AH67-AQ66,IF(A67&lt;'Données projet'!$A$62,$AF$205^A67,IF(A67='Données projet'!$A$62,'Données projet'!$B$62,AI66+AH67-AQ66)))</f>
        <v>218.79999999999998</v>
      </c>
      <c r="AJ67" s="14">
        <f>AI67*VLOOKUP('Données projet'!$B$10,Paramètres!$A$1:$I$89,3,0)*VLOOKUP('Données projet'!$B$10,Paramètres!$A$1:$I$89,5,0)</f>
        <v>191.14368000000002</v>
      </c>
      <c r="AK67" s="14">
        <f t="shared" si="35"/>
        <v>47.792715878069586</v>
      </c>
      <c r="AL67" s="22">
        <f t="shared" si="4"/>
        <v>416.14755615430454</v>
      </c>
      <c r="AM67" s="62">
        <f t="shared" si="5"/>
        <v>709.4808894876378</v>
      </c>
      <c r="AN67" s="62">
        <f ca="1">AVERAGE(OFFSET($AM$3,0,0,'Données projet'!$E$10+1,1))-AVERAGE(OFFSET($H$3,0,0,'Données projet'!$E$10+1,1))</f>
        <v>327.826081588335</v>
      </c>
      <c r="AO67" s="62">
        <f t="shared" si="36"/>
        <v>348.84706693879735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3.134445825584403</v>
      </c>
      <c r="AV67" s="23">
        <f>EXP(-LN(2)/25)*AV66+(1-EXP(-LN(2)/25))/(LN(2)/25)*Calculateur!AQ67*Calculateur!AS67*VLOOKUP('Données projet'!$B$10,Paramètres!$A$1:$I$89,3,0)*0.475*44/12</f>
        <v>5.3448707605676393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8.4793165861520414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8.8000000000000007</v>
      </c>
      <c r="BD67" s="13">
        <f>IF('Données projet'!$A$88&gt;35,BD66+BC67-BL66,IF(A67&lt;'Données projet'!$A$88,$BA$205^A67,IF(A67='Données projet'!$A$88,'Données projet'!$B$88,BD66+BC67-BL66)))</f>
        <v>280.2</v>
      </c>
      <c r="BE67" s="14">
        <f>BD67*VLOOKUP('Données projet'!$B$11,Paramètres!$A$1:$I$89,3,0)*VLOOKUP('Données projet'!$B$11,Paramètres!$A$1:$I$89,5,0)</f>
        <v>284.12279999999998</v>
      </c>
      <c r="BF67" s="14">
        <f t="shared" si="37"/>
        <v>67.837532462585557</v>
      </c>
      <c r="BG67" s="22">
        <f t="shared" si="7"/>
        <v>612.99757903900309</v>
      </c>
      <c r="BH67" s="62">
        <f t="shared" si="8"/>
        <v>906.33091237233634</v>
      </c>
      <c r="BI67" s="62">
        <f ca="1">AVERAGE(OFFSET($BH$3,0,0,'Données projet'!$E$11+1,1))-AVERAGE(OFFSET($H$3,0,0,'Données projet'!$E$11+1,1))</f>
        <v>487.04124684635974</v>
      </c>
      <c r="BJ67" s="62">
        <f t="shared" si="38"/>
        <v>306.61893266146666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1.3766147206958526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1.3766147206958526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8.8000000000000007</v>
      </c>
      <c r="BY67" s="13">
        <f>IF('Données projet'!$A$114&gt;35,BY66+BX67-CG66,IF(A67&lt;'Données projet'!$A$114,$BV$205^A67,IF(A67='Données projet'!$A$114,'Données projet'!$B$114,BY66+BX67-CG66)))</f>
        <v>280.2</v>
      </c>
      <c r="BZ67" s="14">
        <f>BY67*VLOOKUP('Données projet'!$B$12,Paramètres!$A$1:$I$89,3,0)*VLOOKUP('Données projet'!$B$12,Paramètres!$A$1:$I$89,5,0)</f>
        <v>253.52495999999999</v>
      </c>
      <c r="CA67" s="14">
        <f t="shared" si="39"/>
        <v>61.340141798422209</v>
      </c>
      <c r="CB67" s="22">
        <f t="shared" si="10"/>
        <v>548.39005229891859</v>
      </c>
      <c r="CC67" s="62">
        <f t="shared" si="11"/>
        <v>841.72338563225185</v>
      </c>
      <c r="CD67" s="62">
        <f ca="1">AVERAGE(OFFSET($CC$3,0,0,'Données projet'!$E$12+1,1))-AVERAGE(OFFSET($H$3,0,0,'Données projet'!$E$12+1,1))</f>
        <v>439.06700232017681</v>
      </c>
      <c r="CE67" s="62">
        <f t="shared" si="40"/>
        <v>278.21741231699929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1.2283639046209145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1.2283639046209145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5.2</v>
      </c>
      <c r="CT67" s="13">
        <f>IF('Données projet'!$A$140&gt;35,CT66+CS67-DB66,IF(A67&lt;'Données projet'!$A$140,$CQ$205^A67,IF(A67='Données projet'!$A$140,'Données projet'!$B$140,CT66+CS67-DB66)))</f>
        <v>300.79999999999978</v>
      </c>
      <c r="CU67" s="18">
        <f>CT67*VLOOKUP('Données projet'!$B$13,Paramètres!$A$1:$I$89,3,0)*VLOOKUP('Données projet'!$B$13,Paramètres!$A$1:$I$89,5,0)</f>
        <v>220.54655999999983</v>
      </c>
      <c r="CV67" s="14">
        <f t="shared" si="41"/>
        <v>54.233660675860236</v>
      </c>
      <c r="CW67" s="22">
        <f t="shared" si="13"/>
        <v>478.57555101045619</v>
      </c>
      <c r="CX67" s="62">
        <f t="shared" si="14"/>
        <v>771.90888434378951</v>
      </c>
      <c r="CY67" s="62">
        <f ca="1">AVERAGE(OFFSET($CX$3,0,0,'Données projet'!$E$13+1,1))-AVERAGE(OFFSET($H$3,0,0,'Données projet'!$E$13+1,1))</f>
        <v>327.81662150328646</v>
      </c>
      <c r="CZ67" s="62">
        <f t="shared" si="42"/>
        <v>320.24200483294322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1.0207005609309077</v>
      </c>
      <c r="DG67" s="23">
        <f>EXP(-LN(2)/25)*DG66+(1-EXP(-LN(2)/25))/(LN(2)/25)*Calculateur!DB67*Calculateur!DD67*VLOOKUP('Données projet'!$B$13,Paramètres!$A$1:$I$89,3,0)*0.475*44/12</f>
        <v>0</v>
      </c>
      <c r="DH67" s="23">
        <f>EXP(-LN(2)/2)*DH66+(1-EXP(-LN(2)/2))/(LN(2)/2)*DB67*DE67*VLOOKUP('Données projet'!$B$13,Paramètres!$A$1:$I$89,3,0)*0.475*44/12</f>
        <v>0</v>
      </c>
      <c r="DI67" s="24">
        <f t="shared" si="15"/>
        <v>1.0207005609309077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5</v>
      </c>
      <c r="DO67" s="13">
        <f>IF('Données projet'!$A$166&gt;35,DO66+DN67-DW66,IF(A67&lt;'Données projet'!$A$166,$DL$205^A67,IF(A67='Données projet'!$A$166,'Données projet'!$B$166,DO66+DN67-DW66)))</f>
        <v>178.00000000000011</v>
      </c>
      <c r="DP67" s="18">
        <f>DO67*VLOOKUP('Données projet'!$B$14,Paramètres!$A$1:$I$89,3,0)*VLOOKUP('Données projet'!$B$14,Paramètres!$A$1:$I$89,5,0)</f>
        <v>116.62560000000008</v>
      </c>
      <c r="DQ67" s="14">
        <f t="shared" si="43"/>
        <v>30.886674195614248</v>
      </c>
      <c r="DR67" s="22">
        <f t="shared" si="16"/>
        <v>256.91721089069495</v>
      </c>
      <c r="DS67" s="62">
        <f t="shared" si="17"/>
        <v>550.25054422402832</v>
      </c>
      <c r="DT67" s="62">
        <f ca="1">AVERAGE(OFFSET($DS$3,0,0,'Données projet'!$E$14+1,1))-AVERAGE(OFFSET($H$3,0,0,'Données projet'!$E$14+1,1))</f>
        <v>210.08998695869161</v>
      </c>
      <c r="DU67" s="62">
        <f t="shared" si="44"/>
        <v>207.30911916430881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>
        <f>EXP(-LN(2)/35)*EA66+(1-EXP(-LN(2)/35))/(LN(2)/35)*DW67*DX67*VLOOKUP('Données projet'!$B$14,Paramètres!$A$1:$I$89,3,0)*0.475*44/12</f>
        <v>0.23454395868199565</v>
      </c>
      <c r="EB67" s="23">
        <f>EXP(-LN(2)/25)*EB66+(1-EXP(-LN(2)/25))/(LN(2)/25)*Calculateur!DW67*Calculateur!DY67*VLOOKUP('Données projet'!$B$14,Paramètres!$A$1:$I$89,3,0)*0.475*44/12</f>
        <v>0</v>
      </c>
      <c r="EC67" s="23">
        <f>EXP(-LN(2)/2)*EC66+(1-EXP(-LN(2)/2))/(LN(2)/2)*DW67*DZ67*VLOOKUP('Données projet'!$B$14,Paramètres!$A$1:$I$89,3,0)*0.475*44/12</f>
        <v>0</v>
      </c>
      <c r="ED67" s="24">
        <f t="shared" si="18"/>
        <v>0.23454395868199565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8.6666666666666661</v>
      </c>
      <c r="EJ67" s="13">
        <f>IF('Données projet'!$A$192&gt;35,EJ66+EI67-ER66,IF(A67&lt;'Données projet'!$A$192,$EG$205^A67,IF(A67='Données projet'!$A$192,'Données projet'!$B$192,EJ66+EI67-ER66)))</f>
        <v>284.66666666666663</v>
      </c>
      <c r="EK67" s="18">
        <f>EJ67*VLOOKUP('Données projet'!$B$15,Paramètres!$A$1:$I$89,3,0)*VLOOKUP('Données projet'!$B$15,Paramètres!$A$1:$I$89,5,0)</f>
        <v>222.04</v>
      </c>
      <c r="EL67" s="14">
        <f t="shared" si="45"/>
        <v>54.558031180803546</v>
      </c>
      <c r="EM67" s="22">
        <f t="shared" si="19"/>
        <v>481.74157097323285</v>
      </c>
      <c r="EN67" s="62">
        <f t="shared" si="20"/>
        <v>775.07490430656617</v>
      </c>
      <c r="EO67" s="62">
        <f ca="1">AVERAGE(OFFSET($EN$3,0,0,'Données projet'!$E$15+1,1))-AVERAGE(OFFSET($H$3,0,0,'Données projet'!$E$15+1,1))</f>
        <v>288.82868507674738</v>
      </c>
      <c r="EP67" s="62">
        <f t="shared" si="46"/>
        <v>283.48738729114024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>
        <f>EXP(-LN(2)/35)*EV66+(1-EXP(-LN(2)/35))/(LN(2)/35)*ER67*ES67*VLOOKUP('Données projet'!$B$15,Paramètres!$A$1:$I$89,3,0)*0.475*44/12</f>
        <v>0.92484830455834088</v>
      </c>
      <c r="EW67" s="23">
        <f>EXP(-LN(2)/25)*EW66+(1-EXP(-LN(2)/25))/(LN(2)/25)*Calculateur!ER67*Calculateur!ET67*VLOOKUP('Données projet'!$B$15,Paramètres!$A$1:$I$89,3,0)*0.475*44/12</f>
        <v>0</v>
      </c>
      <c r="EX67" s="23">
        <f>EXP(-LN(2)/2)*EX66+(1-EXP(-LN(2)/2))/(LN(2)/2)*ER67*EU67*VLOOKUP('Données projet'!$B$15,Paramètres!$A$1:$I$89,3,0)*0.475*44/12</f>
        <v>0</v>
      </c>
      <c r="EY67" s="24">
        <f t="shared" si="21"/>
        <v>0.92484830455834088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16.142857142857142</v>
      </c>
      <c r="N68" s="14">
        <f>IF('Données projet'!$A$36&gt;35,N67+M68-V67,IF(A68&lt;'Données projet'!$A$36,$K$205^A68,IF(A68='Données projet'!$A$36,'Données projet'!$B$36,N67+M68-V67)))</f>
        <v>369.14285714285717</v>
      </c>
      <c r="O68" s="14">
        <f>N68*VLOOKUP('Données projet'!$B$9,Paramètres!$A$1:$I$89,3,0)*VLOOKUP('Données projet'!$B$9,Paramètres!$A$1:$I$89,5,0)</f>
        <v>172.75885714285715</v>
      </c>
      <c r="P68" s="14">
        <f t="shared" si="33"/>
        <v>43.707335703690283</v>
      </c>
      <c r="Q68" s="22">
        <f t="shared" si="54"/>
        <v>377.01195254107012</v>
      </c>
      <c r="R68" s="62">
        <f t="shared" si="55"/>
        <v>670.34528587440343</v>
      </c>
      <c r="S68" s="62">
        <f ca="1">AVERAGE(OFFSET($R$3,0,0,'Données projet'!$E$9+1,1))-AVERAGE(OFFSET($H$3,0,0,'Données projet'!$E$9+1,1))</f>
        <v>317.54276561627643</v>
      </c>
      <c r="T68" s="62">
        <f t="shared" si="34"/>
        <v>238.92443174298893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224</v>
      </c>
      <c r="AG68" s="13">
        <f>VLOOKUP(A68,'Données projet'!$A$61:$I$81,9,0)</f>
        <v>5.2</v>
      </c>
      <c r="AH68" s="13">
        <f t="array" ref="AH68">INDEX(AG:AG,MIN(IF(ISNUMBER(AG68:AG264),ROW(AG68:AG264),"")))</f>
        <v>5.2</v>
      </c>
      <c r="AI68" s="14">
        <f>IF('Données projet'!$A$62&gt;35,AI67+AH68-AQ67,IF(A68&lt;'Données projet'!$A$62,$AF$205^A68,IF(A68='Données projet'!$A$62,'Données projet'!$B$62,AI67+AH68-AQ67)))</f>
        <v>223.99999999999997</v>
      </c>
      <c r="AJ68" s="14">
        <f>AI68*VLOOKUP('Données projet'!$B$10,Paramètres!$A$1:$I$89,3,0)*VLOOKUP('Données projet'!$B$10,Paramètres!$A$1:$I$89,5,0)</f>
        <v>195.68639999999999</v>
      </c>
      <c r="AK68" s="14">
        <f t="shared" si="35"/>
        <v>48.794969360985156</v>
      </c>
      <c r="AL68" s="22">
        <f t="shared" ref="AL68:AL131" si="58">(AJ68+AK68)*0.475*44/12</f>
        <v>425.80505163704908</v>
      </c>
      <c r="AM68" s="62">
        <f t="shared" ref="AM68:AM131" si="59">AL68+(AD68+AE68)*44/12</f>
        <v>719.13838497038239</v>
      </c>
      <c r="AN68" s="62">
        <f ca="1">AVERAGE(OFFSET($AM$3,0,0,'Données projet'!$E$10+1,1))-AVERAGE(OFFSET($H$3,0,0,'Données projet'!$E$10+1,1))</f>
        <v>327.826081588335</v>
      </c>
      <c r="AO68" s="62">
        <f t="shared" si="36"/>
        <v>348.84706693879735</v>
      </c>
      <c r="AP68" s="16">
        <f>IF(ISNA(VLOOKUP(A68,'Données projet'!$A$61:$I$81,3,0)),0,VLOOKUP(A68,'Données projet'!$A$61:$I$81,3,0))</f>
        <v>10</v>
      </c>
      <c r="AQ68" s="16">
        <f>IF(ISNA(VLOOKUP(A68,'Données projet'!$A$61:$I$81,4,0)),0,VLOOKUP(A68,'Données projet'!$A$61:$I$81,4,0))</f>
        <v>20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3.0729812547678694</v>
      </c>
      <c r="AV68" s="23">
        <f>EXP(-LN(2)/25)*AV67+(1-EXP(-LN(2)/25))/(LN(2)/25)*Calculateur!AQ68*Calculateur!AS68*VLOOKUP('Données projet'!$B$10,Paramètres!$A$1:$I$89,3,0)*0.475*44/12</f>
        <v>5.1987149885453796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8.271696243313249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289</v>
      </c>
      <c r="BB68" s="13">
        <f>VLOOKUP(A68,'Données projet'!$A$87:$I$107,9,0)</f>
        <v>8.8000000000000007</v>
      </c>
      <c r="BC68" s="13">
        <f t="array" ref="BC68">INDEX(BB:BB,MIN(IF(ISNUMBER(BB68:BB264),ROW(BB68:BB264),"")))</f>
        <v>8.8000000000000007</v>
      </c>
      <c r="BD68" s="13">
        <f>IF('Données projet'!$A$88&gt;35,BD67+BC68-BL67,IF(A68&lt;'Données projet'!$A$88,$BA$205^A68,IF(A68='Données projet'!$A$88,'Données projet'!$B$88,BD67+BC68-BL67)))</f>
        <v>289</v>
      </c>
      <c r="BE68" s="14">
        <f>BD68*VLOOKUP('Données projet'!$B$11,Paramètres!$A$1:$I$89,3,0)*VLOOKUP('Données projet'!$B$11,Paramètres!$A$1:$I$89,5,0)</f>
        <v>293.04599999999999</v>
      </c>
      <c r="BF68" s="14">
        <f t="shared" si="37"/>
        <v>69.716654076072615</v>
      </c>
      <c r="BG68" s="22">
        <f t="shared" ref="BG68:BG131" si="61">(BE68+BF68)*0.475*44/12</f>
        <v>631.81162251582646</v>
      </c>
      <c r="BH68" s="62">
        <f t="shared" ref="BH68:BH131" si="62">BG68+(AY68+AZ68)*44/12</f>
        <v>925.14495584915971</v>
      </c>
      <c r="BI68" s="62">
        <f ca="1">AVERAGE(OFFSET($BH$3,0,0,'Données projet'!$E$11+1,1))-AVERAGE(OFFSET($H$3,0,0,'Données projet'!$E$11+1,1))</f>
        <v>487.04124684635974</v>
      </c>
      <c r="BJ68" s="62">
        <f t="shared" si="38"/>
        <v>306.61893266146666</v>
      </c>
      <c r="BK68" s="16">
        <f>IF(ISNA(VLOOKUP(A68,'Données projet'!$A$87:$I$107,3,0)),0,VLOOKUP(A68,'Données projet'!$A$87:$I$107,3,0))</f>
        <v>10</v>
      </c>
      <c r="BL68" s="16">
        <f>IF(ISNA(VLOOKUP(A68,'Données projet'!$A$87:$I$107,4,0)),0,VLOOKUP(A68,'Données projet'!$A$87:$I$107,4,0))</f>
        <v>28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1.3496201456750778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1.3496201456750778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>
        <f>VLOOKUP(A68,'Données projet'!$A$113:$I$133,2,0)</f>
        <v>289</v>
      </c>
      <c r="BW68" s="13">
        <f>VLOOKUP(A68,'Données projet'!$A$113:$I$133,9,0)</f>
        <v>8.8000000000000007</v>
      </c>
      <c r="BX68" s="13">
        <f t="array" ref="BX68">INDEX(BW:BW,MIN(IF(ISNUMBER(BW68:BW264),ROW(BW68:BW264),"")))</f>
        <v>8.8000000000000007</v>
      </c>
      <c r="BY68" s="13">
        <f>IF('Données projet'!$A$114&gt;35,BY67+BX68-CG67,IF(A68&lt;'Données projet'!$A$114,$BV$205^A68,IF(A68='Données projet'!$A$114,'Données projet'!$B$114,BY67+BX68-CG67)))</f>
        <v>289</v>
      </c>
      <c r="BZ68" s="14">
        <f>BY68*VLOOKUP('Données projet'!$B$12,Paramètres!$A$1:$I$89,3,0)*VLOOKUP('Données projet'!$B$12,Paramètres!$A$1:$I$89,5,0)</f>
        <v>261.48719999999997</v>
      </c>
      <c r="CA68" s="14">
        <f t="shared" si="39"/>
        <v>63.039283586802391</v>
      </c>
      <c r="CB68" s="22">
        <f t="shared" ref="CB68:CB131" si="64">(BZ68+CA68)*0.475*44/12</f>
        <v>565.21695891368086</v>
      </c>
      <c r="CC68" s="62">
        <f t="shared" ref="CC68:CC131" si="65">CB68+(BT68+BU68)*44/12</f>
        <v>858.55029224701411</v>
      </c>
      <c r="CD68" s="62">
        <f ca="1">AVERAGE(OFFSET($CC$3,0,0,'Données projet'!$E$12+1,1))-AVERAGE(OFFSET($H$3,0,0,'Données projet'!$E$12+1,1))</f>
        <v>439.06700232017681</v>
      </c>
      <c r="CE68" s="62">
        <f t="shared" si="40"/>
        <v>278.21741231699929</v>
      </c>
      <c r="CF68" s="16">
        <f>IF(ISNA(VLOOKUP(A68,'Données projet'!$A$113:$I$133,3,0)),0,VLOOKUP(A68,'Données projet'!$A$113:$I$133,3,0))</f>
        <v>10</v>
      </c>
      <c r="CG68" s="16">
        <f>IF(ISNA(VLOOKUP(A68,'Données projet'!$A$113:$I$133,4,0)),0,VLOOKUP(A68,'Données projet'!$A$113:$I$133,4,0))</f>
        <v>28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1.2042764376793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1.2042764376793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>
        <f>VLOOKUP(A68,'Données projet'!$A$139:$I$159,2,0)</f>
        <v>306</v>
      </c>
      <c r="CR68" s="13">
        <f>VLOOKUP(A68,'Données projet'!$A$139:$I$159,9,0)</f>
        <v>5.2</v>
      </c>
      <c r="CS68" s="13">
        <f t="array" ref="CS68">INDEX(CR:CR,MIN(IF(ISNUMBER(CR68:CR264),ROW(CR68:CR264),"")))</f>
        <v>5.2</v>
      </c>
      <c r="CT68" s="13">
        <f>IF('Données projet'!$A$140&gt;35,CT67+CS68-DB67,IF(A68&lt;'Données projet'!$A$140,$CQ$205^A68,IF(A68='Données projet'!$A$140,'Données projet'!$B$140,CT67+CS68-DB67)))</f>
        <v>305.99999999999977</v>
      </c>
      <c r="CU68" s="18">
        <f>CT68*VLOOKUP('Données projet'!$B$13,Paramètres!$A$1:$I$89,3,0)*VLOOKUP('Données projet'!$B$13,Paramètres!$A$1:$I$89,5,0)</f>
        <v>224.35919999999982</v>
      </c>
      <c r="CV68" s="14">
        <f t="shared" si="41"/>
        <v>55.061251669487206</v>
      </c>
      <c r="CW68" s="22">
        <f t="shared" ref="CW68:CW131" si="67">(CU68+CV68)*0.475*44/12</f>
        <v>486.65728665768989</v>
      </c>
      <c r="CX68" s="62">
        <f t="shared" ref="CX68:CX131" si="68">CW68+(CO68+CP68)*44/12</f>
        <v>779.99061999102321</v>
      </c>
      <c r="CY68" s="62">
        <f ca="1">AVERAGE(OFFSET($CX$3,0,0,'Données projet'!$E$13+1,1))-AVERAGE(OFFSET($H$3,0,0,'Données projet'!$E$13+1,1))</f>
        <v>327.81662150328646</v>
      </c>
      <c r="CZ68" s="62">
        <f t="shared" si="42"/>
        <v>320.24200483294322</v>
      </c>
      <c r="DA68" s="16">
        <f>IF(ISNA(VLOOKUP(A68,'Données projet'!$A$139:$I$159,3,0)),0,VLOOKUP(A68,'Données projet'!$A$139:$I$159,3,0))</f>
        <v>12</v>
      </c>
      <c r="DB68" s="16">
        <f>IF(ISNA(VLOOKUP(A68,'Données projet'!$A$139:$I$159,4,0)),0,VLOOKUP(A68,'Données projet'!$A$139:$I$159,4,0))</f>
        <v>13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1.0006852454969215</v>
      </c>
      <c r="DG68" s="23">
        <f>EXP(-LN(2)/25)*DG67+(1-EXP(-LN(2)/25))/(LN(2)/25)*Calculateur!DB68*Calculateur!DD68*VLOOKUP('Données projet'!$B$13,Paramètres!$A$1:$I$89,3,0)*0.475*44/12</f>
        <v>0</v>
      </c>
      <c r="DH68" s="23">
        <f>EXP(-LN(2)/2)*DH67+(1-EXP(-LN(2)/2))/(LN(2)/2)*DB68*DE68*VLOOKUP('Données projet'!$B$13,Paramètres!$A$1:$I$89,3,0)*0.475*44/12</f>
        <v>0</v>
      </c>
      <c r="DI68" s="24">
        <f t="shared" ref="DI68:DI131" si="69">SUM(DF68:DH68)</f>
        <v>1.0006852454969215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>
        <f>VLOOKUP(A68,'Données projet'!$A$165:$I$185,2,0)</f>
        <v>183</v>
      </c>
      <c r="DM68" s="13">
        <f>VLOOKUP(A68,'Données projet'!$A$165:$I$185,9,0)</f>
        <v>5</v>
      </c>
      <c r="DN68" s="13">
        <f t="array" ref="DN68">INDEX(DM:DM,MIN(IF(ISNUMBER(DM68:DM264),ROW(DM68:DM264),"")))</f>
        <v>5</v>
      </c>
      <c r="DO68" s="13">
        <f>IF('Données projet'!$A$166&gt;35,DO67+DN68-DW67,IF(A68&lt;'Données projet'!$A$166,$DL$205^A68,IF(A68='Données projet'!$A$166,'Données projet'!$B$166,DO67+DN68-DW67)))</f>
        <v>183.00000000000011</v>
      </c>
      <c r="DP68" s="18">
        <f>DO68*VLOOKUP('Données projet'!$B$14,Paramètres!$A$1:$I$89,3,0)*VLOOKUP('Données projet'!$B$14,Paramètres!$A$1:$I$89,5,0)</f>
        <v>119.90160000000007</v>
      </c>
      <c r="DQ68" s="14">
        <f t="shared" si="43"/>
        <v>31.652048014425564</v>
      </c>
      <c r="DR68" s="22">
        <f t="shared" ref="DR68:DR131" si="70">(DP68+DQ68)*0.475*44/12</f>
        <v>263.95593695845798</v>
      </c>
      <c r="DS68" s="62">
        <f t="shared" ref="DS68:DS131" si="71">DR68+(DJ68+DK68)*44/12</f>
        <v>557.28927029179135</v>
      </c>
      <c r="DT68" s="62">
        <f ca="1">AVERAGE(OFFSET($DS$3,0,0,'Données projet'!$E$14+1,1))-AVERAGE(OFFSET($H$3,0,0,'Données projet'!$E$14+1,1))</f>
        <v>210.08998695869161</v>
      </c>
      <c r="DU68" s="62">
        <f t="shared" si="44"/>
        <v>207.30911916430881</v>
      </c>
      <c r="DV68" s="16">
        <f>IF(ISNA(VLOOKUP(A68,'Données projet'!$A$165:$I$185,3,0)),0,VLOOKUP(A68,'Données projet'!$A$165:$I$185,3,0))</f>
        <v>12</v>
      </c>
      <c r="DW68" s="16">
        <f>IF(ISNA(VLOOKUP(A68,'Données projet'!$A$165:$I$185,4,0)),0,VLOOKUP(A68,'Données projet'!$A$165:$I$185,4,0))</f>
        <v>18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>
        <f>EXP(-LN(2)/35)*EA67+(1-EXP(-LN(2)/35))/(LN(2)/35)*DW68*DX68*VLOOKUP('Données projet'!$B$14,Paramètres!$A$1:$I$89,3,0)*0.475*44/12</f>
        <v>0.22994469470993073</v>
      </c>
      <c r="EB68" s="23">
        <f>EXP(-LN(2)/25)*EB67+(1-EXP(-LN(2)/25))/(LN(2)/25)*Calculateur!DW68*Calculateur!DY68*VLOOKUP('Données projet'!$B$14,Paramètres!$A$1:$I$89,3,0)*0.475*44/12</f>
        <v>0</v>
      </c>
      <c r="EC68" s="23">
        <f>EXP(-LN(2)/2)*EC67+(1-EXP(-LN(2)/2))/(LN(2)/2)*DW68*DZ68*VLOOKUP('Données projet'!$B$14,Paramètres!$A$1:$I$89,3,0)*0.475*44/12</f>
        <v>0</v>
      </c>
      <c r="ED68" s="24">
        <f t="shared" ref="ED68:ED131" si="72">SUM(EA68:EC68)</f>
        <v>0.22994469470993073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8.6666666666666661</v>
      </c>
      <c r="EJ68" s="13">
        <f>IF('Données projet'!$A$192&gt;35,EJ67+EI68-ER67,IF(A68&lt;'Données projet'!$A$192,$EG$205^A68,IF(A68='Données projet'!$A$192,'Données projet'!$B$192,EJ67+EI68-ER67)))</f>
        <v>293.33333333333331</v>
      </c>
      <c r="EK68" s="18">
        <f>EJ68*VLOOKUP('Données projet'!$B$15,Paramètres!$A$1:$I$89,3,0)*VLOOKUP('Données projet'!$B$15,Paramètres!$A$1:$I$89,5,0)</f>
        <v>228.79999999999998</v>
      </c>
      <c r="EL68" s="14">
        <f t="shared" si="45"/>
        <v>56.023134533701196</v>
      </c>
      <c r="EM68" s="22">
        <f t="shared" ref="EM68:EM131" si="73">(EK68+EL68)*0.475*44/12</f>
        <v>496.06695931286293</v>
      </c>
      <c r="EN68" s="62">
        <f t="shared" ref="EN68:EN131" si="74">EM68+(EE68+EF68)*44/12</f>
        <v>789.40029264619625</v>
      </c>
      <c r="EO68" s="62">
        <f ca="1">AVERAGE(OFFSET($EN$3,0,0,'Données projet'!$E$15+1,1))-AVERAGE(OFFSET($H$3,0,0,'Données projet'!$E$15+1,1))</f>
        <v>288.82868507674738</v>
      </c>
      <c r="EP68" s="62">
        <f t="shared" si="46"/>
        <v>283.48738729114024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>
        <f>EXP(-LN(2)/35)*EV67+(1-EXP(-LN(2)/35))/(LN(2)/35)*ER68*ES68*VLOOKUP('Données projet'!$B$15,Paramètres!$A$1:$I$89,3,0)*0.475*44/12</f>
        <v>0.90671259340771715</v>
      </c>
      <c r="EW68" s="23">
        <f>EXP(-LN(2)/25)*EW67+(1-EXP(-LN(2)/25))/(LN(2)/25)*Calculateur!ER68*Calculateur!ET68*VLOOKUP('Données projet'!$B$15,Paramètres!$A$1:$I$89,3,0)*0.475*44/12</f>
        <v>0</v>
      </c>
      <c r="EX68" s="23">
        <f>EXP(-LN(2)/2)*EX67+(1-EXP(-LN(2)/2))/(LN(2)/2)*ER68*EU68*VLOOKUP('Données projet'!$B$15,Paramètres!$A$1:$I$89,3,0)*0.475*44/12</f>
        <v>0</v>
      </c>
      <c r="EY68" s="24">
        <f t="shared" ref="EY68:EY131" si="75">SUM(EV68:EX68)</f>
        <v>0.90671259340771715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16.142857142857142</v>
      </c>
      <c r="N69" s="14">
        <f>IF('Données projet'!$A$36&gt;35,N68+M69-V68,IF(A69&lt;'Données projet'!$A$36,$K$205^A69,IF(A69='Données projet'!$A$36,'Données projet'!$B$36,N68+M69-V68)))</f>
        <v>385.28571428571433</v>
      </c>
      <c r="O69" s="14">
        <f>N69*VLOOKUP('Données projet'!$B$9,Paramètres!$A$1:$I$89,3,0)*VLOOKUP('Données projet'!$B$9,Paramètres!$A$1:$I$89,5,0)</f>
        <v>180.3137142857143</v>
      </c>
      <c r="P69" s="14">
        <f t="shared" ref="P69:P132" si="87">EXP(-1.0587+0.8836*LN(O69)+0.284)</f>
        <v>45.391974740208404</v>
      </c>
      <c r="Q69" s="22">
        <f t="shared" si="54"/>
        <v>393.10407505348206</v>
      </c>
      <c r="R69" s="62">
        <f t="shared" si="55"/>
        <v>686.43740838681538</v>
      </c>
      <c r="S69" s="62">
        <f ca="1">AVERAGE(OFFSET($R$3,0,0,'Données projet'!$E$9+1,1))-AVERAGE(OFFSET($H$3,0,0,'Données projet'!$E$9+1,1))</f>
        <v>317.54276561627643</v>
      </c>
      <c r="T69" s="62">
        <f t="shared" ref="T69:T132" si="88">$T$3</f>
        <v>238.92443174298893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4.5999999999999996</v>
      </c>
      <c r="AI69" s="14">
        <f>IF('Données projet'!$A$62&gt;35,AI68+AH69-AQ68,IF(A69&lt;'Données projet'!$A$62,$AF$205^A69,IF(A69='Données projet'!$A$62,'Données projet'!$B$62,AI68+AH69-AQ68)))</f>
        <v>208.59999999999997</v>
      </c>
      <c r="AJ69" s="14">
        <f>AI69*VLOOKUP('Données projet'!$B$10,Paramètres!$A$1:$I$89,3,0)*VLOOKUP('Données projet'!$B$10,Paramètres!$A$1:$I$89,5,0)</f>
        <v>182.23295999999999</v>
      </c>
      <c r="AK69" s="14">
        <f t="shared" ref="AK69:AK132" si="89">EXP(-1.0587+0.8836*LN(AJ69)+0.284)</f>
        <v>45.818621592366291</v>
      </c>
      <c r="AL69" s="22">
        <f t="shared" si="58"/>
        <v>397.18983794003793</v>
      </c>
      <c r="AM69" s="62">
        <f t="shared" si="59"/>
        <v>690.52317127337119</v>
      </c>
      <c r="AN69" s="62">
        <f ca="1">AVERAGE(OFFSET($AM$3,0,0,'Données projet'!$E$10+1,1))-AVERAGE(OFFSET($H$3,0,0,'Données projet'!$E$10+1,1))</f>
        <v>327.826081588335</v>
      </c>
      <c r="AO69" s="62">
        <f t="shared" ref="AO69:AO132" si="90">$AO$3</f>
        <v>348.84706693879735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3.012721966695362</v>
      </c>
      <c r="AV69" s="23">
        <f>EXP(-LN(2)/25)*AV68+(1-EXP(-LN(2)/25))/(LN(2)/25)*Calculateur!AQ69*Calculateur!AS69*VLOOKUP('Données projet'!$B$10,Paramètres!$A$1:$I$89,3,0)*0.475*44/12</f>
        <v>5.056555853795067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8.069277820490429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8.1999999999999993</v>
      </c>
      <c r="BD69" s="13">
        <f>IF('Données projet'!$A$88&gt;35,BD68+BC69-BL68,IF(A69&lt;'Données projet'!$A$88,$BA$205^A69,IF(A69='Données projet'!$A$88,'Données projet'!$B$88,BD68+BC69-BL68)))</f>
        <v>269.2</v>
      </c>
      <c r="BE69" s="14">
        <f>BD69*VLOOKUP('Données projet'!$B$11,Paramètres!$A$1:$I$89,3,0)*VLOOKUP('Données projet'!$B$11,Paramètres!$A$1:$I$89,5,0)</f>
        <v>272.96879999999999</v>
      </c>
      <c r="BF69" s="14">
        <f t="shared" ref="BF69:BF132" si="91">EXP(-1.0587+0.8836*LN(BE69)+0.284)</f>
        <v>65.478922017818945</v>
      </c>
      <c r="BG69" s="22">
        <f t="shared" si="61"/>
        <v>589.46311584770126</v>
      </c>
      <c r="BH69" s="62">
        <f t="shared" si="62"/>
        <v>882.79644918103463</v>
      </c>
      <c r="BI69" s="62">
        <f ca="1">AVERAGE(OFFSET($BH$3,0,0,'Données projet'!$E$11+1,1))-AVERAGE(OFFSET($H$3,0,0,'Données projet'!$E$11+1,1))</f>
        <v>487.04124684635974</v>
      </c>
      <c r="BJ69" s="62">
        <f t="shared" ref="BJ69:BJ132" si="92">$BJ$3</f>
        <v>306.61893266146666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1.3231549178053954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1.3231549178053954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8.1999999999999993</v>
      </c>
      <c r="BY69" s="13">
        <f>IF('Données projet'!$A$114&gt;35,BY68+BX69-CG68,IF(A69&lt;'Données projet'!$A$114,$BV$205^A69,IF(A69='Données projet'!$A$114,'Données projet'!$B$114,BY68+BX69-CG68)))</f>
        <v>269.2</v>
      </c>
      <c r="BZ69" s="14">
        <f>BY69*VLOOKUP('Données projet'!$B$12,Paramètres!$A$1:$I$89,3,0)*VLOOKUP('Données projet'!$B$12,Paramètres!$A$1:$I$89,5,0)</f>
        <v>243.57216</v>
      </c>
      <c r="CA69" s="14">
        <f t="shared" ref="CA69:CA132" si="93">EXP(-1.0587+0.8836*LN(BZ69)+0.284)</f>
        <v>59.207435995642292</v>
      </c>
      <c r="CB69" s="22">
        <f t="shared" si="64"/>
        <v>527.34112969241028</v>
      </c>
      <c r="CC69" s="62">
        <f t="shared" si="65"/>
        <v>820.67446302574353</v>
      </c>
      <c r="CD69" s="62">
        <f ca="1">AVERAGE(OFFSET($CC$3,0,0,'Données projet'!$E$12+1,1))-AVERAGE(OFFSET($H$3,0,0,'Données projet'!$E$12+1,1))</f>
        <v>439.06700232017681</v>
      </c>
      <c r="CE69" s="62">
        <f t="shared" ref="CE69:CE132" si="94">$CE$3</f>
        <v>278.21741231699929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1.1806613112725066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1.1806613112725066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4.4000000000000004</v>
      </c>
      <c r="CT69" s="13">
        <f>IF('Données projet'!$A$140&gt;35,CT68+CS69-DB68,IF(A69&lt;'Données projet'!$A$140,$CQ$205^A69,IF(A69='Données projet'!$A$140,'Données projet'!$B$140,CT68+CS69-DB68)))</f>
        <v>297.39999999999975</v>
      </c>
      <c r="CU69" s="18">
        <f>CT69*VLOOKUP('Données projet'!$B$13,Paramètres!$A$1:$I$89,3,0)*VLOOKUP('Données projet'!$B$13,Paramètres!$A$1:$I$89,5,0)</f>
        <v>218.05367999999982</v>
      </c>
      <c r="CV69" s="14">
        <f t="shared" ref="CV69:CV132" si="95">EXP(-1.0587+0.8836*LN(CU69)+0.284)</f>
        <v>53.691644154151177</v>
      </c>
      <c r="CW69" s="22">
        <f t="shared" si="67"/>
        <v>473.28977290181297</v>
      </c>
      <c r="CX69" s="62">
        <f t="shared" si="68"/>
        <v>766.62310623514622</v>
      </c>
      <c r="CY69" s="62">
        <f ca="1">AVERAGE(OFFSET($CX$3,0,0,'Données projet'!$E$13+1,1))-AVERAGE(OFFSET($H$3,0,0,'Données projet'!$E$13+1,1))</f>
        <v>327.81662150328646</v>
      </c>
      <c r="CZ69" s="62">
        <f t="shared" ref="CZ69:CZ132" si="96">$CZ$3</f>
        <v>320.24200483294322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0.98106241819045881</v>
      </c>
      <c r="DG69" s="23">
        <f>EXP(-LN(2)/25)*DG68+(1-EXP(-LN(2)/25))/(LN(2)/25)*Calculateur!DB69*Calculateur!DD69*VLOOKUP('Données projet'!$B$13,Paramètres!$A$1:$I$89,3,0)*0.475*44/12</f>
        <v>0</v>
      </c>
      <c r="DH69" s="23">
        <f>EXP(-LN(2)/2)*DH68+(1-EXP(-LN(2)/2))/(LN(2)/2)*DB69*DE69*VLOOKUP('Données projet'!$B$13,Paramètres!$A$1:$I$89,3,0)*0.475*44/12</f>
        <v>0</v>
      </c>
      <c r="DI69" s="24">
        <f t="shared" si="69"/>
        <v>0.98106241819045881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4.5999999999999996</v>
      </c>
      <c r="DO69" s="13">
        <f>IF('Données projet'!$A$166&gt;35,DO68+DN69-DW68,IF(A69&lt;'Données projet'!$A$166,$DL$205^A69,IF(A69='Données projet'!$A$166,'Données projet'!$B$166,DO68+DN69-DW68)))</f>
        <v>169.60000000000011</v>
      </c>
      <c r="DP69" s="18">
        <f>DO69*VLOOKUP('Données projet'!$B$14,Paramètres!$A$1:$I$89,3,0)*VLOOKUP('Données projet'!$B$14,Paramètres!$A$1:$I$89,5,0)</f>
        <v>111.12192000000007</v>
      </c>
      <c r="DQ69" s="14">
        <f t="shared" ref="DQ69:DQ132" si="97">EXP(-1.0587+0.8836*LN(DP69)+0.284)</f>
        <v>29.595161360044589</v>
      </c>
      <c r="DR69" s="22">
        <f t="shared" si="70"/>
        <v>245.08225003541111</v>
      </c>
      <c r="DS69" s="62">
        <f t="shared" si="71"/>
        <v>538.41558336874436</v>
      </c>
      <c r="DT69" s="62">
        <f ca="1">AVERAGE(OFFSET($DS$3,0,0,'Données projet'!$E$14+1,1))-AVERAGE(OFFSET($H$3,0,0,'Données projet'!$E$14+1,1))</f>
        <v>210.08998695869161</v>
      </c>
      <c r="DU69" s="62">
        <f t="shared" ref="DU69:DU132" si="98">$DU$3</f>
        <v>207.30911916430881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>
        <f>EXP(-LN(2)/35)*EA68+(1-EXP(-LN(2)/35))/(LN(2)/35)*DW69*DX69*VLOOKUP('Données projet'!$B$14,Paramètres!$A$1:$I$89,3,0)*0.475*44/12</f>
        <v>0.22543561949908397</v>
      </c>
      <c r="EB69" s="23">
        <f>EXP(-LN(2)/25)*EB68+(1-EXP(-LN(2)/25))/(LN(2)/25)*Calculateur!DW69*Calculateur!DY69*VLOOKUP('Données projet'!$B$14,Paramètres!$A$1:$I$89,3,0)*0.475*44/12</f>
        <v>0</v>
      </c>
      <c r="EC69" s="23">
        <f>EXP(-LN(2)/2)*EC68+(1-EXP(-LN(2)/2))/(LN(2)/2)*DW69*DZ69*VLOOKUP('Données projet'!$B$14,Paramètres!$A$1:$I$89,3,0)*0.475*44/12</f>
        <v>0</v>
      </c>
      <c r="ED69" s="24">
        <f t="shared" si="72"/>
        <v>0.22543561949908397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8.6666666666666661</v>
      </c>
      <c r="EJ69" s="13">
        <f>IF('Données projet'!$A$192&gt;35,EJ68+EI69-ER68,IF(A69&lt;'Données projet'!$A$192,$EG$205^A69,IF(A69='Données projet'!$A$192,'Données projet'!$B$192,EJ68+EI69-ER68)))</f>
        <v>302</v>
      </c>
      <c r="EK69" s="18">
        <f>EJ69*VLOOKUP('Données projet'!$B$15,Paramètres!$A$1:$I$89,3,0)*VLOOKUP('Données projet'!$B$15,Paramètres!$A$1:$I$89,5,0)</f>
        <v>235.56</v>
      </c>
      <c r="EL69" s="14">
        <f t="shared" ref="EL69:EL132" si="99">EXP(-1.0587+0.8836*LN(EK69)+0.284)</f>
        <v>57.483207143847721</v>
      </c>
      <c r="EM69" s="22">
        <f t="shared" si="73"/>
        <v>510.38358577553481</v>
      </c>
      <c r="EN69" s="62">
        <f t="shared" si="74"/>
        <v>803.71691910886807</v>
      </c>
      <c r="EO69" s="62">
        <f ca="1">AVERAGE(OFFSET($EN$3,0,0,'Données projet'!$E$15+1,1))-AVERAGE(OFFSET($H$3,0,0,'Données projet'!$E$15+1,1))</f>
        <v>288.82868507674738</v>
      </c>
      <c r="EP69" s="62">
        <f t="shared" ref="EP69:EP132" si="100">$EP$3</f>
        <v>283.48738729114024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>
        <f>EXP(-LN(2)/35)*EV68+(1-EXP(-LN(2)/35))/(LN(2)/35)*ER69*ES69*VLOOKUP('Données projet'!$B$15,Paramètres!$A$1:$I$89,3,0)*0.475*44/12</f>
        <v>0.88893251249106564</v>
      </c>
      <c r="EW69" s="23">
        <f>EXP(-LN(2)/25)*EW68+(1-EXP(-LN(2)/25))/(LN(2)/25)*Calculateur!ER69*Calculateur!ET69*VLOOKUP('Données projet'!$B$15,Paramètres!$A$1:$I$89,3,0)*0.475*44/12</f>
        <v>0</v>
      </c>
      <c r="EX69" s="23">
        <f>EXP(-LN(2)/2)*EX68+(1-EXP(-LN(2)/2))/(LN(2)/2)*ER69*EU69*VLOOKUP('Données projet'!$B$15,Paramètres!$A$1:$I$89,3,0)*0.475*44/12</f>
        <v>0</v>
      </c>
      <c r="EY69" s="24">
        <f t="shared" si="75"/>
        <v>0.88893251249106564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16.142857142857142</v>
      </c>
      <c r="N70" s="14">
        <f>IF('Données projet'!$A$36&gt;35,N69+M70-V69,IF(A70&lt;'Données projet'!$A$36,$K$205^A70,IF(A70='Données projet'!$A$36,'Données projet'!$B$36,N69+M70-V69)))</f>
        <v>401.4285714285715</v>
      </c>
      <c r="O70" s="14">
        <f>N70*VLOOKUP('Données projet'!$B$9,Paramètres!$A$1:$I$89,3,0)*VLOOKUP('Données projet'!$B$9,Paramètres!$A$1:$I$89,5,0)</f>
        <v>187.86857142857147</v>
      </c>
      <c r="P70" s="14">
        <f t="shared" si="87"/>
        <v>47.068415303981318</v>
      </c>
      <c r="Q70" s="22">
        <f t="shared" si="54"/>
        <v>409.18191855919605</v>
      </c>
      <c r="R70" s="62">
        <f t="shared" si="55"/>
        <v>702.51525189252936</v>
      </c>
      <c r="S70" s="62">
        <f ca="1">AVERAGE(OFFSET($R$3,0,0,'Données projet'!$E$9+1,1))-AVERAGE(OFFSET($H$3,0,0,'Données projet'!$E$9+1,1))</f>
        <v>317.54276561627643</v>
      </c>
      <c r="T70" s="62">
        <f t="shared" si="88"/>
        <v>238.92443174298893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4.5999999999999996</v>
      </c>
      <c r="AI70" s="14">
        <f>IF('Données projet'!$A$62&gt;35,AI69+AH70-AQ69,IF(A70&lt;'Données projet'!$A$62,$AF$205^A70,IF(A70='Données projet'!$A$62,'Données projet'!$B$62,AI69+AH70-AQ69)))</f>
        <v>213.19999999999996</v>
      </c>
      <c r="AJ70" s="14">
        <f>AI70*VLOOKUP('Données projet'!$B$10,Paramètres!$A$1:$I$89,3,0)*VLOOKUP('Données projet'!$B$10,Paramètres!$A$1:$I$89,5,0)</f>
        <v>186.25152</v>
      </c>
      <c r="AK70" s="14">
        <f t="shared" si="89"/>
        <v>46.71025851515671</v>
      </c>
      <c r="AL70" s="22">
        <f t="shared" si="58"/>
        <v>405.74176424723129</v>
      </c>
      <c r="AM70" s="62">
        <f t="shared" si="59"/>
        <v>699.0750975805646</v>
      </c>
      <c r="AN70" s="62">
        <f ca="1">AVERAGE(OFFSET($AM$3,0,0,'Données projet'!$E$10+1,1))-AVERAGE(OFFSET($H$3,0,0,'Données projet'!$E$10+1,1))</f>
        <v>327.826081588335</v>
      </c>
      <c r="AO70" s="62">
        <f t="shared" si="90"/>
        <v>348.84706693879735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2.9536443265074199</v>
      </c>
      <c r="AV70" s="23">
        <f>EXP(-LN(2)/25)*AV69+(1-EXP(-LN(2)/25))/(LN(2)/25)*Calculateur!AQ70*Calculateur!AS70*VLOOKUP('Données projet'!$B$10,Paramètres!$A$1:$I$89,3,0)*0.475*44/12</f>
        <v>4.9182840680603253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7.8719283945677452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8.1999999999999993</v>
      </c>
      <c r="BD70" s="13">
        <f>IF('Données projet'!$A$88&gt;35,BD69+BC70-BL69,IF(A70&lt;'Données projet'!$A$88,$BA$205^A70,IF(A70='Données projet'!$A$88,'Données projet'!$B$88,BD69+BC70-BL69)))</f>
        <v>277.39999999999998</v>
      </c>
      <c r="BE70" s="14">
        <f>BD70*VLOOKUP('Données projet'!$B$11,Paramètres!$A$1:$I$89,3,0)*VLOOKUP('Données projet'!$B$11,Paramètres!$A$1:$I$89,5,0)</f>
        <v>281.28360000000004</v>
      </c>
      <c r="BF70" s="14">
        <f t="shared" si="91"/>
        <v>67.238198209347928</v>
      </c>
      <c r="BG70" s="22">
        <f t="shared" si="61"/>
        <v>607.00879854794766</v>
      </c>
      <c r="BH70" s="62">
        <f t="shared" si="62"/>
        <v>900.34213188128092</v>
      </c>
      <c r="BI70" s="62">
        <f ca="1">AVERAGE(OFFSET($BH$3,0,0,'Données projet'!$E$11+1,1))-AVERAGE(OFFSET($H$3,0,0,'Données projet'!$E$11+1,1))</f>
        <v>487.04124684635974</v>
      </c>
      <c r="BJ70" s="62">
        <f t="shared" si="92"/>
        <v>306.61893266146666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1.2972086569120425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1.2972086569120425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8.1999999999999993</v>
      </c>
      <c r="BY70" s="13">
        <f>IF('Données projet'!$A$114&gt;35,BY69+BX70-CG69,IF(A70&lt;'Données projet'!$A$114,$BV$205^A70,IF(A70='Données projet'!$A$114,'Données projet'!$B$114,BY69+BX70-CG69)))</f>
        <v>277.39999999999998</v>
      </c>
      <c r="BZ70" s="14">
        <f>BY70*VLOOKUP('Données projet'!$B$12,Paramètres!$A$1:$I$89,3,0)*VLOOKUP('Données projet'!$B$12,Paramètres!$A$1:$I$89,5,0)</f>
        <v>250.99151999999995</v>
      </c>
      <c r="CA70" s="14">
        <f t="shared" si="93"/>
        <v>60.798211000769406</v>
      </c>
      <c r="CB70" s="22">
        <f t="shared" si="64"/>
        <v>543.03378149300659</v>
      </c>
      <c r="CC70" s="62">
        <f t="shared" si="65"/>
        <v>836.36711482633996</v>
      </c>
      <c r="CD70" s="62">
        <f ca="1">AVERAGE(OFFSET($CC$3,0,0,'Données projet'!$E$12+1,1))-AVERAGE(OFFSET($H$3,0,0,'Données projet'!$E$12+1,1))</f>
        <v>439.06700232017681</v>
      </c>
      <c r="CE70" s="62">
        <f t="shared" si="94"/>
        <v>278.21741231699929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1.1575092630907455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1.1575092630907455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4.4000000000000004</v>
      </c>
      <c r="CT70" s="13">
        <f>IF('Données projet'!$A$140&gt;35,CT69+CS70-DB69,IF(A70&lt;'Données projet'!$A$140,$CQ$205^A70,IF(A70='Données projet'!$A$140,'Données projet'!$B$140,CT69+CS70-DB69)))</f>
        <v>301.79999999999973</v>
      </c>
      <c r="CU70" s="18">
        <f>CT70*VLOOKUP('Données projet'!$B$13,Paramètres!$A$1:$I$89,3,0)*VLOOKUP('Données projet'!$B$13,Paramètres!$A$1:$I$89,5,0)</f>
        <v>221.27975999999978</v>
      </c>
      <c r="CV70" s="14">
        <f t="shared" si="95"/>
        <v>54.392941267953155</v>
      </c>
      <c r="CW70" s="22">
        <f t="shared" si="67"/>
        <v>480.12995470835148</v>
      </c>
      <c r="CX70" s="62">
        <f t="shared" si="68"/>
        <v>773.46328804168479</v>
      </c>
      <c r="CY70" s="62">
        <f ca="1">AVERAGE(OFFSET($CX$3,0,0,'Données projet'!$E$13+1,1))-AVERAGE(OFFSET($H$3,0,0,'Données projet'!$E$13+1,1))</f>
        <v>327.81662150328646</v>
      </c>
      <c r="CZ70" s="62">
        <f t="shared" si="96"/>
        <v>320.24200483294322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0.96182438255873304</v>
      </c>
      <c r="DG70" s="23">
        <f>EXP(-LN(2)/25)*DG69+(1-EXP(-LN(2)/25))/(LN(2)/25)*Calculateur!DB70*Calculateur!DD70*VLOOKUP('Données projet'!$B$13,Paramètres!$A$1:$I$89,3,0)*0.475*44/12</f>
        <v>0</v>
      </c>
      <c r="DH70" s="23">
        <f>EXP(-LN(2)/2)*DH69+(1-EXP(-LN(2)/2))/(LN(2)/2)*DB70*DE70*VLOOKUP('Données projet'!$B$13,Paramètres!$A$1:$I$89,3,0)*0.475*44/12</f>
        <v>0</v>
      </c>
      <c r="DI70" s="24">
        <f t="shared" si="69"/>
        <v>0.96182438255873304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4.5999999999999996</v>
      </c>
      <c r="DO70" s="13">
        <f>IF('Données projet'!$A$166&gt;35,DO69+DN70-DW69,IF(A70&lt;'Données projet'!$A$166,$DL$205^A70,IF(A70='Données projet'!$A$166,'Données projet'!$B$166,DO69+DN70-DW69)))</f>
        <v>174.2000000000001</v>
      </c>
      <c r="DP70" s="18">
        <f>DO70*VLOOKUP('Données projet'!$B$14,Paramètres!$A$1:$I$89,3,0)*VLOOKUP('Données projet'!$B$14,Paramètres!$A$1:$I$89,5,0)</f>
        <v>114.13584000000007</v>
      </c>
      <c r="DQ70" s="14">
        <f t="shared" si="97"/>
        <v>30.303317693701107</v>
      </c>
      <c r="DR70" s="22">
        <f t="shared" si="70"/>
        <v>251.56486631652959</v>
      </c>
      <c r="DS70" s="62">
        <f t="shared" si="71"/>
        <v>544.89819964986293</v>
      </c>
      <c r="DT70" s="62">
        <f ca="1">AVERAGE(OFFSET($DS$3,0,0,'Données projet'!$E$14+1,1))-AVERAGE(OFFSET($H$3,0,0,'Données projet'!$E$14+1,1))</f>
        <v>210.08998695869161</v>
      </c>
      <c r="DU70" s="62">
        <f t="shared" si="98"/>
        <v>207.30911916430881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>
        <f>EXP(-LN(2)/35)*EA69+(1-EXP(-LN(2)/35))/(LN(2)/35)*DW70*DX70*VLOOKUP('Données projet'!$B$14,Paramètres!$A$1:$I$89,3,0)*0.475*44/12</f>
        <v>0.22101496450285762</v>
      </c>
      <c r="EB70" s="23">
        <f>EXP(-LN(2)/25)*EB69+(1-EXP(-LN(2)/25))/(LN(2)/25)*Calculateur!DW70*Calculateur!DY70*VLOOKUP('Données projet'!$B$14,Paramètres!$A$1:$I$89,3,0)*0.475*44/12</f>
        <v>0</v>
      </c>
      <c r="EC70" s="23">
        <f>EXP(-LN(2)/2)*EC69+(1-EXP(-LN(2)/2))/(LN(2)/2)*DW70*DZ70*VLOOKUP('Données projet'!$B$14,Paramètres!$A$1:$I$89,3,0)*0.475*44/12</f>
        <v>0</v>
      </c>
      <c r="ED70" s="24">
        <f t="shared" si="72"/>
        <v>0.22101496450285762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8.6666666666666661</v>
      </c>
      <c r="EJ70" s="13">
        <f>IF('Données projet'!$A$192&gt;35,EJ69+EI70-ER69,IF(A70&lt;'Données projet'!$A$192,$EG$205^A70,IF(A70='Données projet'!$A$192,'Données projet'!$B$192,EJ69+EI70-ER69)))</f>
        <v>310.66666666666669</v>
      </c>
      <c r="EK70" s="18">
        <f>EJ70*VLOOKUP('Données projet'!$B$15,Paramètres!$A$1:$I$89,3,0)*VLOOKUP('Données projet'!$B$15,Paramètres!$A$1:$I$89,5,0)</f>
        <v>242.32000000000002</v>
      </c>
      <c r="EL70" s="14">
        <f t="shared" si="99"/>
        <v>58.938409961900859</v>
      </c>
      <c r="EM70" s="22">
        <f t="shared" si="73"/>
        <v>524.69173068364398</v>
      </c>
      <c r="EN70" s="62">
        <f t="shared" si="74"/>
        <v>818.02506401697724</v>
      </c>
      <c r="EO70" s="62">
        <f ca="1">AVERAGE(OFFSET($EN$3,0,0,'Données projet'!$E$15+1,1))-AVERAGE(OFFSET($H$3,0,0,'Données projet'!$E$15+1,1))</f>
        <v>288.82868507674738</v>
      </c>
      <c r="EP70" s="62">
        <f t="shared" si="100"/>
        <v>283.48738729114024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>
        <f>EXP(-LN(2)/35)*EV69+(1-EXP(-LN(2)/35))/(LN(2)/35)*ER70*ES70*VLOOKUP('Données projet'!$B$15,Paramètres!$A$1:$I$89,3,0)*0.475*44/12</f>
        <v>0.87150108811641114</v>
      </c>
      <c r="EW70" s="23">
        <f>EXP(-LN(2)/25)*EW69+(1-EXP(-LN(2)/25))/(LN(2)/25)*Calculateur!ER70*Calculateur!ET70*VLOOKUP('Données projet'!$B$15,Paramètres!$A$1:$I$89,3,0)*0.475*44/12</f>
        <v>0</v>
      </c>
      <c r="EX70" s="23">
        <f>EXP(-LN(2)/2)*EX69+(1-EXP(-LN(2)/2))/(LN(2)/2)*ER70*EU70*VLOOKUP('Données projet'!$B$15,Paramètres!$A$1:$I$89,3,0)*0.475*44/12</f>
        <v>0</v>
      </c>
      <c r="EY70" s="24">
        <f t="shared" si="75"/>
        <v>0.87150108811641114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16.142857142857142</v>
      </c>
      <c r="N71" s="14">
        <f>IF('Données projet'!$A$36&gt;35,N70+M71-V70,IF(A71&lt;'Données projet'!$A$36,$K$205^A71,IF(A71='Données projet'!$A$36,'Données projet'!$B$36,N70+M71-V70)))</f>
        <v>417.57142857142867</v>
      </c>
      <c r="O71" s="14">
        <f>N71*VLOOKUP('Données projet'!$B$9,Paramètres!$A$1:$I$89,3,0)*VLOOKUP('Données projet'!$B$9,Paramètres!$A$1:$I$89,5,0)</f>
        <v>195.42342857142864</v>
      </c>
      <c r="P71" s="14">
        <f t="shared" si="87"/>
        <v>48.737024802067147</v>
      </c>
      <c r="Q71" s="22">
        <f t="shared" si="54"/>
        <v>425.24612295883844</v>
      </c>
      <c r="R71" s="62">
        <f t="shared" si="55"/>
        <v>718.5794562921717</v>
      </c>
      <c r="S71" s="62">
        <f ca="1">AVERAGE(OFFSET($R$3,0,0,'Données projet'!$E$9+1,1))-AVERAGE(OFFSET($H$3,0,0,'Données projet'!$E$9+1,1))</f>
        <v>317.54276561627643</v>
      </c>
      <c r="T71" s="62">
        <f t="shared" si="88"/>
        <v>238.92443174298893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4.5999999999999996</v>
      </c>
      <c r="AI71" s="14">
        <f>IF('Données projet'!$A$62&gt;35,AI70+AH71-AQ70,IF(A71&lt;'Données projet'!$A$62,$AF$205^A71,IF(A71='Données projet'!$A$62,'Données projet'!$B$62,AI70+AH71-AQ70)))</f>
        <v>217.79999999999995</v>
      </c>
      <c r="AJ71" s="14">
        <f>AI71*VLOOKUP('Données projet'!$B$10,Paramètres!$A$1:$I$89,3,0)*VLOOKUP('Données projet'!$B$10,Paramètres!$A$1:$I$89,5,0)</f>
        <v>190.27007999999998</v>
      </c>
      <c r="AK71" s="14">
        <f t="shared" si="89"/>
        <v>47.599658767320413</v>
      </c>
      <c r="AL71" s="22">
        <f t="shared" si="58"/>
        <v>414.28979501974965</v>
      </c>
      <c r="AM71" s="62">
        <f t="shared" si="59"/>
        <v>707.62312835308296</v>
      </c>
      <c r="AN71" s="62">
        <f ca="1">AVERAGE(OFFSET($AM$3,0,0,'Données projet'!$E$10+1,1))-AVERAGE(OFFSET($H$3,0,0,'Données projet'!$E$10+1,1))</f>
        <v>327.826081588335</v>
      </c>
      <c r="AO71" s="62">
        <f t="shared" si="90"/>
        <v>348.84706693879735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2.8957251628097609</v>
      </c>
      <c r="AV71" s="23">
        <f>EXP(-LN(2)/25)*AV70+(1-EXP(-LN(2)/25))/(LN(2)/25)*Calculateur!AQ71*Calculateur!AS71*VLOOKUP('Données projet'!$B$10,Paramètres!$A$1:$I$89,3,0)*0.475*44/12</f>
        <v>4.7837933315778978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7.6795184943876587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8.1999999999999993</v>
      </c>
      <c r="BD71" s="13">
        <f>IF('Données projet'!$A$88&gt;35,BD70+BC71-BL70,IF(A71&lt;'Données projet'!$A$88,$BA$205^A71,IF(A71='Données projet'!$A$88,'Données projet'!$B$88,BD70+BC71-BL70)))</f>
        <v>285.59999999999997</v>
      </c>
      <c r="BE71" s="14">
        <f>BD71*VLOOKUP('Données projet'!$B$11,Paramètres!$A$1:$I$89,3,0)*VLOOKUP('Données projet'!$B$11,Paramètres!$A$1:$I$89,5,0)</f>
        <v>289.59839999999997</v>
      </c>
      <c r="BF71" s="14">
        <f t="shared" si="91"/>
        <v>68.991430542388798</v>
      </c>
      <c r="BG71" s="22">
        <f t="shared" si="61"/>
        <v>624.54395486132705</v>
      </c>
      <c r="BH71" s="62">
        <f t="shared" si="62"/>
        <v>917.87728819466042</v>
      </c>
      <c r="BI71" s="62">
        <f ca="1">AVERAGE(OFFSET($BH$3,0,0,'Données projet'!$E$11+1,1))-AVERAGE(OFFSET($H$3,0,0,'Données projet'!$E$11+1,1))</f>
        <v>487.04124684635974</v>
      </c>
      <c r="BJ71" s="62">
        <f t="shared" si="92"/>
        <v>306.61893266146666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1.2717711863691517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1.2717711863691517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8.1999999999999993</v>
      </c>
      <c r="BY71" s="13">
        <f>IF('Données projet'!$A$114&gt;35,BY70+BX71-CG70,IF(A71&lt;'Données projet'!$A$114,$BV$205^A71,IF(A71='Données projet'!$A$114,'Données projet'!$B$114,BY70+BX71-CG70)))</f>
        <v>285.59999999999997</v>
      </c>
      <c r="BZ71" s="14">
        <f>BY71*VLOOKUP('Données projet'!$B$12,Paramètres!$A$1:$I$89,3,0)*VLOOKUP('Données projet'!$B$12,Paramètres!$A$1:$I$89,5,0)</f>
        <v>258.41087999999996</v>
      </c>
      <c r="CA71" s="14">
        <f t="shared" si="93"/>
        <v>62.383521020316756</v>
      </c>
      <c r="CB71" s="22">
        <f t="shared" si="64"/>
        <v>558.71691511038489</v>
      </c>
      <c r="CC71" s="62">
        <f t="shared" si="65"/>
        <v>852.05024844371815</v>
      </c>
      <c r="CD71" s="62">
        <f ca="1">AVERAGE(OFFSET($CC$3,0,0,'Données projet'!$E$12+1,1))-AVERAGE(OFFSET($H$3,0,0,'Données projet'!$E$12+1,1))</f>
        <v>439.06700232017681</v>
      </c>
      <c r="CE71" s="62">
        <f t="shared" si="94"/>
        <v>278.21741231699929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1.1348112124524736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1.1348112124524736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4.4000000000000004</v>
      </c>
      <c r="CT71" s="13">
        <f>IF('Données projet'!$A$140&gt;35,CT70+CS71-DB70,IF(A71&lt;'Données projet'!$A$140,$CQ$205^A71,IF(A71='Données projet'!$A$140,'Données projet'!$B$140,CT70+CS71-DB70)))</f>
        <v>306.1999999999997</v>
      </c>
      <c r="CU71" s="18">
        <f>CT71*VLOOKUP('Données projet'!$B$13,Paramètres!$A$1:$I$89,3,0)*VLOOKUP('Données projet'!$B$13,Paramètres!$A$1:$I$89,5,0)</f>
        <v>224.50583999999978</v>
      </c>
      <c r="CV71" s="14">
        <f t="shared" si="95"/>
        <v>55.093049232713739</v>
      </c>
      <c r="CW71" s="22">
        <f t="shared" si="67"/>
        <v>486.96806541364276</v>
      </c>
      <c r="CX71" s="62">
        <f t="shared" si="68"/>
        <v>780.30139874697602</v>
      </c>
      <c r="CY71" s="62">
        <f ca="1">AVERAGE(OFFSET($CX$3,0,0,'Données projet'!$E$13+1,1))-AVERAGE(OFFSET($H$3,0,0,'Données projet'!$E$13+1,1))</f>
        <v>327.81662150328646</v>
      </c>
      <c r="CZ71" s="62">
        <f t="shared" si="96"/>
        <v>320.24200483294322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0.9429635930717023</v>
      </c>
      <c r="DG71" s="23">
        <f>EXP(-LN(2)/25)*DG70+(1-EXP(-LN(2)/25))/(LN(2)/25)*Calculateur!DB71*Calculateur!DD71*VLOOKUP('Données projet'!$B$13,Paramètres!$A$1:$I$89,3,0)*0.475*44/12</f>
        <v>0</v>
      </c>
      <c r="DH71" s="23">
        <f>EXP(-LN(2)/2)*DH70+(1-EXP(-LN(2)/2))/(LN(2)/2)*DB71*DE71*VLOOKUP('Données projet'!$B$13,Paramètres!$A$1:$I$89,3,0)*0.475*44/12</f>
        <v>0</v>
      </c>
      <c r="DI71" s="24">
        <f t="shared" si="69"/>
        <v>0.9429635930717023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4.5999999999999996</v>
      </c>
      <c r="DO71" s="13">
        <f>IF('Données projet'!$A$166&gt;35,DO70+DN71-DW70,IF(A71&lt;'Données projet'!$A$166,$DL$205^A71,IF(A71='Données projet'!$A$166,'Données projet'!$B$166,DO70+DN71-DW70)))</f>
        <v>178.8000000000001</v>
      </c>
      <c r="DP71" s="18">
        <f>DO71*VLOOKUP('Données projet'!$B$14,Paramètres!$A$1:$I$89,3,0)*VLOOKUP('Données projet'!$B$14,Paramètres!$A$1:$I$89,5,0)</f>
        <v>117.14976000000006</v>
      </c>
      <c r="DQ71" s="14">
        <f t="shared" si="97"/>
        <v>31.009300436149584</v>
      </c>
      <c r="DR71" s="22">
        <f t="shared" si="70"/>
        <v>258.04369692629399</v>
      </c>
      <c r="DS71" s="62">
        <f t="shared" si="71"/>
        <v>551.3770302596273</v>
      </c>
      <c r="DT71" s="62">
        <f ca="1">AVERAGE(OFFSET($DS$3,0,0,'Données projet'!$E$14+1,1))-AVERAGE(OFFSET($H$3,0,0,'Données projet'!$E$14+1,1))</f>
        <v>210.08998695869161</v>
      </c>
      <c r="DU71" s="62">
        <f t="shared" si="98"/>
        <v>207.30911916430881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>
        <f>EXP(-LN(2)/35)*EA70+(1-EXP(-LN(2)/35))/(LN(2)/35)*DW71*DX71*VLOOKUP('Données projet'!$B$14,Paramètres!$A$1:$I$89,3,0)*0.475*44/12</f>
        <v>0.21668099585477396</v>
      </c>
      <c r="EB71" s="23">
        <f>EXP(-LN(2)/25)*EB70+(1-EXP(-LN(2)/25))/(LN(2)/25)*Calculateur!DW71*Calculateur!DY71*VLOOKUP('Données projet'!$B$14,Paramètres!$A$1:$I$89,3,0)*0.475*44/12</f>
        <v>0</v>
      </c>
      <c r="EC71" s="23">
        <f>EXP(-LN(2)/2)*EC70+(1-EXP(-LN(2)/2))/(LN(2)/2)*DW71*DZ71*VLOOKUP('Données projet'!$B$14,Paramètres!$A$1:$I$89,3,0)*0.475*44/12</f>
        <v>0</v>
      </c>
      <c r="ED71" s="24">
        <f t="shared" si="72"/>
        <v>0.21668099585477396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8.6666666666666661</v>
      </c>
      <c r="EJ71" s="13">
        <f>IF('Données projet'!$A$192&gt;35,EJ70+EI71-ER70,IF(A71&lt;'Données projet'!$A$192,$EG$205^A71,IF(A71='Données projet'!$A$192,'Données projet'!$B$192,EJ70+EI71-ER70)))</f>
        <v>319.33333333333337</v>
      </c>
      <c r="EK71" s="18">
        <f>EJ71*VLOOKUP('Données projet'!$B$15,Paramètres!$A$1:$I$89,3,0)*VLOOKUP('Données projet'!$B$15,Paramètres!$A$1:$I$89,5,0)</f>
        <v>249.08000000000004</v>
      </c>
      <c r="EL71" s="14">
        <f t="shared" si="99"/>
        <v>60.388894447487807</v>
      </c>
      <c r="EM71" s="22">
        <f t="shared" si="73"/>
        <v>538.99165782937473</v>
      </c>
      <c r="EN71" s="62">
        <f t="shared" si="74"/>
        <v>832.3249911627081</v>
      </c>
      <c r="EO71" s="62">
        <f ca="1">AVERAGE(OFFSET($EN$3,0,0,'Données projet'!$E$15+1,1))-AVERAGE(OFFSET($H$3,0,0,'Données projet'!$E$15+1,1))</f>
        <v>288.82868507674738</v>
      </c>
      <c r="EP71" s="62">
        <f t="shared" si="100"/>
        <v>283.48738729114024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>
        <f>EXP(-LN(2)/35)*EV70+(1-EXP(-LN(2)/35))/(LN(2)/35)*ER71*ES71*VLOOKUP('Données projet'!$B$15,Paramètres!$A$1:$I$89,3,0)*0.475*44/12</f>
        <v>0.85441148334162453</v>
      </c>
      <c r="EW71" s="23">
        <f>EXP(-LN(2)/25)*EW70+(1-EXP(-LN(2)/25))/(LN(2)/25)*Calculateur!ER71*Calculateur!ET71*VLOOKUP('Données projet'!$B$15,Paramètres!$A$1:$I$89,3,0)*0.475*44/12</f>
        <v>0</v>
      </c>
      <c r="EX71" s="23">
        <f>EXP(-LN(2)/2)*EX70+(1-EXP(-LN(2)/2))/(LN(2)/2)*ER71*EU71*VLOOKUP('Données projet'!$B$15,Paramètres!$A$1:$I$89,3,0)*0.475*44/12</f>
        <v>0</v>
      </c>
      <c r="EY71" s="24">
        <f t="shared" si="75"/>
        <v>0.85441148334162453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16.142857142857142</v>
      </c>
      <c r="N72" s="14">
        <f>IF('Données projet'!$A$36&gt;35,N71+M72-V71,IF(A72&lt;'Données projet'!$A$36,$K$205^A72,IF(A72='Données projet'!$A$36,'Données projet'!$B$36,N71+M72-V71)))</f>
        <v>433.71428571428584</v>
      </c>
      <c r="O72" s="14">
        <f>N72*VLOOKUP('Données projet'!$B$9,Paramètres!$A$1:$I$89,3,0)*VLOOKUP('Données projet'!$B$9,Paramètres!$A$1:$I$89,5,0)</f>
        <v>202.97828571428576</v>
      </c>
      <c r="P72" s="14">
        <f t="shared" si="87"/>
        <v>50.398140625785402</v>
      </c>
      <c r="Q72" s="22">
        <f t="shared" si="54"/>
        <v>441.29727587562394</v>
      </c>
      <c r="R72" s="62">
        <f t="shared" si="55"/>
        <v>734.63060920895725</v>
      </c>
      <c r="S72" s="62">
        <f ca="1">AVERAGE(OFFSET($R$3,0,0,'Données projet'!$E$9+1,1))-AVERAGE(OFFSET($H$3,0,0,'Données projet'!$E$9+1,1))</f>
        <v>317.54276561627643</v>
      </c>
      <c r="T72" s="62">
        <f t="shared" si="88"/>
        <v>238.92443174298893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4.5999999999999996</v>
      </c>
      <c r="AI72" s="14">
        <f>IF('Données projet'!$A$62&gt;35,AI71+AH72-AQ71,IF(A72&lt;'Données projet'!$A$62,$AF$205^A72,IF(A72='Données projet'!$A$62,'Données projet'!$B$62,AI71+AH72-AQ71)))</f>
        <v>222.39999999999995</v>
      </c>
      <c r="AJ72" s="14">
        <f>AI72*VLOOKUP('Données projet'!$B$10,Paramètres!$A$1:$I$89,3,0)*VLOOKUP('Données projet'!$B$10,Paramètres!$A$1:$I$89,5,0)</f>
        <v>194.28863999999999</v>
      </c>
      <c r="AK72" s="14">
        <f t="shared" si="89"/>
        <v>48.486875029770822</v>
      </c>
      <c r="AL72" s="22">
        <f t="shared" si="58"/>
        <v>422.83402201018413</v>
      </c>
      <c r="AM72" s="62">
        <f t="shared" si="59"/>
        <v>716.16735534351744</v>
      </c>
      <c r="AN72" s="62">
        <f ca="1">AVERAGE(OFFSET($AM$3,0,0,'Données projet'!$E$10+1,1))-AVERAGE(OFFSET($H$3,0,0,'Données projet'!$E$10+1,1))</f>
        <v>327.826081588335</v>
      </c>
      <c r="AO72" s="62">
        <f t="shared" si="90"/>
        <v>348.84706693879735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2.8389417585850114</v>
      </c>
      <c r="AV72" s="23">
        <f>EXP(-LN(2)/25)*AV71+(1-EXP(-LN(2)/25))/(LN(2)/25)*Calculateur!AQ72*Calculateur!AS72*VLOOKUP('Données projet'!$B$10,Paramètres!$A$1:$I$89,3,0)*0.475*44/12</f>
        <v>4.6529802513571425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7.4919220099421544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8.1999999999999993</v>
      </c>
      <c r="BD72" s="13">
        <f>IF('Données projet'!$A$88&gt;35,BD71+BC72-BL71,IF(A72&lt;'Données projet'!$A$88,$BA$205^A72,IF(A72='Données projet'!$A$88,'Données projet'!$B$88,BD71+BC72-BL71)))</f>
        <v>293.79999999999995</v>
      </c>
      <c r="BE72" s="14">
        <f>BD72*VLOOKUP('Données projet'!$B$11,Paramètres!$A$1:$I$89,3,0)*VLOOKUP('Données projet'!$B$11,Paramètres!$A$1:$I$89,5,0)</f>
        <v>297.91319999999996</v>
      </c>
      <c r="BF72" s="14">
        <f t="shared" si="91"/>
        <v>70.73881247427552</v>
      </c>
      <c r="BG72" s="22">
        <f t="shared" si="61"/>
        <v>642.06892172602977</v>
      </c>
      <c r="BH72" s="62">
        <f t="shared" si="62"/>
        <v>935.40225505936314</v>
      </c>
      <c r="BI72" s="62">
        <f ca="1">AVERAGE(OFFSET($BH$3,0,0,'Données projet'!$E$11+1,1))-AVERAGE(OFFSET($H$3,0,0,'Données projet'!$E$11+1,1))</f>
        <v>487.04124684635974</v>
      </c>
      <c r="BJ72" s="62">
        <f t="shared" si="92"/>
        <v>306.61893266146666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1.2468325291082818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1.2468325291082818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8.1999999999999993</v>
      </c>
      <c r="BY72" s="13">
        <f>IF('Données projet'!$A$114&gt;35,BY71+BX72-CG71,IF(A72&lt;'Données projet'!$A$114,$BV$205^A72,IF(A72='Données projet'!$A$114,'Données projet'!$B$114,BY71+BX72-CG71)))</f>
        <v>293.79999999999995</v>
      </c>
      <c r="BZ72" s="14">
        <f>BY72*VLOOKUP('Données projet'!$B$12,Paramètres!$A$1:$I$89,3,0)*VLOOKUP('Données projet'!$B$12,Paramètres!$A$1:$I$89,5,0)</f>
        <v>265.83023999999995</v>
      </c>
      <c r="CA72" s="14">
        <f t="shared" si="93"/>
        <v>63.963540982526439</v>
      </c>
      <c r="CB72" s="22">
        <f t="shared" si="64"/>
        <v>574.39083521123348</v>
      </c>
      <c r="CC72" s="62">
        <f t="shared" si="65"/>
        <v>867.72416854456674</v>
      </c>
      <c r="CD72" s="62">
        <f ca="1">AVERAGE(OFFSET($CC$3,0,0,'Données projet'!$E$12+1,1))-AVERAGE(OFFSET($H$3,0,0,'Données projet'!$E$12+1,1))</f>
        <v>439.06700232017681</v>
      </c>
      <c r="CE72" s="62">
        <f t="shared" si="94"/>
        <v>278.21741231699929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1.1125582567427745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1.1125582567427745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4.4000000000000004</v>
      </c>
      <c r="CT72" s="13">
        <f>IF('Données projet'!$A$140&gt;35,CT71+CS72-DB71,IF(A72&lt;'Données projet'!$A$140,$CQ$205^A72,IF(A72='Données projet'!$A$140,'Données projet'!$B$140,CT71+CS72-DB71)))</f>
        <v>310.59999999999968</v>
      </c>
      <c r="CU72" s="18">
        <f>CT72*VLOOKUP('Données projet'!$B$13,Paramètres!$A$1:$I$89,3,0)*VLOOKUP('Données projet'!$B$13,Paramètres!$A$1:$I$89,5,0)</f>
        <v>227.73191999999975</v>
      </c>
      <c r="CV72" s="14">
        <f t="shared" si="95"/>
        <v>55.791987110523941</v>
      </c>
      <c r="CW72" s="22">
        <f t="shared" si="67"/>
        <v>493.80413821749539</v>
      </c>
      <c r="CX72" s="62">
        <f t="shared" si="68"/>
        <v>787.13747155082865</v>
      </c>
      <c r="CY72" s="62">
        <f ca="1">AVERAGE(OFFSET($CX$3,0,0,'Données projet'!$E$13+1,1))-AVERAGE(OFFSET($H$3,0,0,'Données projet'!$E$13+1,1))</f>
        <v>327.81662150328646</v>
      </c>
      <c r="CZ72" s="62">
        <f t="shared" si="96"/>
        <v>320.24200483294322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0.92447265216256658</v>
      </c>
      <c r="DG72" s="23">
        <f>EXP(-LN(2)/25)*DG71+(1-EXP(-LN(2)/25))/(LN(2)/25)*Calculateur!DB72*Calculateur!DD72*VLOOKUP('Données projet'!$B$13,Paramètres!$A$1:$I$89,3,0)*0.475*44/12</f>
        <v>0</v>
      </c>
      <c r="DH72" s="23">
        <f>EXP(-LN(2)/2)*DH71+(1-EXP(-LN(2)/2))/(LN(2)/2)*DB72*DE72*VLOOKUP('Données projet'!$B$13,Paramètres!$A$1:$I$89,3,0)*0.475*44/12</f>
        <v>0</v>
      </c>
      <c r="DI72" s="24">
        <f t="shared" si="69"/>
        <v>0.92447265216256658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4.5999999999999996</v>
      </c>
      <c r="DO72" s="13">
        <f>IF('Données projet'!$A$166&gt;35,DO71+DN72-DW71,IF(A72&lt;'Données projet'!$A$166,$DL$205^A72,IF(A72='Données projet'!$A$166,'Données projet'!$B$166,DO71+DN72-DW71)))</f>
        <v>183.40000000000009</v>
      </c>
      <c r="DP72" s="18">
        <f>DO72*VLOOKUP('Données projet'!$B$14,Paramètres!$A$1:$I$89,3,0)*VLOOKUP('Données projet'!$B$14,Paramètres!$A$1:$I$89,5,0)</f>
        <v>120.16368000000006</v>
      </c>
      <c r="DQ72" s="14">
        <f t="shared" si="97"/>
        <v>31.713171937161391</v>
      </c>
      <c r="DR72" s="22">
        <f t="shared" si="70"/>
        <v>264.51885045722287</v>
      </c>
      <c r="DS72" s="62">
        <f t="shared" si="71"/>
        <v>557.85218379055618</v>
      </c>
      <c r="DT72" s="62">
        <f ca="1">AVERAGE(OFFSET($DS$3,0,0,'Données projet'!$E$14+1,1))-AVERAGE(OFFSET($H$3,0,0,'Données projet'!$E$14+1,1))</f>
        <v>210.08998695869161</v>
      </c>
      <c r="DU72" s="62">
        <f t="shared" si="98"/>
        <v>207.30911916430881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>
        <f>EXP(-LN(2)/35)*EA71+(1-EXP(-LN(2)/35))/(LN(2)/35)*DW72*DX72*VLOOKUP('Données projet'!$B$14,Paramètres!$A$1:$I$89,3,0)*0.475*44/12</f>
        <v>0.21243201368841938</v>
      </c>
      <c r="EB72" s="23">
        <f>EXP(-LN(2)/25)*EB71+(1-EXP(-LN(2)/25))/(LN(2)/25)*Calculateur!DW72*Calculateur!DY72*VLOOKUP('Données projet'!$B$14,Paramètres!$A$1:$I$89,3,0)*0.475*44/12</f>
        <v>0</v>
      </c>
      <c r="EC72" s="23">
        <f>EXP(-LN(2)/2)*EC71+(1-EXP(-LN(2)/2))/(LN(2)/2)*DW72*DZ72*VLOOKUP('Données projet'!$B$14,Paramètres!$A$1:$I$89,3,0)*0.475*44/12</f>
        <v>0</v>
      </c>
      <c r="ED72" s="24">
        <f t="shared" si="72"/>
        <v>0.21243201368841938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>
        <f>VLOOKUP(A72,'Données projet'!$A$191:$I$211,2,0)</f>
        <v>328</v>
      </c>
      <c r="EH72" s="13">
        <f>VLOOKUP(A72,'Données projet'!$A$191:$I$211,9,0)</f>
        <v>8.6666666666666661</v>
      </c>
      <c r="EI72" s="13">
        <f t="array" ref="EI72">INDEX(EH:EH,MIN(IF(ISNUMBER(EH72:EH268),ROW(EH72:EH268),"")))</f>
        <v>8.6666666666666661</v>
      </c>
      <c r="EJ72" s="13">
        <f>IF('Données projet'!$A$192&gt;35,EJ71+EI72-ER71,IF(A72&lt;'Données projet'!$A$192,$EG$205^A72,IF(A72='Données projet'!$A$192,'Données projet'!$B$192,EJ71+EI72-ER71)))</f>
        <v>328.00000000000006</v>
      </c>
      <c r="EK72" s="18">
        <f>EJ72*VLOOKUP('Données projet'!$B$15,Paramètres!$A$1:$I$89,3,0)*VLOOKUP('Données projet'!$B$15,Paramètres!$A$1:$I$89,5,0)</f>
        <v>255.84000000000006</v>
      </c>
      <c r="EL72" s="14">
        <f t="shared" si="99"/>
        <v>61.834803371075836</v>
      </c>
      <c r="EM72" s="22">
        <f t="shared" si="73"/>
        <v>553.28361587129041</v>
      </c>
      <c r="EN72" s="62">
        <f t="shared" si="74"/>
        <v>846.61694920462378</v>
      </c>
      <c r="EO72" s="62">
        <f ca="1">AVERAGE(OFFSET($EN$3,0,0,'Données projet'!$E$15+1,1))-AVERAGE(OFFSET($H$3,0,0,'Données projet'!$E$15+1,1))</f>
        <v>288.82868507674738</v>
      </c>
      <c r="EP72" s="62">
        <f t="shared" si="100"/>
        <v>283.48738729114024</v>
      </c>
      <c r="EQ72" s="16">
        <f>IF(ISNA(VLOOKUP(A72,'Données projet'!$A$191:$I$211,3,0)),0,VLOOKUP(A72,'Données projet'!$A$191:$I$211,3,0))</f>
        <v>9</v>
      </c>
      <c r="ER72" s="16">
        <f>IF(ISNA(VLOOKUP(A72,'Données projet'!$A$191:$I$211,4,0)),0,VLOOKUP(A72,'Données projet'!$A$191:$I$211,4,0))</f>
        <v>328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>
        <f>EXP(-LN(2)/35)*EV71+(1-EXP(-LN(2)/35))/(LN(2)/35)*ER72*ES72*VLOOKUP('Données projet'!$B$15,Paramètres!$A$1:$I$89,3,0)*0.475*44/12</f>
        <v>0.83765699529284188</v>
      </c>
      <c r="EW72" s="23">
        <f>EXP(-LN(2)/25)*EW71+(1-EXP(-LN(2)/25))/(LN(2)/25)*Calculateur!ER72*Calculateur!ET72*VLOOKUP('Données projet'!$B$15,Paramètres!$A$1:$I$89,3,0)*0.475*44/12</f>
        <v>0</v>
      </c>
      <c r="EX72" s="23">
        <f>EXP(-LN(2)/2)*EX71+(1-EXP(-LN(2)/2))/(LN(2)/2)*ER72*EU72*VLOOKUP('Données projet'!$B$15,Paramètres!$A$1:$I$89,3,0)*0.475*44/12</f>
        <v>0</v>
      </c>
      <c r="EY72" s="24">
        <f t="shared" si="75"/>
        <v>0.83765699529284188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16.142857142857142</v>
      </c>
      <c r="N73" s="14">
        <f>IF('Données projet'!$A$36&gt;35,N72+M73-V72,IF(A73&lt;'Données projet'!$A$36,$K$205^A73,IF(A73='Données projet'!$A$36,'Données projet'!$B$36,N72+M73-V72)))</f>
        <v>449.857142857143</v>
      </c>
      <c r="O73" s="14">
        <f>N73*VLOOKUP('Données projet'!$B$9,Paramètres!$A$1:$I$89,3,0)*VLOOKUP('Données projet'!$B$9,Paramètres!$A$1:$I$89,5,0)</f>
        <v>210.53314285714293</v>
      </c>
      <c r="P73" s="14">
        <f t="shared" si="87"/>
        <v>52.052073628089957</v>
      </c>
      <c r="Q73" s="22">
        <f t="shared" si="54"/>
        <v>457.33591871178055</v>
      </c>
      <c r="R73" s="62">
        <f t="shared" si="55"/>
        <v>750.66925204511381</v>
      </c>
      <c r="S73" s="62">
        <f ca="1">AVERAGE(OFFSET($R$3,0,0,'Données projet'!$E$9+1,1))-AVERAGE(OFFSET($H$3,0,0,'Données projet'!$E$9+1,1))</f>
        <v>317.54276561627643</v>
      </c>
      <c r="T73" s="62">
        <f t="shared" si="88"/>
        <v>238.92443174298893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227</v>
      </c>
      <c r="AG73" s="13">
        <f>VLOOKUP(A73,'Données projet'!$A$61:$I$81,9,0)</f>
        <v>4.5999999999999996</v>
      </c>
      <c r="AH73" s="13">
        <f t="array" ref="AH73">INDEX(AG:AG,MIN(IF(ISNUMBER(AG73:AG269),ROW(AG73:AG269),"")))</f>
        <v>4.5999999999999996</v>
      </c>
      <c r="AI73" s="14">
        <f>IF('Données projet'!$A$62&gt;35,AI72+AH73-AQ72,IF(A73&lt;'Données projet'!$A$62,$AF$205^A73,IF(A73='Données projet'!$A$62,'Données projet'!$B$62,AI72+AH73-AQ72)))</f>
        <v>226.99999999999994</v>
      </c>
      <c r="AJ73" s="14">
        <f>AI73*VLOOKUP('Données projet'!$B$10,Paramètres!$A$1:$I$89,3,0)*VLOOKUP('Données projet'!$B$10,Paramètres!$A$1:$I$89,5,0)</f>
        <v>198.30719999999997</v>
      </c>
      <c r="AK73" s="14">
        <f t="shared" si="89"/>
        <v>49.371957679623371</v>
      </c>
      <c r="AL73" s="22">
        <f t="shared" si="58"/>
        <v>431.37453295867726</v>
      </c>
      <c r="AM73" s="62">
        <f t="shared" si="59"/>
        <v>724.70786629201052</v>
      </c>
      <c r="AN73" s="62">
        <f ca="1">AVERAGE(OFFSET($AM$3,0,0,'Données projet'!$E$10+1,1))-AVERAGE(OFFSET($H$3,0,0,'Données projet'!$E$10+1,1))</f>
        <v>327.826081588335</v>
      </c>
      <c r="AO73" s="62">
        <f t="shared" si="90"/>
        <v>348.84706693879735</v>
      </c>
      <c r="AP73" s="16">
        <f>IF(ISNA(VLOOKUP(A73,'Données projet'!$A$61:$I$81,3,0)),0,VLOOKUP(A73,'Données projet'!$A$61:$I$81,3,0))</f>
        <v>11</v>
      </c>
      <c r="AQ73" s="16">
        <f>IF(ISNA(VLOOKUP(A73,'Données projet'!$A$61:$I$81,4,0)),0,VLOOKUP(A73,'Données projet'!$A$61:$I$81,4,0))</f>
        <v>17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2.7832718422826526</v>
      </c>
      <c r="AV73" s="23">
        <f>EXP(-LN(2)/25)*AV72+(1-EXP(-LN(2)/25))/(LN(2)/25)*Calculateur!AQ73*Calculateur!AS73*VLOOKUP('Données projet'!$B$10,Paramètres!$A$1:$I$89,3,0)*0.475*44/12</f>
        <v>4.525744261694185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7.3090161039768375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302</v>
      </c>
      <c r="BB73" s="13">
        <f>VLOOKUP(A73,'Données projet'!$A$87:$I$107,9,0)</f>
        <v>8.1999999999999993</v>
      </c>
      <c r="BC73" s="13">
        <f t="array" ref="BC73">INDEX(BB:BB,MIN(IF(ISNUMBER(BB73:BB269),ROW(BB73:BB269),"")))</f>
        <v>8.1999999999999993</v>
      </c>
      <c r="BD73" s="13">
        <f>IF('Données projet'!$A$88&gt;35,BD72+BC73-BL72,IF(A73&lt;'Données projet'!$A$88,$BA$205^A73,IF(A73='Données projet'!$A$88,'Données projet'!$B$88,BD72+BC73-BL72)))</f>
        <v>301.99999999999994</v>
      </c>
      <c r="BE73" s="14">
        <f>BD73*VLOOKUP('Données projet'!$B$11,Paramètres!$A$1:$I$89,3,0)*VLOOKUP('Données projet'!$B$11,Paramètres!$A$1:$I$89,5,0)</f>
        <v>306.22800000000001</v>
      </c>
      <c r="BF73" s="14">
        <f t="shared" si="91"/>
        <v>72.480526049067294</v>
      </c>
      <c r="BG73" s="22">
        <f t="shared" si="61"/>
        <v>659.58401620212555</v>
      </c>
      <c r="BH73" s="62">
        <f t="shared" si="62"/>
        <v>952.91734953545892</v>
      </c>
      <c r="BI73" s="62">
        <f ca="1">AVERAGE(OFFSET($BH$3,0,0,'Données projet'!$E$11+1,1))-AVERAGE(OFFSET($H$3,0,0,'Données projet'!$E$11+1,1))</f>
        <v>487.04124684635974</v>
      </c>
      <c r="BJ73" s="62">
        <f t="shared" si="92"/>
        <v>306.61893266146666</v>
      </c>
      <c r="BK73" s="16">
        <f>IF(ISNA(VLOOKUP(A73,'Données projet'!$A$87:$I$107,3,0)),0,VLOOKUP(A73,'Données projet'!$A$87:$I$107,3,0))</f>
        <v>11</v>
      </c>
      <c r="BL73" s="16">
        <f>IF(ISNA(VLOOKUP(A73,'Données projet'!$A$87:$I$107,4,0)),0,VLOOKUP(A73,'Données projet'!$A$87:$I$107,4,0))</f>
        <v>28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1.2223829037052187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1.2223829037052187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>
        <f>VLOOKUP(A73,'Données projet'!$A$113:$I$133,2,0)</f>
        <v>302</v>
      </c>
      <c r="BW73" s="13">
        <f>VLOOKUP(A73,'Données projet'!$A$113:$I$133,9,0)</f>
        <v>8.1999999999999993</v>
      </c>
      <c r="BX73" s="13">
        <f t="array" ref="BX73">INDEX(BW:BW,MIN(IF(ISNUMBER(BW73:BW269),ROW(BW73:BW269),"")))</f>
        <v>8.1999999999999993</v>
      </c>
      <c r="BY73" s="13">
        <f>IF('Données projet'!$A$114&gt;35,BY72+BX73-CG72,IF(A73&lt;'Données projet'!$A$114,$BV$205^A73,IF(A73='Données projet'!$A$114,'Données projet'!$B$114,BY72+BX73-CG72)))</f>
        <v>301.99999999999994</v>
      </c>
      <c r="BZ73" s="14">
        <f>BY73*VLOOKUP('Données projet'!$B$12,Paramètres!$A$1:$I$89,3,0)*VLOOKUP('Données projet'!$B$12,Paramètres!$A$1:$I$89,5,0)</f>
        <v>273.24959999999999</v>
      </c>
      <c r="CA73" s="14">
        <f t="shared" si="93"/>
        <v>65.538435495514321</v>
      </c>
      <c r="CB73" s="22">
        <f t="shared" si="64"/>
        <v>590.05582848802067</v>
      </c>
      <c r="CC73" s="62">
        <f t="shared" si="65"/>
        <v>883.38916182135404</v>
      </c>
      <c r="CD73" s="62">
        <f ca="1">AVERAGE(OFFSET($CC$3,0,0,'Données projet'!$E$12+1,1))-AVERAGE(OFFSET($H$3,0,0,'Données projet'!$E$12+1,1))</f>
        <v>439.06700232017681</v>
      </c>
      <c r="CE73" s="62">
        <f t="shared" si="94"/>
        <v>278.21741231699929</v>
      </c>
      <c r="CF73" s="16">
        <f>IF(ISNA(VLOOKUP(A73,'Données projet'!$A$113:$I$133,3,0)),0,VLOOKUP(A73,'Données projet'!$A$113:$I$133,3,0))</f>
        <v>11</v>
      </c>
      <c r="CG73" s="16">
        <f>IF(ISNA(VLOOKUP(A73,'Données projet'!$A$113:$I$133,4,0)),0,VLOOKUP(A73,'Données projet'!$A$113:$I$133,4,0))</f>
        <v>28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1.0907416679215798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1.0907416679215798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>
        <f>VLOOKUP(A73,'Données projet'!$A$139:$I$159,2,0)</f>
        <v>315</v>
      </c>
      <c r="CR73" s="13">
        <f>VLOOKUP(A73,'Données projet'!$A$139:$I$159,9,0)</f>
        <v>4.4000000000000004</v>
      </c>
      <c r="CS73" s="13">
        <f t="array" ref="CS73">INDEX(CR:CR,MIN(IF(ISNUMBER(CR73:CR269),ROW(CR73:CR269),"")))</f>
        <v>4.4000000000000004</v>
      </c>
      <c r="CT73" s="13">
        <f>IF('Données projet'!$A$140&gt;35,CT72+CS73-DB72,IF(A73&lt;'Données projet'!$A$140,$CQ$205^A73,IF(A73='Données projet'!$A$140,'Données projet'!$B$140,CT72+CS73-DB72)))</f>
        <v>314.99999999999966</v>
      </c>
      <c r="CU73" s="18">
        <f>CT73*VLOOKUP('Données projet'!$B$13,Paramètres!$A$1:$I$89,3,0)*VLOOKUP('Données projet'!$B$13,Paramètres!$A$1:$I$89,5,0)</f>
        <v>230.95799999999977</v>
      </c>
      <c r="CV73" s="14">
        <f t="shared" si="95"/>
        <v>56.489773392384379</v>
      </c>
      <c r="CW73" s="22">
        <f t="shared" si="67"/>
        <v>500.63820532506901</v>
      </c>
      <c r="CX73" s="62">
        <f t="shared" si="68"/>
        <v>793.97153865840232</v>
      </c>
      <c r="CY73" s="62">
        <f ca="1">AVERAGE(OFFSET($CX$3,0,0,'Données projet'!$E$13+1,1))-AVERAGE(OFFSET($H$3,0,0,'Données projet'!$E$13+1,1))</f>
        <v>327.81662150328646</v>
      </c>
      <c r="CZ73" s="62">
        <f t="shared" si="96"/>
        <v>320.24200483294322</v>
      </c>
      <c r="DA73" s="16">
        <f>IF(ISNA(VLOOKUP(A73,'Données projet'!$A$139:$I$159,3,0)),0,VLOOKUP(A73,'Données projet'!$A$139:$I$159,3,0))</f>
        <v>13</v>
      </c>
      <c r="DB73" s="16">
        <f>IF(ISNA(VLOOKUP(A73,'Données projet'!$A$139:$I$159,4,0)),0,VLOOKUP(A73,'Données projet'!$A$139:$I$159,4,0))</f>
        <v>13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0.90634430732629867</v>
      </c>
      <c r="DG73" s="23">
        <f>EXP(-LN(2)/25)*DG72+(1-EXP(-LN(2)/25))/(LN(2)/25)*Calculateur!DB73*Calculateur!DD73*VLOOKUP('Données projet'!$B$13,Paramètres!$A$1:$I$89,3,0)*0.475*44/12</f>
        <v>0</v>
      </c>
      <c r="DH73" s="23">
        <f>EXP(-LN(2)/2)*DH72+(1-EXP(-LN(2)/2))/(LN(2)/2)*DB73*DE73*VLOOKUP('Données projet'!$B$13,Paramètres!$A$1:$I$89,3,0)*0.475*44/12</f>
        <v>0</v>
      </c>
      <c r="DI73" s="24">
        <f t="shared" si="69"/>
        <v>0.90634430732629867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>
        <f>VLOOKUP(A73,'Données projet'!$A$165:$I$185,2,0)</f>
        <v>188</v>
      </c>
      <c r="DM73" s="13">
        <f>VLOOKUP(A73,'Données projet'!$A$165:$I$185,9,0)</f>
        <v>4.5999999999999996</v>
      </c>
      <c r="DN73" s="13">
        <f t="array" ref="DN73">INDEX(DM:DM,MIN(IF(ISNUMBER(DM73:DM269),ROW(DM73:DM269),"")))</f>
        <v>4.5999999999999996</v>
      </c>
      <c r="DO73" s="13">
        <f>IF('Données projet'!$A$166&gt;35,DO72+DN73-DW72,IF(A73&lt;'Données projet'!$A$166,$DL$205^A73,IF(A73='Données projet'!$A$166,'Données projet'!$B$166,DO72+DN73-DW72)))</f>
        <v>188.00000000000009</v>
      </c>
      <c r="DP73" s="18">
        <f>DO73*VLOOKUP('Données projet'!$B$14,Paramètres!$A$1:$I$89,3,0)*VLOOKUP('Données projet'!$B$14,Paramètres!$A$1:$I$89,5,0)</f>
        <v>123.17760000000006</v>
      </c>
      <c r="DQ73" s="14">
        <f t="shared" si="97"/>
        <v>32.414991240570451</v>
      </c>
      <c r="DR73" s="22">
        <f t="shared" si="70"/>
        <v>270.99042974399362</v>
      </c>
      <c r="DS73" s="62">
        <f t="shared" si="71"/>
        <v>564.32376307732693</v>
      </c>
      <c r="DT73" s="62">
        <f ca="1">AVERAGE(OFFSET($DS$3,0,0,'Données projet'!$E$14+1,1))-AVERAGE(OFFSET($H$3,0,0,'Données projet'!$E$14+1,1))</f>
        <v>210.08998695869161</v>
      </c>
      <c r="DU73" s="62">
        <f t="shared" si="98"/>
        <v>207.30911916430881</v>
      </c>
      <c r="DV73" s="16">
        <f>IF(ISNA(VLOOKUP(A73,'Données projet'!$A$165:$I$185,3,0)),0,VLOOKUP(A73,'Données projet'!$A$165:$I$185,3,0))</f>
        <v>13</v>
      </c>
      <c r="DW73" s="16">
        <f>IF(ISNA(VLOOKUP(A73,'Données projet'!$A$165:$I$185,4,0)),0,VLOOKUP(A73,'Données projet'!$A$165:$I$185,4,0))</f>
        <v>17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>
        <f>EXP(-LN(2)/35)*EA72+(1-EXP(-LN(2)/35))/(LN(2)/35)*DW73*DX73*VLOOKUP('Données projet'!$B$14,Paramètres!$A$1:$I$89,3,0)*0.475*44/12</f>
        <v>0.20826635147072378</v>
      </c>
      <c r="EB73" s="23">
        <f>EXP(-LN(2)/25)*EB72+(1-EXP(-LN(2)/25))/(LN(2)/25)*Calculateur!DW73*Calculateur!DY73*VLOOKUP('Données projet'!$B$14,Paramètres!$A$1:$I$89,3,0)*0.475*44/12</f>
        <v>0</v>
      </c>
      <c r="EC73" s="23">
        <f>EXP(-LN(2)/2)*EC72+(1-EXP(-LN(2)/2))/(LN(2)/2)*DW73*DZ73*VLOOKUP('Données projet'!$B$14,Paramètres!$A$1:$I$89,3,0)*0.475*44/12</f>
        <v>0</v>
      </c>
      <c r="ED73" s="24">
        <f t="shared" si="72"/>
        <v>0.20826635147072378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5.6843418860808015E-14</v>
      </c>
      <c r="EK73" s="18">
        <f>EJ73*VLOOKUP('Données projet'!$B$15,Paramètres!$A$1:$I$89,3,0)*VLOOKUP('Données projet'!$B$15,Paramètres!$A$1:$I$89,5,0)</f>
        <v>4.4337866711430253E-14</v>
      </c>
      <c r="EL73" s="14">
        <f t="shared" si="99"/>
        <v>7.3222115536967035E-13</v>
      </c>
      <c r="EM73" s="22">
        <f t="shared" si="73"/>
        <v>1.3525069634579169E-12</v>
      </c>
      <c r="EN73" s="62">
        <f t="shared" si="74"/>
        <v>293.33333333333468</v>
      </c>
      <c r="EO73" s="62">
        <f ca="1">AVERAGE(OFFSET($EN$3,0,0,'Données projet'!$E$15+1,1))-AVERAGE(OFFSET($H$3,0,0,'Données projet'!$E$15+1,1))</f>
        <v>288.82868507674738</v>
      </c>
      <c r="EP73" s="62">
        <f t="shared" si="100"/>
        <v>283.48738729114024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>
        <f>EXP(-LN(2)/35)*EV72+(1-EXP(-LN(2)/35))/(LN(2)/35)*ER73*ES73*VLOOKUP('Données projet'!$B$15,Paramètres!$A$1:$I$89,3,0)*0.475*44/12</f>
        <v>0.82123105253546713</v>
      </c>
      <c r="EW73" s="23">
        <f>EXP(-LN(2)/25)*EW72+(1-EXP(-LN(2)/25))/(LN(2)/25)*Calculateur!ER73*Calculateur!ET73*VLOOKUP('Données projet'!$B$15,Paramètres!$A$1:$I$89,3,0)*0.475*44/12</f>
        <v>0</v>
      </c>
      <c r="EX73" s="23">
        <f>EXP(-LN(2)/2)*EX72+(1-EXP(-LN(2)/2))/(LN(2)/2)*ER73*EU73*VLOOKUP('Données projet'!$B$15,Paramètres!$A$1:$I$89,3,0)*0.475*44/12</f>
        <v>0</v>
      </c>
      <c r="EY73" s="24">
        <f t="shared" si="75"/>
        <v>0.82123105253546713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>
        <f>VLOOKUP(A74,'Données projet'!$A$35:$I$55,2,0)</f>
        <v>466</v>
      </c>
      <c r="L74" s="13">
        <f>VLOOKUP(A74,'Données projet'!$A$35:$I$55,9,0)</f>
        <v>16.142857142857142</v>
      </c>
      <c r="M74" s="13">
        <f t="array" ref="M74">INDEX(L:L,MIN(IF(ISNUMBER(L74:L270),ROW(L74:L270),"")))</f>
        <v>16.142857142857142</v>
      </c>
      <c r="N74" s="14">
        <f>IF('Données projet'!$A$36&gt;35,N73+M74-V73,IF(A74&lt;'Données projet'!$A$36,$K$205^A74,IF(A74='Données projet'!$A$36,'Données projet'!$B$36,N73+M74-V73)))</f>
        <v>466.00000000000017</v>
      </c>
      <c r="O74" s="14">
        <f>N74*VLOOKUP('Données projet'!$B$9,Paramètres!$A$1:$I$89,3,0)*VLOOKUP('Données projet'!$B$9,Paramètres!$A$1:$I$89,5,0)</f>
        <v>218.08800000000008</v>
      </c>
      <c r="P74" s="14">
        <f t="shared" si="87"/>
        <v>53.699111087780629</v>
      </c>
      <c r="Q74" s="22">
        <f t="shared" si="54"/>
        <v>473.36255181121805</v>
      </c>
      <c r="R74" s="62">
        <f t="shared" si="55"/>
        <v>766.69588514455131</v>
      </c>
      <c r="S74" s="62">
        <f ca="1">AVERAGE(OFFSET($R$3,0,0,'Données projet'!$E$9+1,1))-AVERAGE(OFFSET($H$3,0,0,'Données projet'!$E$9+1,1))</f>
        <v>317.54276561627643</v>
      </c>
      <c r="T74" s="62">
        <f t="shared" si="88"/>
        <v>238.92443174298893</v>
      </c>
      <c r="U74" s="16">
        <f>IF(ISNA(VLOOKUP(A74,'Données projet'!$A$35:$I$55,3,0)),0,VLOOKUP(A74,'Données projet'!$A$35:$I$55,3,0))</f>
        <v>11</v>
      </c>
      <c r="V74" s="16">
        <f>IF(ISNA(VLOOKUP(A74,'Données projet'!$A$35:$I$55,4,0)),0,VLOOKUP(A74,'Données projet'!$A$35:$I$55,4,0))</f>
        <v>91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4</v>
      </c>
      <c r="AI74" s="14">
        <f>IF('Données projet'!$A$62&gt;35,AI73+AH74-AQ73,IF(A74&lt;'Données projet'!$A$62,$AF$205^A74,IF(A74='Données projet'!$A$62,'Données projet'!$B$62,AI73+AH74-AQ73)))</f>
        <v>213.99999999999994</v>
      </c>
      <c r="AJ74" s="14">
        <f>AI74*VLOOKUP('Données projet'!$B$10,Paramètres!$A$1:$I$89,3,0)*VLOOKUP('Données projet'!$B$10,Paramètres!$A$1:$I$89,5,0)</f>
        <v>186.95039999999997</v>
      </c>
      <c r="AK74" s="14">
        <f t="shared" si="89"/>
        <v>46.865095976617653</v>
      </c>
      <c r="AL74" s="22">
        <f t="shared" si="58"/>
        <v>407.22865549260905</v>
      </c>
      <c r="AM74" s="62">
        <f t="shared" si="59"/>
        <v>700.56198882594231</v>
      </c>
      <c r="AN74" s="62">
        <f ca="1">AVERAGE(OFFSET($AM$3,0,0,'Données projet'!$E$10+1,1))-AVERAGE(OFFSET($H$3,0,0,'Données projet'!$E$10+1,1))</f>
        <v>327.826081588335</v>
      </c>
      <c r="AO74" s="62">
        <f t="shared" si="90"/>
        <v>348.84706693879735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2.7286935790836866</v>
      </c>
      <c r="AV74" s="23">
        <f>EXP(-LN(2)/25)*AV73+(1-EXP(-LN(2)/25))/(LN(2)/25)*Calculateur!AQ74*Calculateur!AS74*VLOOKUP('Données projet'!$B$10,Paramètres!$A$1:$I$89,3,0)*0.475*44/12</f>
        <v>4.4019875468596101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7.1306811259432967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7.6</v>
      </c>
      <c r="BD74" s="13">
        <f>IF('Données projet'!$A$88&gt;35,BD73+BC74-BL73,IF(A74&lt;'Données projet'!$A$88,$BA$205^A74,IF(A74='Données projet'!$A$88,'Données projet'!$B$88,BD73+BC74-BL73)))</f>
        <v>281.59999999999997</v>
      </c>
      <c r="BE74" s="14">
        <f>BD74*VLOOKUP('Données projet'!$B$11,Paramètres!$A$1:$I$89,3,0)*VLOOKUP('Données projet'!$B$11,Paramètres!$A$1:$I$89,5,0)</f>
        <v>285.54239999999999</v>
      </c>
      <c r="BF74" s="14">
        <f t="shared" si="91"/>
        <v>68.136937829389524</v>
      </c>
      <c r="BG74" s="22">
        <f t="shared" si="61"/>
        <v>615.99151338618674</v>
      </c>
      <c r="BH74" s="62">
        <f t="shared" si="62"/>
        <v>909.32484671952011</v>
      </c>
      <c r="BI74" s="62">
        <f ca="1">AVERAGE(OFFSET($BH$3,0,0,'Données projet'!$E$11+1,1))-AVERAGE(OFFSET($H$3,0,0,'Données projet'!$E$11+1,1))</f>
        <v>487.04124684635974</v>
      </c>
      <c r="BJ74" s="62">
        <f t="shared" si="92"/>
        <v>306.61893266146666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1.1984127205435107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1.1984127205435107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7.6</v>
      </c>
      <c r="BY74" s="13">
        <f>IF('Données projet'!$A$114&gt;35,BY73+BX74-CG73,IF(A74&lt;'Données projet'!$A$114,$BV$205^A74,IF(A74='Données projet'!$A$114,'Données projet'!$B$114,BY73+BX74-CG73)))</f>
        <v>281.59999999999997</v>
      </c>
      <c r="BZ74" s="14">
        <f>BY74*VLOOKUP('Données projet'!$B$12,Paramètres!$A$1:$I$89,3,0)*VLOOKUP('Données projet'!$B$12,Paramètres!$A$1:$I$89,5,0)</f>
        <v>254.79167999999996</v>
      </c>
      <c r="CA74" s="14">
        <f t="shared" si="93"/>
        <v>61.610870508448471</v>
      </c>
      <c r="CB74" s="22">
        <f t="shared" si="64"/>
        <v>551.067775468881</v>
      </c>
      <c r="CC74" s="62">
        <f t="shared" si="65"/>
        <v>844.40110880221437</v>
      </c>
      <c r="CD74" s="62">
        <f ca="1">AVERAGE(OFFSET($CC$3,0,0,'Données projet'!$E$12+1,1))-AVERAGE(OFFSET($H$3,0,0,'Données projet'!$E$12+1,1))</f>
        <v>439.06700232017681</v>
      </c>
      <c r="CE74" s="62">
        <f t="shared" si="94"/>
        <v>278.21741231699929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1.0693528891003634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1.0693528891003634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4.2</v>
      </c>
      <c r="CT74" s="13">
        <f>IF('Données projet'!$A$140&gt;35,CT73+CS74-DB73,IF(A74&lt;'Données projet'!$A$140,$CQ$205^A74,IF(A74='Données projet'!$A$140,'Données projet'!$B$140,CT73+CS74-DB73)))</f>
        <v>306.19999999999965</v>
      </c>
      <c r="CU74" s="18">
        <f>CT74*VLOOKUP('Données projet'!$B$13,Paramètres!$A$1:$I$89,3,0)*VLOOKUP('Données projet'!$B$13,Paramètres!$A$1:$I$89,5,0)</f>
        <v>224.50583999999972</v>
      </c>
      <c r="CV74" s="14">
        <f t="shared" si="95"/>
        <v>55.093049232713739</v>
      </c>
      <c r="CW74" s="22">
        <f t="shared" si="67"/>
        <v>486.96806541364259</v>
      </c>
      <c r="CX74" s="62">
        <f t="shared" si="68"/>
        <v>780.30139874697591</v>
      </c>
      <c r="CY74" s="62">
        <f ca="1">AVERAGE(OFFSET($CX$3,0,0,'Données projet'!$E$13+1,1))-AVERAGE(OFFSET($H$3,0,0,'Données projet'!$E$13+1,1))</f>
        <v>327.81662150328646</v>
      </c>
      <c r="CZ74" s="62">
        <f t="shared" si="96"/>
        <v>320.24200483294322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0.8885714482750714</v>
      </c>
      <c r="DG74" s="23">
        <f>EXP(-LN(2)/25)*DG73+(1-EXP(-LN(2)/25))/(LN(2)/25)*Calculateur!DB74*Calculateur!DD74*VLOOKUP('Données projet'!$B$13,Paramètres!$A$1:$I$89,3,0)*0.475*44/12</f>
        <v>0</v>
      </c>
      <c r="DH74" s="23">
        <f>EXP(-LN(2)/2)*DH73+(1-EXP(-LN(2)/2))/(LN(2)/2)*DB74*DE74*VLOOKUP('Données projet'!$B$13,Paramètres!$A$1:$I$89,3,0)*0.475*44/12</f>
        <v>0</v>
      </c>
      <c r="DI74" s="24">
        <f t="shared" si="69"/>
        <v>0.8885714482750714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4.2</v>
      </c>
      <c r="DO74" s="13">
        <f>IF('Données projet'!$A$166&gt;35,DO73+DN74-DW73,IF(A74&lt;'Données projet'!$A$166,$DL$205^A74,IF(A74='Données projet'!$A$166,'Données projet'!$B$166,DO73+DN74-DW73)))</f>
        <v>175.20000000000007</v>
      </c>
      <c r="DP74" s="18">
        <f>DO74*VLOOKUP('Données projet'!$B$14,Paramètres!$A$1:$I$89,3,0)*VLOOKUP('Données projet'!$B$14,Paramètres!$A$1:$I$89,5,0)</f>
        <v>114.79104000000005</v>
      </c>
      <c r="DQ74" s="14">
        <f t="shared" si="97"/>
        <v>30.456974896543485</v>
      </c>
      <c r="DR74" s="22">
        <f t="shared" si="70"/>
        <v>252.97362594481334</v>
      </c>
      <c r="DS74" s="62">
        <f t="shared" si="71"/>
        <v>546.30695927814668</v>
      </c>
      <c r="DT74" s="62">
        <f ca="1">AVERAGE(OFFSET($DS$3,0,0,'Données projet'!$E$14+1,1))-AVERAGE(OFFSET($H$3,0,0,'Données projet'!$E$14+1,1))</f>
        <v>210.08998695869161</v>
      </c>
      <c r="DU74" s="62">
        <f t="shared" si="98"/>
        <v>207.30911916430881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>
        <f>EXP(-LN(2)/35)*EA73+(1-EXP(-LN(2)/35))/(LN(2)/35)*DW74*DX74*VLOOKUP('Données projet'!$B$14,Paramètres!$A$1:$I$89,3,0)*0.475*44/12</f>
        <v>0.20418237534831413</v>
      </c>
      <c r="EB74" s="23">
        <f>EXP(-LN(2)/25)*EB73+(1-EXP(-LN(2)/25))/(LN(2)/25)*Calculateur!DW74*Calculateur!DY74*VLOOKUP('Données projet'!$B$14,Paramètres!$A$1:$I$89,3,0)*0.475*44/12</f>
        <v>0</v>
      </c>
      <c r="EC74" s="23">
        <f>EXP(-LN(2)/2)*EC73+(1-EXP(-LN(2)/2))/(LN(2)/2)*DW74*DZ74*VLOOKUP('Données projet'!$B$14,Paramètres!$A$1:$I$89,3,0)*0.475*44/12</f>
        <v>0</v>
      </c>
      <c r="ED74" s="24">
        <f t="shared" si="72"/>
        <v>0.20418237534831413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5.6843418860808015E-14</v>
      </c>
      <c r="EK74" s="18">
        <f>EJ74*VLOOKUP('Données projet'!$B$15,Paramètres!$A$1:$I$89,3,0)*VLOOKUP('Données projet'!$B$15,Paramètres!$A$1:$I$89,5,0)</f>
        <v>4.4337866711430253E-14</v>
      </c>
      <c r="EL74" s="14">
        <f t="shared" si="99"/>
        <v>7.3222115536967035E-13</v>
      </c>
      <c r="EM74" s="22">
        <f t="shared" si="73"/>
        <v>1.3525069634579169E-12</v>
      </c>
      <c r="EN74" s="62">
        <f t="shared" si="74"/>
        <v>293.33333333333468</v>
      </c>
      <c r="EO74" s="62">
        <f ca="1">AVERAGE(OFFSET($EN$3,0,0,'Données projet'!$E$15+1,1))-AVERAGE(OFFSET($H$3,0,0,'Données projet'!$E$15+1,1))</f>
        <v>288.82868507674738</v>
      </c>
      <c r="EP74" s="62">
        <f t="shared" si="100"/>
        <v>283.48738729114024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>
        <f>EXP(-LN(2)/35)*EV73+(1-EXP(-LN(2)/35))/(LN(2)/35)*ER74*ES74*VLOOKUP('Données projet'!$B$15,Paramètres!$A$1:$I$89,3,0)*0.475*44/12</f>
        <v>0.80512721249672881</v>
      </c>
      <c r="EW74" s="23">
        <f>EXP(-LN(2)/25)*EW73+(1-EXP(-LN(2)/25))/(LN(2)/25)*Calculateur!ER74*Calculateur!ET74*VLOOKUP('Données projet'!$B$15,Paramètres!$A$1:$I$89,3,0)*0.475*44/12</f>
        <v>0</v>
      </c>
      <c r="EX74" s="23">
        <f>EXP(-LN(2)/2)*EX73+(1-EXP(-LN(2)/2))/(LN(2)/2)*ER74*EU74*VLOOKUP('Données projet'!$B$15,Paramètres!$A$1:$I$89,3,0)*0.475*44/12</f>
        <v>0</v>
      </c>
      <c r="EY74" s="24">
        <f t="shared" si="75"/>
        <v>0.80512721249672881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>
        <f>VLOOKUP(A75,'Données projet'!$A$35:$I$55,2,0)</f>
        <v>390</v>
      </c>
      <c r="L75" s="13">
        <f>VLOOKUP(A75,'Données projet'!$A$35:$I$55,9,0)</f>
        <v>15</v>
      </c>
      <c r="M75" s="13">
        <f t="array" ref="M75">INDEX(L:L,MIN(IF(ISNUMBER(L75:L271),ROW(L75:L271),"")))</f>
        <v>15</v>
      </c>
      <c r="N75" s="14">
        <f>IF('Données projet'!$A$36&gt;35,N74+M75-V74,IF(A75&lt;'Données projet'!$A$36,$K$205^A75,IF(A75='Données projet'!$A$36,'Données projet'!$B$36,N74+M75-V74)))</f>
        <v>390.00000000000017</v>
      </c>
      <c r="O75" s="14">
        <f>N75*VLOOKUP('Données projet'!$B$9,Paramètres!$A$1:$I$89,3,0)*VLOOKUP('Données projet'!$B$9,Paramètres!$A$1:$I$89,5,0)</f>
        <v>182.5200000000001</v>
      </c>
      <c r="P75" s="14">
        <f t="shared" si="87"/>
        <v>45.882385280285632</v>
      </c>
      <c r="Q75" s="22">
        <f t="shared" si="54"/>
        <v>397.80082102983096</v>
      </c>
      <c r="R75" s="62">
        <f t="shared" si="55"/>
        <v>691.13415436316427</v>
      </c>
      <c r="S75" s="62">
        <f ca="1">AVERAGE(OFFSET($R$3,0,0,'Données projet'!$E$9+1,1))-AVERAGE(OFFSET($H$3,0,0,'Données projet'!$E$9+1,1))</f>
        <v>317.54276561627643</v>
      </c>
      <c r="T75" s="62">
        <f t="shared" si="88"/>
        <v>238.92443174298893</v>
      </c>
      <c r="U75" s="16">
        <f>IF(ISNA(VLOOKUP(A75,'Données projet'!$A$35:$I$55,3,0)),0,VLOOKUP(A75,'Données projet'!$A$35:$I$55,3,0))</f>
        <v>12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4</v>
      </c>
      <c r="AI75" s="14">
        <f>IF('Données projet'!$A$62&gt;35,AI74+AH75-AQ74,IF(A75&lt;'Données projet'!$A$62,$AF$205^A75,IF(A75='Données projet'!$A$62,'Données projet'!$B$62,AI74+AH75-AQ74)))</f>
        <v>217.99999999999994</v>
      </c>
      <c r="AJ75" s="14">
        <f>AI75*VLOOKUP('Données projet'!$B$10,Paramètres!$A$1:$I$89,3,0)*VLOOKUP('Données projet'!$B$10,Paramètres!$A$1:$I$89,5,0)</f>
        <v>190.44479999999999</v>
      </c>
      <c r="AK75" s="14">
        <f t="shared" si="89"/>
        <v>47.638278428909231</v>
      </c>
      <c r="AL75" s="22">
        <f t="shared" si="58"/>
        <v>414.66136159701688</v>
      </c>
      <c r="AM75" s="62">
        <f t="shared" si="59"/>
        <v>707.99469493035019</v>
      </c>
      <c r="AN75" s="62">
        <f ca="1">AVERAGE(OFFSET($AM$3,0,0,'Données projet'!$E$10+1,1))-AVERAGE(OFFSET($H$3,0,0,'Données projet'!$E$10+1,1))</f>
        <v>327.826081588335</v>
      </c>
      <c r="AO75" s="62">
        <f t="shared" si="90"/>
        <v>348.84706693879735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2.675185562336599</v>
      </c>
      <c r="AV75" s="23">
        <f>EXP(-LN(2)/25)*AV74+(1-EXP(-LN(2)/25))/(LN(2)/25)*Calculateur!AQ75*Calculateur!AS75*VLOOKUP('Données projet'!$B$10,Paramètres!$A$1:$I$89,3,0)*0.475*44/12</f>
        <v>4.2816149659002702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6.9568005282368688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7.6</v>
      </c>
      <c r="BD75" s="13">
        <f>IF('Données projet'!$A$88&gt;35,BD74+BC75-BL74,IF(A75&lt;'Données projet'!$A$88,$BA$205^A75,IF(A75='Données projet'!$A$88,'Données projet'!$B$88,BD74+BC75-BL74)))</f>
        <v>289.2</v>
      </c>
      <c r="BE75" s="14">
        <f>BD75*VLOOKUP('Données projet'!$B$11,Paramètres!$A$1:$I$89,3,0)*VLOOKUP('Données projet'!$B$11,Paramètres!$A$1:$I$89,5,0)</f>
        <v>293.24880000000002</v>
      </c>
      <c r="BF75" s="14">
        <f t="shared" si="91"/>
        <v>69.759283249126327</v>
      </c>
      <c r="BG75" s="22">
        <f t="shared" si="61"/>
        <v>632.23907832556176</v>
      </c>
      <c r="BH75" s="62">
        <f t="shared" si="62"/>
        <v>925.57241165889513</v>
      </c>
      <c r="BI75" s="62">
        <f ca="1">AVERAGE(OFFSET($BH$3,0,0,'Données projet'!$E$11+1,1))-AVERAGE(OFFSET($H$3,0,0,'Données projet'!$E$11+1,1))</f>
        <v>487.04124684635974</v>
      </c>
      <c r="BJ75" s="62">
        <f t="shared" si="92"/>
        <v>306.61893266146666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1.1749125780532357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1.1749125780532357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7.6</v>
      </c>
      <c r="BY75" s="13">
        <f>IF('Données projet'!$A$114&gt;35,BY74+BX75-CG74,IF(A75&lt;'Données projet'!$A$114,$BV$205^A75,IF(A75='Données projet'!$A$114,'Données projet'!$B$114,BY74+BX75-CG74)))</f>
        <v>289.2</v>
      </c>
      <c r="BZ75" s="14">
        <f>BY75*VLOOKUP('Données projet'!$B$12,Paramètres!$A$1:$I$89,3,0)*VLOOKUP('Données projet'!$B$12,Paramètres!$A$1:$I$89,5,0)</f>
        <v>261.66816</v>
      </c>
      <c r="CA75" s="14">
        <f t="shared" si="93"/>
        <v>63.077829793082856</v>
      </c>
      <c r="CB75" s="22">
        <f t="shared" si="64"/>
        <v>565.5992655562859</v>
      </c>
      <c r="CC75" s="62">
        <f t="shared" si="65"/>
        <v>858.93259888961916</v>
      </c>
      <c r="CD75" s="62">
        <f ca="1">AVERAGE(OFFSET($CC$3,0,0,'Données projet'!$E$12+1,1))-AVERAGE(OFFSET($H$3,0,0,'Données projet'!$E$12+1,1))</f>
        <v>439.06700232017681</v>
      </c>
      <c r="CE75" s="62">
        <f t="shared" si="94"/>
        <v>278.21741231699929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1.0483835311859642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1.0483835311859642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4.2</v>
      </c>
      <c r="CT75" s="13">
        <f>IF('Données projet'!$A$140&gt;35,CT74+CS75-DB74,IF(A75&lt;'Données projet'!$A$140,$CQ$205^A75,IF(A75='Données projet'!$A$140,'Données projet'!$B$140,CT74+CS75-DB74)))</f>
        <v>310.39999999999964</v>
      </c>
      <c r="CU75" s="18">
        <f>CT75*VLOOKUP('Données projet'!$B$13,Paramètres!$A$1:$I$89,3,0)*VLOOKUP('Données projet'!$B$13,Paramètres!$A$1:$I$89,5,0)</f>
        <v>227.58527999999976</v>
      </c>
      <c r="CV75" s="14">
        <f t="shared" si="95"/>
        <v>55.760242327696616</v>
      </c>
      <c r="CW75" s="22">
        <f t="shared" si="67"/>
        <v>493.49345138740449</v>
      </c>
      <c r="CX75" s="62">
        <f t="shared" si="68"/>
        <v>786.82678472073781</v>
      </c>
      <c r="CY75" s="62">
        <f ca="1">AVERAGE(OFFSET($CX$3,0,0,'Données projet'!$E$13+1,1))-AVERAGE(OFFSET($H$3,0,0,'Données projet'!$E$13+1,1))</f>
        <v>327.81662150328646</v>
      </c>
      <c r="CZ75" s="62">
        <f t="shared" si="96"/>
        <v>320.24200483294322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0.87114710414946506</v>
      </c>
      <c r="DG75" s="23">
        <f>EXP(-LN(2)/25)*DG74+(1-EXP(-LN(2)/25))/(LN(2)/25)*Calculateur!DB75*Calculateur!DD75*VLOOKUP('Données projet'!$B$13,Paramètres!$A$1:$I$89,3,0)*0.475*44/12</f>
        <v>0</v>
      </c>
      <c r="DH75" s="23">
        <f>EXP(-LN(2)/2)*DH74+(1-EXP(-LN(2)/2))/(LN(2)/2)*DB75*DE75*VLOOKUP('Données projet'!$B$13,Paramètres!$A$1:$I$89,3,0)*0.475*44/12</f>
        <v>0</v>
      </c>
      <c r="DI75" s="24">
        <f t="shared" si="69"/>
        <v>0.87114710414946506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4.2</v>
      </c>
      <c r="DO75" s="13">
        <f>IF('Données projet'!$A$166&gt;35,DO74+DN75-DW74,IF(A75&lt;'Données projet'!$A$166,$DL$205^A75,IF(A75='Données projet'!$A$166,'Données projet'!$B$166,DO74+DN75-DW74)))</f>
        <v>179.40000000000006</v>
      </c>
      <c r="DP75" s="18">
        <f>DO75*VLOOKUP('Données projet'!$B$14,Paramètres!$A$1:$I$89,3,0)*VLOOKUP('Données projet'!$B$14,Paramètres!$A$1:$I$89,5,0)</f>
        <v>117.54288000000005</v>
      </c>
      <c r="DQ75" s="14">
        <f t="shared" si="97"/>
        <v>31.101228198889224</v>
      </c>
      <c r="DR75" s="22">
        <f t="shared" si="70"/>
        <v>258.88848844639887</v>
      </c>
      <c r="DS75" s="62">
        <f t="shared" si="71"/>
        <v>552.22182177973218</v>
      </c>
      <c r="DT75" s="62">
        <f ca="1">AVERAGE(OFFSET($DS$3,0,0,'Données projet'!$E$14+1,1))-AVERAGE(OFFSET($H$3,0,0,'Données projet'!$E$14+1,1))</f>
        <v>210.08998695869161</v>
      </c>
      <c r="DU75" s="62">
        <f t="shared" si="98"/>
        <v>207.30911916430881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>
        <f>EXP(-LN(2)/35)*EA74+(1-EXP(-LN(2)/35))/(LN(2)/35)*DW75*DX75*VLOOKUP('Données projet'!$B$14,Paramètres!$A$1:$I$89,3,0)*0.475*44/12</f>
        <v>0.20017848350668546</v>
      </c>
      <c r="EB75" s="23">
        <f>EXP(-LN(2)/25)*EB74+(1-EXP(-LN(2)/25))/(LN(2)/25)*Calculateur!DW75*Calculateur!DY75*VLOOKUP('Données projet'!$B$14,Paramètres!$A$1:$I$89,3,0)*0.475*44/12</f>
        <v>0</v>
      </c>
      <c r="EC75" s="23">
        <f>EXP(-LN(2)/2)*EC74+(1-EXP(-LN(2)/2))/(LN(2)/2)*DW75*DZ75*VLOOKUP('Données projet'!$B$14,Paramètres!$A$1:$I$89,3,0)*0.475*44/12</f>
        <v>0</v>
      </c>
      <c r="ED75" s="24">
        <f t="shared" si="72"/>
        <v>0.20017848350668546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5.6843418860808015E-14</v>
      </c>
      <c r="EK75" s="18">
        <f>EJ75*VLOOKUP('Données projet'!$B$15,Paramètres!$A$1:$I$89,3,0)*VLOOKUP('Données projet'!$B$15,Paramètres!$A$1:$I$89,5,0)</f>
        <v>4.4337866711430253E-14</v>
      </c>
      <c r="EL75" s="14">
        <f t="shared" si="99"/>
        <v>7.3222115536967035E-13</v>
      </c>
      <c r="EM75" s="22">
        <f t="shared" si="73"/>
        <v>1.3525069634579169E-12</v>
      </c>
      <c r="EN75" s="62">
        <f t="shared" si="74"/>
        <v>293.33333333333468</v>
      </c>
      <c r="EO75" s="62">
        <f ca="1">AVERAGE(OFFSET($EN$3,0,0,'Données projet'!$E$15+1,1))-AVERAGE(OFFSET($H$3,0,0,'Données projet'!$E$15+1,1))</f>
        <v>288.82868507674738</v>
      </c>
      <c r="EP75" s="62">
        <f t="shared" si="100"/>
        <v>283.48738729114024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>
        <f>EXP(-LN(2)/35)*EV74+(1-EXP(-LN(2)/35))/(LN(2)/35)*ER75*ES75*VLOOKUP('Données projet'!$B$15,Paramètres!$A$1:$I$89,3,0)*0.475*44/12</f>
        <v>0.7893391589387776</v>
      </c>
      <c r="EW75" s="23">
        <f>EXP(-LN(2)/25)*EW74+(1-EXP(-LN(2)/25))/(LN(2)/25)*Calculateur!ER75*Calculateur!ET75*VLOOKUP('Données projet'!$B$15,Paramètres!$A$1:$I$89,3,0)*0.475*44/12</f>
        <v>0</v>
      </c>
      <c r="EX75" s="23">
        <f>EXP(-LN(2)/2)*EX74+(1-EXP(-LN(2)/2))/(LN(2)/2)*ER75*EU75*VLOOKUP('Données projet'!$B$15,Paramètres!$A$1:$I$89,3,0)*0.475*44/12</f>
        <v>0</v>
      </c>
      <c r="EY75" s="24">
        <f t="shared" si="75"/>
        <v>0.7893391589387776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15.142857142857142</v>
      </c>
      <c r="N76" s="14">
        <f>IF('Données projet'!$A$36&gt;35,N75+M76-V75,IF(A76&lt;'Données projet'!$A$36,$K$205^A76,IF(A76='Données projet'!$A$36,'Données projet'!$B$36,N75+M76-V75)))</f>
        <v>405.14285714285734</v>
      </c>
      <c r="O76" s="14">
        <f>N76*VLOOKUP('Données projet'!$B$9,Paramètres!$A$1:$I$89,3,0)*VLOOKUP('Données projet'!$B$9,Paramètres!$A$1:$I$89,5,0)</f>
        <v>189.60685714285725</v>
      </c>
      <c r="P76" s="14">
        <f t="shared" si="87"/>
        <v>47.453024072159629</v>
      </c>
      <c r="Q76" s="22">
        <f t="shared" si="54"/>
        <v>412.87929311615432</v>
      </c>
      <c r="R76" s="62">
        <f t="shared" si="55"/>
        <v>706.21262644948763</v>
      </c>
      <c r="S76" s="62">
        <f ca="1">AVERAGE(OFFSET($R$3,0,0,'Données projet'!$E$9+1,1))-AVERAGE(OFFSET($H$3,0,0,'Données projet'!$E$9+1,1))</f>
        <v>317.54276561627643</v>
      </c>
      <c r="T76" s="62">
        <f t="shared" si="88"/>
        <v>238.92443174298893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4</v>
      </c>
      <c r="AI76" s="14">
        <f>IF('Données projet'!$A$62&gt;35,AI75+AH76-AQ75,IF(A76&lt;'Données projet'!$A$62,$AF$205^A76,IF(A76='Données projet'!$A$62,'Données projet'!$B$62,AI75+AH76-AQ75)))</f>
        <v>221.99999999999994</v>
      </c>
      <c r="AJ76" s="14">
        <f>AI76*VLOOKUP('Données projet'!$B$10,Paramètres!$A$1:$I$89,3,0)*VLOOKUP('Données projet'!$B$10,Paramètres!$A$1:$I$89,5,0)</f>
        <v>193.93919999999997</v>
      </c>
      <c r="AK76" s="14">
        <f t="shared" si="89"/>
        <v>48.409811198069342</v>
      </c>
      <c r="AL76" s="22">
        <f t="shared" si="58"/>
        <v>422.091194503304</v>
      </c>
      <c r="AM76" s="62">
        <f t="shared" si="59"/>
        <v>715.42452783663725</v>
      </c>
      <c r="AN76" s="62">
        <f ca="1">AVERAGE(OFFSET($AM$3,0,0,'Données projet'!$E$10+1,1))-AVERAGE(OFFSET($H$3,0,0,'Données projet'!$E$10+1,1))</f>
        <v>327.826081588335</v>
      </c>
      <c r="AO76" s="62">
        <f t="shared" si="90"/>
        <v>348.84706693879735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2.6227268051612542</v>
      </c>
      <c r="AV76" s="23">
        <f>EXP(-LN(2)/25)*AV75+(1-EXP(-LN(2)/25))/(LN(2)/25)*Calculateur!AQ76*Calculateur!AS76*VLOOKUP('Données projet'!$B$10,Paramètres!$A$1:$I$89,3,0)*0.475*44/12</f>
        <v>4.1645339794973824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6.7872607846586366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7.6</v>
      </c>
      <c r="BD76" s="13">
        <f>IF('Données projet'!$A$88&gt;35,BD75+BC76-BL75,IF(A76&lt;'Données projet'!$A$88,$BA$205^A76,IF(A76='Données projet'!$A$88,'Données projet'!$B$88,BD75+BC76-BL75)))</f>
        <v>296.8</v>
      </c>
      <c r="BE76" s="14">
        <f>BD76*VLOOKUP('Données projet'!$B$11,Paramètres!$A$1:$I$89,3,0)*VLOOKUP('Données projet'!$B$11,Paramètres!$A$1:$I$89,5,0)</f>
        <v>300.95520000000005</v>
      </c>
      <c r="BF76" s="14">
        <f t="shared" si="91"/>
        <v>71.376673021759785</v>
      </c>
      <c r="BG76" s="22">
        <f t="shared" si="61"/>
        <v>648.4780121795651</v>
      </c>
      <c r="BH76" s="62">
        <f t="shared" si="62"/>
        <v>941.81134551289847</v>
      </c>
      <c r="BI76" s="62">
        <f ca="1">AVERAGE(OFFSET($BH$3,0,0,'Données projet'!$E$11+1,1))-AVERAGE(OFFSET($H$3,0,0,'Données projet'!$E$11+1,1))</f>
        <v>487.04124684635974</v>
      </c>
      <c r="BJ76" s="62">
        <f t="shared" si="92"/>
        <v>306.61893266146666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1.1518732590235234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1.1518732590235234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7.6</v>
      </c>
      <c r="BY76" s="13">
        <f>IF('Données projet'!$A$114&gt;35,BY75+BX76-CG75,IF(A76&lt;'Données projet'!$A$114,$BV$205^A76,IF(A76='Données projet'!$A$114,'Données projet'!$B$114,BY75+BX76-CG75)))</f>
        <v>296.8</v>
      </c>
      <c r="BZ76" s="14">
        <f>BY76*VLOOKUP('Données projet'!$B$12,Paramètres!$A$1:$I$89,3,0)*VLOOKUP('Données projet'!$B$12,Paramètres!$A$1:$I$89,5,0)</f>
        <v>268.54464000000002</v>
      </c>
      <c r="CA76" s="14">
        <f t="shared" si="93"/>
        <v>64.54030807605065</v>
      </c>
      <c r="CB76" s="22">
        <f t="shared" si="64"/>
        <v>580.12295123245474</v>
      </c>
      <c r="CC76" s="62">
        <f t="shared" si="65"/>
        <v>873.45628456578811</v>
      </c>
      <c r="CD76" s="62">
        <f ca="1">AVERAGE(OFFSET($CC$3,0,0,'Données projet'!$E$12+1,1))-AVERAGE(OFFSET($H$3,0,0,'Données projet'!$E$12+1,1))</f>
        <v>439.06700232017681</v>
      </c>
      <c r="CE76" s="62">
        <f t="shared" si="94"/>
        <v>278.21741231699929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1.0278253695902209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1.0278253695902209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4.2</v>
      </c>
      <c r="CT76" s="13">
        <f>IF('Données projet'!$A$140&gt;35,CT75+CS76-DB75,IF(A76&lt;'Données projet'!$A$140,$CQ$205^A76,IF(A76='Données projet'!$A$140,'Données projet'!$B$140,CT75+CS76-DB75)))</f>
        <v>314.59999999999962</v>
      </c>
      <c r="CU76" s="18">
        <f>CT76*VLOOKUP('Données projet'!$B$13,Paramètres!$A$1:$I$89,3,0)*VLOOKUP('Données projet'!$B$13,Paramètres!$A$1:$I$89,5,0)</f>
        <v>230.66471999999973</v>
      </c>
      <c r="CV76" s="14">
        <f t="shared" si="95"/>
        <v>56.426385386767798</v>
      </c>
      <c r="CW76" s="22">
        <f t="shared" si="67"/>
        <v>500.01700854862014</v>
      </c>
      <c r="CX76" s="62">
        <f t="shared" si="68"/>
        <v>793.35034188195345</v>
      </c>
      <c r="CY76" s="62">
        <f ca="1">AVERAGE(OFFSET($CX$3,0,0,'Données projet'!$E$13+1,1))-AVERAGE(OFFSET($H$3,0,0,'Données projet'!$E$13+1,1))</f>
        <v>327.81662150328646</v>
      </c>
      <c r="CZ76" s="62">
        <f t="shared" si="96"/>
        <v>320.24200483294322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0.85406444078436139</v>
      </c>
      <c r="DG76" s="23">
        <f>EXP(-LN(2)/25)*DG75+(1-EXP(-LN(2)/25))/(LN(2)/25)*Calculateur!DB76*Calculateur!DD76*VLOOKUP('Données projet'!$B$13,Paramètres!$A$1:$I$89,3,0)*0.475*44/12</f>
        <v>0</v>
      </c>
      <c r="DH76" s="23">
        <f>EXP(-LN(2)/2)*DH75+(1-EXP(-LN(2)/2))/(LN(2)/2)*DB76*DE76*VLOOKUP('Données projet'!$B$13,Paramètres!$A$1:$I$89,3,0)*0.475*44/12</f>
        <v>0</v>
      </c>
      <c r="DI76" s="24">
        <f t="shared" si="69"/>
        <v>0.85406444078436139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4.2</v>
      </c>
      <c r="DO76" s="13">
        <f>IF('Données projet'!$A$166&gt;35,DO75+DN76-DW75,IF(A76&lt;'Données projet'!$A$166,$DL$205^A76,IF(A76='Données projet'!$A$166,'Données projet'!$B$166,DO75+DN76-DW75)))</f>
        <v>183.60000000000005</v>
      </c>
      <c r="DP76" s="18">
        <f>DO76*VLOOKUP('Données projet'!$B$14,Paramètres!$A$1:$I$89,3,0)*VLOOKUP('Données projet'!$B$14,Paramètres!$A$1:$I$89,5,0)</f>
        <v>120.29472000000004</v>
      </c>
      <c r="DQ76" s="14">
        <f t="shared" si="97"/>
        <v>31.743728077799126</v>
      </c>
      <c r="DR76" s="22">
        <f t="shared" si="70"/>
        <v>264.80029706883352</v>
      </c>
      <c r="DS76" s="62">
        <f t="shared" si="71"/>
        <v>558.13363040216677</v>
      </c>
      <c r="DT76" s="62">
        <f ca="1">AVERAGE(OFFSET($DS$3,0,0,'Données projet'!$E$14+1,1))-AVERAGE(OFFSET($H$3,0,0,'Données projet'!$E$14+1,1))</f>
        <v>210.08998695869161</v>
      </c>
      <c r="DU76" s="62">
        <f t="shared" si="98"/>
        <v>207.30911916430881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>
        <f>EXP(-LN(2)/35)*EA75+(1-EXP(-LN(2)/35))/(LN(2)/35)*DW76*DX76*VLOOKUP('Données projet'!$B$14,Paramètres!$A$1:$I$89,3,0)*0.475*44/12</f>
        <v>0.19625310554193823</v>
      </c>
      <c r="EB76" s="23">
        <f>EXP(-LN(2)/25)*EB75+(1-EXP(-LN(2)/25))/(LN(2)/25)*Calculateur!DW76*Calculateur!DY76*VLOOKUP('Données projet'!$B$14,Paramètres!$A$1:$I$89,3,0)*0.475*44/12</f>
        <v>0</v>
      </c>
      <c r="EC76" s="23">
        <f>EXP(-LN(2)/2)*EC75+(1-EXP(-LN(2)/2))/(LN(2)/2)*DW76*DZ76*VLOOKUP('Données projet'!$B$14,Paramètres!$A$1:$I$89,3,0)*0.475*44/12</f>
        <v>0</v>
      </c>
      <c r="ED76" s="24">
        <f t="shared" si="72"/>
        <v>0.19625310554193823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5.6843418860808015E-14</v>
      </c>
      <c r="EK76" s="18">
        <f>EJ76*VLOOKUP('Données projet'!$B$15,Paramètres!$A$1:$I$89,3,0)*VLOOKUP('Données projet'!$B$15,Paramètres!$A$1:$I$89,5,0)</f>
        <v>4.4337866711430253E-14</v>
      </c>
      <c r="EL76" s="14">
        <f t="shared" si="99"/>
        <v>7.3222115536967035E-13</v>
      </c>
      <c r="EM76" s="22">
        <f t="shared" si="73"/>
        <v>1.3525069634579169E-12</v>
      </c>
      <c r="EN76" s="62">
        <f t="shared" si="74"/>
        <v>293.33333333333468</v>
      </c>
      <c r="EO76" s="62">
        <f ca="1">AVERAGE(OFFSET($EN$3,0,0,'Données projet'!$E$15+1,1))-AVERAGE(OFFSET($H$3,0,0,'Données projet'!$E$15+1,1))</f>
        <v>288.82868507674738</v>
      </c>
      <c r="EP76" s="62">
        <f t="shared" si="100"/>
        <v>283.48738729114024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>
        <f>EXP(-LN(2)/35)*EV75+(1-EXP(-LN(2)/35))/(LN(2)/35)*ER76*ES76*VLOOKUP('Données projet'!$B$15,Paramètres!$A$1:$I$89,3,0)*0.475*44/12</f>
        <v>0.77386069948133596</v>
      </c>
      <c r="EW76" s="23">
        <f>EXP(-LN(2)/25)*EW75+(1-EXP(-LN(2)/25))/(LN(2)/25)*Calculateur!ER76*Calculateur!ET76*VLOOKUP('Données projet'!$B$15,Paramètres!$A$1:$I$89,3,0)*0.475*44/12</f>
        <v>0</v>
      </c>
      <c r="EX76" s="23">
        <f>EXP(-LN(2)/2)*EX75+(1-EXP(-LN(2)/2))/(LN(2)/2)*ER76*EU76*VLOOKUP('Données projet'!$B$15,Paramètres!$A$1:$I$89,3,0)*0.475*44/12</f>
        <v>0</v>
      </c>
      <c r="EY76" s="24">
        <f t="shared" si="75"/>
        <v>0.77386069948133596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15.142857142857142</v>
      </c>
      <c r="N77" s="14">
        <f>IF('Données projet'!$A$36&gt;35,N76+M77-V76,IF(A77&lt;'Données projet'!$A$36,$K$205^A77,IF(A77='Données projet'!$A$36,'Données projet'!$B$36,N76+M77-V76)))</f>
        <v>420.2857142857145</v>
      </c>
      <c r="O77" s="14">
        <f>N77*VLOOKUP('Données projet'!$B$9,Paramètres!$A$1:$I$89,3,0)*VLOOKUP('Données projet'!$B$9,Paramètres!$A$1:$I$89,5,0)</f>
        <v>196.69371428571441</v>
      </c>
      <c r="P77" s="14">
        <f t="shared" si="87"/>
        <v>49.016842754125221</v>
      </c>
      <c r="Q77" s="22">
        <f t="shared" si="54"/>
        <v>427.9458868443873</v>
      </c>
      <c r="R77" s="62">
        <f t="shared" si="55"/>
        <v>721.27922017772062</v>
      </c>
      <c r="S77" s="62">
        <f ca="1">AVERAGE(OFFSET($R$3,0,0,'Données projet'!$E$9+1,1))-AVERAGE(OFFSET($H$3,0,0,'Données projet'!$E$9+1,1))</f>
        <v>317.54276561627643</v>
      </c>
      <c r="T77" s="62">
        <f t="shared" si="88"/>
        <v>238.92443174298893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4</v>
      </c>
      <c r="AI77" s="14">
        <f>IF('Données projet'!$A$62&gt;35,AI76+AH77-AQ76,IF(A77&lt;'Données projet'!$A$62,$AF$205^A77,IF(A77='Données projet'!$A$62,'Données projet'!$B$62,AI76+AH77-AQ76)))</f>
        <v>225.99999999999994</v>
      </c>
      <c r="AJ77" s="14">
        <f>AI77*VLOOKUP('Données projet'!$B$10,Paramètres!$A$1:$I$89,3,0)*VLOOKUP('Données projet'!$B$10,Paramètres!$A$1:$I$89,5,0)</f>
        <v>197.43359999999996</v>
      </c>
      <c r="AK77" s="14">
        <f t="shared" si="89"/>
        <v>49.179727436837609</v>
      </c>
      <c r="AL77" s="22">
        <f t="shared" si="58"/>
        <v>429.51821195249204</v>
      </c>
      <c r="AM77" s="62">
        <f t="shared" si="59"/>
        <v>722.8515452858253</v>
      </c>
      <c r="AN77" s="62">
        <f ca="1">AVERAGE(OFFSET($AM$3,0,0,'Données projet'!$E$10+1,1))-AVERAGE(OFFSET($H$3,0,0,'Données projet'!$E$10+1,1))</f>
        <v>327.826081588335</v>
      </c>
      <c r="AO77" s="62">
        <f t="shared" si="90"/>
        <v>348.84706693879735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2.5712967322174354</v>
      </c>
      <c r="AV77" s="23">
        <f>EXP(-LN(2)/25)*AV76+(1-EXP(-LN(2)/25))/(LN(2)/25)*Calculateur!AQ77*Calculateur!AS77*VLOOKUP('Données projet'!$B$10,Paramètres!$A$1:$I$89,3,0)*0.475*44/12</f>
        <v>4.0506545788247026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6.621951311042138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7.6</v>
      </c>
      <c r="BD77" s="13">
        <f>IF('Données projet'!$A$88&gt;35,BD76+BC77-BL76,IF(A77&lt;'Données projet'!$A$88,$BA$205^A77,IF(A77='Données projet'!$A$88,'Données projet'!$B$88,BD76+BC77-BL76)))</f>
        <v>304.40000000000003</v>
      </c>
      <c r="BE77" s="14">
        <f>BD77*VLOOKUP('Données projet'!$B$11,Paramètres!$A$1:$I$89,3,0)*VLOOKUP('Données projet'!$B$11,Paramètres!$A$1:$I$89,5,0)</f>
        <v>308.66160000000008</v>
      </c>
      <c r="BF77" s="14">
        <f t="shared" si="91"/>
        <v>72.98924863505313</v>
      </c>
      <c r="BG77" s="22">
        <f t="shared" si="61"/>
        <v>664.70856137271755</v>
      </c>
      <c r="BH77" s="62">
        <f t="shared" si="62"/>
        <v>958.04189470605093</v>
      </c>
      <c r="BI77" s="62">
        <f ca="1">AVERAGE(OFFSET($BH$3,0,0,'Données projet'!$E$11+1,1))-AVERAGE(OFFSET($H$3,0,0,'Données projet'!$E$11+1,1))</f>
        <v>487.04124684635974</v>
      </c>
      <c r="BJ77" s="62">
        <f t="shared" si="92"/>
        <v>306.61893266146666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1.1292857269873868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1.1292857269873868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7.6</v>
      </c>
      <c r="BY77" s="13">
        <f>IF('Données projet'!$A$114&gt;35,BY76+BX77-CG76,IF(A77&lt;'Données projet'!$A$114,$BV$205^A77,IF(A77='Données projet'!$A$114,'Données projet'!$B$114,BY76+BX77-CG76)))</f>
        <v>304.40000000000003</v>
      </c>
      <c r="BZ77" s="14">
        <f>BY77*VLOOKUP('Données projet'!$B$12,Paramètres!$A$1:$I$89,3,0)*VLOOKUP('Données projet'!$B$12,Paramètres!$A$1:$I$89,5,0)</f>
        <v>275.42112000000003</v>
      </c>
      <c r="CA77" s="14">
        <f t="shared" si="93"/>
        <v>65.998433293601067</v>
      </c>
      <c r="CB77" s="22">
        <f t="shared" si="64"/>
        <v>594.63905531968851</v>
      </c>
      <c r="CC77" s="62">
        <f t="shared" si="65"/>
        <v>887.97238865302188</v>
      </c>
      <c r="CD77" s="62">
        <f ca="1">AVERAGE(OFFSET($CC$3,0,0,'Données projet'!$E$12+1,1))-AVERAGE(OFFSET($H$3,0,0,'Données projet'!$E$12+1,1))</f>
        <v>439.06700232017681</v>
      </c>
      <c r="CE77" s="62">
        <f t="shared" si="94"/>
        <v>278.21741231699929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1.0076703410041297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1.0076703410041297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4.2</v>
      </c>
      <c r="CT77" s="13">
        <f>IF('Données projet'!$A$140&gt;35,CT76+CS77-DB76,IF(A77&lt;'Données projet'!$A$140,$CQ$205^A77,IF(A77='Données projet'!$A$140,'Données projet'!$B$140,CT76+CS77-DB76)))</f>
        <v>318.79999999999961</v>
      </c>
      <c r="CU77" s="18">
        <f>CT77*VLOOKUP('Données projet'!$B$13,Paramètres!$A$1:$I$89,3,0)*VLOOKUP('Données projet'!$B$13,Paramètres!$A$1:$I$89,5,0)</f>
        <v>233.74415999999971</v>
      </c>
      <c r="CV77" s="14">
        <f t="shared" si="95"/>
        <v>57.091494048716037</v>
      </c>
      <c r="CW77" s="22">
        <f t="shared" si="67"/>
        <v>506.53876413484659</v>
      </c>
      <c r="CX77" s="62">
        <f t="shared" si="68"/>
        <v>799.87209746817985</v>
      </c>
      <c r="CY77" s="62">
        <f ca="1">AVERAGE(OFFSET($CX$3,0,0,'Données projet'!$E$13+1,1))-AVERAGE(OFFSET($H$3,0,0,'Données projet'!$E$13+1,1))</f>
        <v>327.81662150328646</v>
      </c>
      <c r="CZ77" s="62">
        <f t="shared" si="96"/>
        <v>320.24200483294322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0.83731675802845162</v>
      </c>
      <c r="DG77" s="23">
        <f>EXP(-LN(2)/25)*DG76+(1-EXP(-LN(2)/25))/(LN(2)/25)*Calculateur!DB77*Calculateur!DD77*VLOOKUP('Données projet'!$B$13,Paramètres!$A$1:$I$89,3,0)*0.475*44/12</f>
        <v>0</v>
      </c>
      <c r="DH77" s="23">
        <f>EXP(-LN(2)/2)*DH76+(1-EXP(-LN(2)/2))/(LN(2)/2)*DB77*DE77*VLOOKUP('Données projet'!$B$13,Paramètres!$A$1:$I$89,3,0)*0.475*44/12</f>
        <v>0</v>
      </c>
      <c r="DI77" s="24">
        <f t="shared" si="69"/>
        <v>0.83731675802845162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4.2</v>
      </c>
      <c r="DO77" s="13">
        <f>IF('Données projet'!$A$166&gt;35,DO76+DN77-DW76,IF(A77&lt;'Données projet'!$A$166,$DL$205^A77,IF(A77='Données projet'!$A$166,'Données projet'!$B$166,DO76+DN77-DW76)))</f>
        <v>187.80000000000004</v>
      </c>
      <c r="DP77" s="18">
        <f>DO77*VLOOKUP('Données projet'!$B$14,Paramètres!$A$1:$I$89,3,0)*VLOOKUP('Données projet'!$B$14,Paramètres!$A$1:$I$89,5,0)</f>
        <v>123.04656000000003</v>
      </c>
      <c r="DQ77" s="14">
        <f t="shared" si="97"/>
        <v>32.384519261504529</v>
      </c>
      <c r="DR77" s="22">
        <f t="shared" si="70"/>
        <v>270.70912971378709</v>
      </c>
      <c r="DS77" s="62">
        <f t="shared" si="71"/>
        <v>564.04246304712046</v>
      </c>
      <c r="DT77" s="62">
        <f ca="1">AVERAGE(OFFSET($DS$3,0,0,'Données projet'!$E$14+1,1))-AVERAGE(OFFSET($H$3,0,0,'Données projet'!$E$14+1,1))</f>
        <v>210.08998695869161</v>
      </c>
      <c r="DU77" s="62">
        <f t="shared" si="98"/>
        <v>207.30911916430881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>
        <f>EXP(-LN(2)/35)*EA76+(1-EXP(-LN(2)/35))/(LN(2)/35)*DW77*DX77*VLOOKUP('Données projet'!$B$14,Paramètres!$A$1:$I$89,3,0)*0.475*44/12</f>
        <v>0.19240470184483555</v>
      </c>
      <c r="EB77" s="23">
        <f>EXP(-LN(2)/25)*EB76+(1-EXP(-LN(2)/25))/(LN(2)/25)*Calculateur!DW77*Calculateur!DY77*VLOOKUP('Données projet'!$B$14,Paramètres!$A$1:$I$89,3,0)*0.475*44/12</f>
        <v>0</v>
      </c>
      <c r="EC77" s="23">
        <f>EXP(-LN(2)/2)*EC76+(1-EXP(-LN(2)/2))/(LN(2)/2)*DW77*DZ77*VLOOKUP('Données projet'!$B$14,Paramètres!$A$1:$I$89,3,0)*0.475*44/12</f>
        <v>0</v>
      </c>
      <c r="ED77" s="24">
        <f t="shared" si="72"/>
        <v>0.19240470184483555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5.6843418860808015E-14</v>
      </c>
      <c r="EK77" s="18">
        <f>EJ77*VLOOKUP('Données projet'!$B$15,Paramètres!$A$1:$I$89,3,0)*VLOOKUP('Données projet'!$B$15,Paramètres!$A$1:$I$89,5,0)</f>
        <v>4.4337866711430253E-14</v>
      </c>
      <c r="EL77" s="14">
        <f t="shared" si="99"/>
        <v>7.3222115536967035E-13</v>
      </c>
      <c r="EM77" s="22">
        <f t="shared" si="73"/>
        <v>1.3525069634579169E-12</v>
      </c>
      <c r="EN77" s="62">
        <f t="shared" si="74"/>
        <v>293.33333333333468</v>
      </c>
      <c r="EO77" s="62">
        <f ca="1">AVERAGE(OFFSET($EN$3,0,0,'Données projet'!$E$15+1,1))-AVERAGE(OFFSET($H$3,0,0,'Données projet'!$E$15+1,1))</f>
        <v>288.82868507674738</v>
      </c>
      <c r="EP77" s="62">
        <f t="shared" si="100"/>
        <v>283.48738729114024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>
        <f>EXP(-LN(2)/35)*EV76+(1-EXP(-LN(2)/35))/(LN(2)/35)*ER77*ES77*VLOOKUP('Données projet'!$B$15,Paramètres!$A$1:$I$89,3,0)*0.475*44/12</f>
        <v>0.75868576317292669</v>
      </c>
      <c r="EW77" s="23">
        <f>EXP(-LN(2)/25)*EW76+(1-EXP(-LN(2)/25))/(LN(2)/25)*Calculateur!ER77*Calculateur!ET77*VLOOKUP('Données projet'!$B$15,Paramètres!$A$1:$I$89,3,0)*0.475*44/12</f>
        <v>0</v>
      </c>
      <c r="EX77" s="23">
        <f>EXP(-LN(2)/2)*EX76+(1-EXP(-LN(2)/2))/(LN(2)/2)*ER77*EU77*VLOOKUP('Données projet'!$B$15,Paramètres!$A$1:$I$89,3,0)*0.475*44/12</f>
        <v>0</v>
      </c>
      <c r="EY77" s="24">
        <f t="shared" si="75"/>
        <v>0.75868576317292669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15.142857142857142</v>
      </c>
      <c r="N78" s="14">
        <f>IF('Données projet'!$A$36&gt;35,N77+M78-V77,IF(A78&lt;'Données projet'!$A$36,$K$205^A78,IF(A78='Données projet'!$A$36,'Données projet'!$B$36,N77+M78-V77)))</f>
        <v>435.42857142857167</v>
      </c>
      <c r="O78" s="14">
        <f>N78*VLOOKUP('Données projet'!$B$9,Paramètres!$A$1:$I$89,3,0)*VLOOKUP('Données projet'!$B$9,Paramètres!$A$1:$I$89,5,0)</f>
        <v>203.78057142857153</v>
      </c>
      <c r="P78" s="14">
        <f t="shared" si="87"/>
        <v>50.574115202939069</v>
      </c>
      <c r="Q78" s="22">
        <f t="shared" si="54"/>
        <v>443.00107921654762</v>
      </c>
      <c r="R78" s="62">
        <f t="shared" si="55"/>
        <v>736.33441254988088</v>
      </c>
      <c r="S78" s="62">
        <f ca="1">AVERAGE(OFFSET($R$3,0,0,'Données projet'!$E$9+1,1))-AVERAGE(OFFSET($H$3,0,0,'Données projet'!$E$9+1,1))</f>
        <v>317.54276561627643</v>
      </c>
      <c r="T78" s="62">
        <f t="shared" si="88"/>
        <v>238.92443174298893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230</v>
      </c>
      <c r="AG78" s="13">
        <f>VLOOKUP(A78,'Données projet'!$A$61:$I$81,9,0)</f>
        <v>4</v>
      </c>
      <c r="AH78" s="13">
        <f t="array" ref="AH78">INDEX(AG:AG,MIN(IF(ISNUMBER(AG78:AG274),ROW(AG78:AG274),"")))</f>
        <v>4</v>
      </c>
      <c r="AI78" s="14">
        <f>IF('Données projet'!$A$62&gt;35,AI77+AH78-AQ77,IF(A78&lt;'Données projet'!$A$62,$AF$205^A78,IF(A78='Données projet'!$A$62,'Données projet'!$B$62,AI77+AH78-AQ77)))</f>
        <v>229.99999999999994</v>
      </c>
      <c r="AJ78" s="14">
        <f>AI78*VLOOKUP('Données projet'!$B$10,Paramètres!$A$1:$I$89,3,0)*VLOOKUP('Données projet'!$B$10,Paramètres!$A$1:$I$89,5,0)</f>
        <v>200.92799999999997</v>
      </c>
      <c r="AK78" s="14">
        <f t="shared" si="89"/>
        <v>49.948059057189042</v>
      </c>
      <c r="AL78" s="22">
        <f t="shared" si="58"/>
        <v>436.94246952460418</v>
      </c>
      <c r="AM78" s="62">
        <f t="shared" si="59"/>
        <v>730.27580285793749</v>
      </c>
      <c r="AN78" s="62">
        <f ca="1">AVERAGE(OFFSET($AM$3,0,0,'Données projet'!$E$10+1,1))-AVERAGE(OFFSET($H$3,0,0,'Données projet'!$E$10+1,1))</f>
        <v>327.826081588335</v>
      </c>
      <c r="AO78" s="62">
        <f t="shared" si="90"/>
        <v>348.84706693879735</v>
      </c>
      <c r="AP78" s="16">
        <f>IF(ISNA(VLOOKUP(A78,'Données projet'!$A$61:$I$81,3,0)),0,VLOOKUP(A78,'Données projet'!$A$61:$I$81,3,0))</f>
        <v>12</v>
      </c>
      <c r="AQ78" s="16">
        <f>IF(ISNA(VLOOKUP(A78,'Données projet'!$A$61:$I$81,4,0)),0,VLOOKUP(A78,'Données projet'!$A$61:$I$81,4,0))</f>
        <v>15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2.5208751716347977</v>
      </c>
      <c r="AV78" s="23">
        <f>EXP(-LN(2)/25)*AV77+(1-EXP(-LN(2)/25))/(LN(2)/25)*Calculateur!AQ78*Calculateur!AS78*VLOOKUP('Données projet'!$B$10,Paramètres!$A$1:$I$89,3,0)*0.475*44/12</f>
        <v>3.9398892163520749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6.4607643879868721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312</v>
      </c>
      <c r="BB78" s="13">
        <f>VLOOKUP(A78,'Données projet'!$A$87:$I$107,9,0)</f>
        <v>7.6</v>
      </c>
      <c r="BC78" s="13">
        <f t="array" ref="BC78">INDEX(BB:BB,MIN(IF(ISNUMBER(BB78:BB274),ROW(BB78:BB274),"")))</f>
        <v>7.6</v>
      </c>
      <c r="BD78" s="13">
        <f>IF('Données projet'!$A$88&gt;35,BD77+BC78-BL77,IF(A78&lt;'Données projet'!$A$88,$BA$205^A78,IF(A78='Données projet'!$A$88,'Données projet'!$B$88,BD77+BC78-BL77)))</f>
        <v>312.00000000000006</v>
      </c>
      <c r="BE78" s="14">
        <f>BD78*VLOOKUP('Données projet'!$B$11,Paramètres!$A$1:$I$89,3,0)*VLOOKUP('Données projet'!$B$11,Paramètres!$A$1:$I$89,5,0)</f>
        <v>316.36800000000005</v>
      </c>
      <c r="BF78" s="14">
        <f t="shared" si="91"/>
        <v>74.597144109003438</v>
      </c>
      <c r="BG78" s="22">
        <f t="shared" si="61"/>
        <v>680.93095932318113</v>
      </c>
      <c r="BH78" s="62">
        <f t="shared" si="62"/>
        <v>974.2642926565145</v>
      </c>
      <c r="BI78" s="62">
        <f ca="1">AVERAGE(OFFSET($BH$3,0,0,'Données projet'!$E$11+1,1))-AVERAGE(OFFSET($H$3,0,0,'Données projet'!$E$11+1,1))</f>
        <v>487.04124684635974</v>
      </c>
      <c r="BJ78" s="62">
        <f t="shared" si="92"/>
        <v>306.61893266146666</v>
      </c>
      <c r="BK78" s="16">
        <f>IF(ISNA(VLOOKUP(A78,'Données projet'!$A$87:$I$107,3,0)),0,VLOOKUP(A78,'Données projet'!$A$87:$I$107,3,0))</f>
        <v>12</v>
      </c>
      <c r="BL78" s="16">
        <f>IF(ISNA(VLOOKUP(A78,'Données projet'!$A$87:$I$107,4,0)),0,VLOOKUP(A78,'Données projet'!$A$87:$I$107,4,0))</f>
        <v>28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1.1071411226774446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1.1071411226774446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>
        <f>VLOOKUP(A78,'Données projet'!$A$113:$I$133,2,0)</f>
        <v>312</v>
      </c>
      <c r="BW78" s="13">
        <f>VLOOKUP(A78,'Données projet'!$A$113:$I$133,9,0)</f>
        <v>7.6</v>
      </c>
      <c r="BX78" s="13">
        <f t="array" ref="BX78">INDEX(BW:BW,MIN(IF(ISNUMBER(BW78:BW274),ROW(BW78:BW274),"")))</f>
        <v>7.6</v>
      </c>
      <c r="BY78" s="13">
        <f>IF('Données projet'!$A$114&gt;35,BY77+BX78-CG77,IF(A78&lt;'Données projet'!$A$114,$BV$205^A78,IF(A78='Données projet'!$A$114,'Données projet'!$B$114,BY77+BX78-CG77)))</f>
        <v>312.00000000000006</v>
      </c>
      <c r="BZ78" s="14">
        <f>BY78*VLOOKUP('Données projet'!$B$12,Paramètres!$A$1:$I$89,3,0)*VLOOKUP('Données projet'!$B$12,Paramètres!$A$1:$I$89,5,0)</f>
        <v>282.29760000000005</v>
      </c>
      <c r="CA78" s="14">
        <f t="shared" si="93"/>
        <v>67.452326629470178</v>
      </c>
      <c r="CB78" s="22">
        <f t="shared" si="64"/>
        <v>609.14778887966054</v>
      </c>
      <c r="CC78" s="62">
        <f t="shared" si="65"/>
        <v>902.4811222129938</v>
      </c>
      <c r="CD78" s="62">
        <f ca="1">AVERAGE(OFFSET($CC$3,0,0,'Données projet'!$E$12+1,1))-AVERAGE(OFFSET($H$3,0,0,'Données projet'!$E$12+1,1))</f>
        <v>439.06700232017681</v>
      </c>
      <c r="CE78" s="62">
        <f t="shared" si="94"/>
        <v>278.21741231699929</v>
      </c>
      <c r="CF78" s="16">
        <f>IF(ISNA(VLOOKUP(A78,'Données projet'!$A$113:$I$133,3,0)),0,VLOOKUP(A78,'Données projet'!$A$113:$I$133,3,0))</f>
        <v>12</v>
      </c>
      <c r="CG78" s="16">
        <f>IF(ISNA(VLOOKUP(A78,'Données projet'!$A$113:$I$133,4,0)),0,VLOOKUP(A78,'Données projet'!$A$113:$I$133,4,0))</f>
        <v>28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0.98791054023525815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0.98791054023525815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>
        <f>VLOOKUP(A78,'Données projet'!$A$139:$I$159,2,0)</f>
        <v>323</v>
      </c>
      <c r="CR78" s="13">
        <f>VLOOKUP(A78,'Données projet'!$A$139:$I$159,9,0)</f>
        <v>4.2</v>
      </c>
      <c r="CS78" s="13">
        <f t="array" ref="CS78">INDEX(CR:CR,MIN(IF(ISNUMBER(CR78:CR274),ROW(CR78:CR274),"")))</f>
        <v>4.2</v>
      </c>
      <c r="CT78" s="13">
        <f>IF('Données projet'!$A$140&gt;35,CT77+CS78-DB77,IF(A78&lt;'Données projet'!$A$140,$CQ$205^A78,IF(A78='Données projet'!$A$140,'Données projet'!$B$140,CT77+CS78-DB77)))</f>
        <v>322.9999999999996</v>
      </c>
      <c r="CU78" s="18">
        <f>CT78*VLOOKUP('Données projet'!$B$13,Paramètres!$A$1:$I$89,3,0)*VLOOKUP('Données projet'!$B$13,Paramètres!$A$1:$I$89,5,0)</f>
        <v>236.82359999999971</v>
      </c>
      <c r="CV78" s="14">
        <f t="shared" si="95"/>
        <v>57.755583516581048</v>
      </c>
      <c r="CW78" s="22">
        <f t="shared" si="67"/>
        <v>513.05874462471149</v>
      </c>
      <c r="CX78" s="62">
        <f t="shared" si="68"/>
        <v>806.39207795804487</v>
      </c>
      <c r="CY78" s="62">
        <f ca="1">AVERAGE(OFFSET($CX$3,0,0,'Données projet'!$E$13+1,1))-AVERAGE(OFFSET($H$3,0,0,'Données projet'!$E$13+1,1))</f>
        <v>327.81662150328646</v>
      </c>
      <c r="CZ78" s="62">
        <f t="shared" si="96"/>
        <v>320.24200483294322</v>
      </c>
      <c r="DA78" s="16">
        <f>IF(ISNA(VLOOKUP(A78,'Données projet'!$A$139:$I$159,3,0)),0,VLOOKUP(A78,'Données projet'!$A$139:$I$159,3,0))</f>
        <v>14</v>
      </c>
      <c r="DB78" s="16">
        <f>IF(ISNA(VLOOKUP(A78,'Données projet'!$A$139:$I$159,4,0)),0,VLOOKUP(A78,'Données projet'!$A$139:$I$159,4,0))</f>
        <v>12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0.82089748711630739</v>
      </c>
      <c r="DG78" s="23">
        <f>EXP(-LN(2)/25)*DG77+(1-EXP(-LN(2)/25))/(LN(2)/25)*Calculateur!DB78*Calculateur!DD78*VLOOKUP('Données projet'!$B$13,Paramètres!$A$1:$I$89,3,0)*0.475*44/12</f>
        <v>0</v>
      </c>
      <c r="DH78" s="23">
        <f>EXP(-LN(2)/2)*DH77+(1-EXP(-LN(2)/2))/(LN(2)/2)*DB78*DE78*VLOOKUP('Données projet'!$B$13,Paramètres!$A$1:$I$89,3,0)*0.475*44/12</f>
        <v>0</v>
      </c>
      <c r="DI78" s="24">
        <f t="shared" si="69"/>
        <v>0.82089748711630739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>
        <f>VLOOKUP(A78,'Données projet'!$A$165:$I$185,2,0)</f>
        <v>192</v>
      </c>
      <c r="DM78" s="13">
        <f>VLOOKUP(A78,'Données projet'!$A$165:$I$185,9,0)</f>
        <v>4.2</v>
      </c>
      <c r="DN78" s="13">
        <f t="array" ref="DN78">INDEX(DM:DM,MIN(IF(ISNUMBER(DM78:DM274),ROW(DM78:DM274),"")))</f>
        <v>4.2</v>
      </c>
      <c r="DO78" s="13">
        <f>IF('Données projet'!$A$166&gt;35,DO77+DN78-DW77,IF(A78&lt;'Données projet'!$A$166,$DL$205^A78,IF(A78='Données projet'!$A$166,'Données projet'!$B$166,DO77+DN78-DW77)))</f>
        <v>192.00000000000003</v>
      </c>
      <c r="DP78" s="18">
        <f>DO78*VLOOKUP('Données projet'!$B$14,Paramètres!$A$1:$I$89,3,0)*VLOOKUP('Données projet'!$B$14,Paramètres!$A$1:$I$89,5,0)</f>
        <v>125.79840000000003</v>
      </c>
      <c r="DQ78" s="14">
        <f t="shared" si="97"/>
        <v>33.023644363399953</v>
      </c>
      <c r="DR78" s="22">
        <f t="shared" si="70"/>
        <v>276.61506059958828</v>
      </c>
      <c r="DS78" s="62">
        <f t="shared" si="71"/>
        <v>569.94839393292159</v>
      </c>
      <c r="DT78" s="62">
        <f ca="1">AVERAGE(OFFSET($DS$3,0,0,'Données projet'!$E$14+1,1))-AVERAGE(OFFSET($H$3,0,0,'Données projet'!$E$14+1,1))</f>
        <v>210.08998695869161</v>
      </c>
      <c r="DU78" s="62">
        <f t="shared" si="98"/>
        <v>207.30911916430881</v>
      </c>
      <c r="DV78" s="16">
        <f>IF(ISNA(VLOOKUP(A78,'Données projet'!$A$165:$I$185,3,0)),0,VLOOKUP(A78,'Données projet'!$A$165:$I$185,3,0))</f>
        <v>14</v>
      </c>
      <c r="DW78" s="16">
        <f>IF(ISNA(VLOOKUP(A78,'Données projet'!$A$165:$I$185,4,0)),0,VLOOKUP(A78,'Données projet'!$A$165:$I$185,4,0))</f>
        <v>16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>
        <f>EXP(-LN(2)/35)*EA77+(1-EXP(-LN(2)/35))/(LN(2)/35)*DW78*DX78*VLOOKUP('Données projet'!$B$14,Paramètres!$A$1:$I$89,3,0)*0.475*44/12</f>
        <v>0.18863176299693857</v>
      </c>
      <c r="EB78" s="23">
        <f>EXP(-LN(2)/25)*EB77+(1-EXP(-LN(2)/25))/(LN(2)/25)*Calculateur!DW78*Calculateur!DY78*VLOOKUP('Données projet'!$B$14,Paramètres!$A$1:$I$89,3,0)*0.475*44/12</f>
        <v>0</v>
      </c>
      <c r="EC78" s="23">
        <f>EXP(-LN(2)/2)*EC77+(1-EXP(-LN(2)/2))/(LN(2)/2)*DW78*DZ78*VLOOKUP('Données projet'!$B$14,Paramètres!$A$1:$I$89,3,0)*0.475*44/12</f>
        <v>0</v>
      </c>
      <c r="ED78" s="24">
        <f t="shared" si="72"/>
        <v>0.18863176299693857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5.6843418860808015E-14</v>
      </c>
      <c r="EK78" s="18">
        <f>EJ78*VLOOKUP('Données projet'!$B$15,Paramètres!$A$1:$I$89,3,0)*VLOOKUP('Données projet'!$B$15,Paramètres!$A$1:$I$89,5,0)</f>
        <v>4.4337866711430253E-14</v>
      </c>
      <c r="EL78" s="14">
        <f t="shared" si="99"/>
        <v>7.3222115536967035E-13</v>
      </c>
      <c r="EM78" s="22">
        <f t="shared" si="73"/>
        <v>1.3525069634579169E-12</v>
      </c>
      <c r="EN78" s="62">
        <f t="shared" si="74"/>
        <v>293.33333333333468</v>
      </c>
      <c r="EO78" s="62">
        <f ca="1">AVERAGE(OFFSET($EN$3,0,0,'Données projet'!$E$15+1,1))-AVERAGE(OFFSET($H$3,0,0,'Données projet'!$E$15+1,1))</f>
        <v>288.82868507674738</v>
      </c>
      <c r="EP78" s="62">
        <f t="shared" si="100"/>
        <v>283.48738729114024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>
        <f>EXP(-LN(2)/35)*EV77+(1-EXP(-LN(2)/35))/(LN(2)/35)*ER78*ES78*VLOOKUP('Données projet'!$B$15,Paramètres!$A$1:$I$89,3,0)*0.475*44/12</f>
        <v>0.7438083981097281</v>
      </c>
      <c r="EW78" s="23">
        <f>EXP(-LN(2)/25)*EW77+(1-EXP(-LN(2)/25))/(LN(2)/25)*Calculateur!ER78*Calculateur!ET78*VLOOKUP('Données projet'!$B$15,Paramètres!$A$1:$I$89,3,0)*0.475*44/12</f>
        <v>0</v>
      </c>
      <c r="EX78" s="23">
        <f>EXP(-LN(2)/2)*EX77+(1-EXP(-LN(2)/2))/(LN(2)/2)*ER78*EU78*VLOOKUP('Données projet'!$B$15,Paramètres!$A$1:$I$89,3,0)*0.475*44/12</f>
        <v>0</v>
      </c>
      <c r="EY78" s="24">
        <f t="shared" si="75"/>
        <v>0.7438083981097281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15.142857142857142</v>
      </c>
      <c r="N79" s="14">
        <f>IF('Données projet'!$A$36&gt;35,N78+M79-V78,IF(A79&lt;'Données projet'!$A$36,$K$205^A79,IF(A79='Données projet'!$A$36,'Données projet'!$B$36,N78+M79-V78)))</f>
        <v>450.57142857142884</v>
      </c>
      <c r="O79" s="14">
        <f>N79*VLOOKUP('Données projet'!$B$9,Paramètres!$A$1:$I$89,3,0)*VLOOKUP('Données projet'!$B$9,Paramètres!$A$1:$I$89,5,0)</f>
        <v>210.86742857142869</v>
      </c>
      <c r="P79" s="14">
        <f t="shared" si="87"/>
        <v>52.125095165913116</v>
      </c>
      <c r="Q79" s="22">
        <f t="shared" si="54"/>
        <v>458.04531217587032</v>
      </c>
      <c r="R79" s="62">
        <f t="shared" si="55"/>
        <v>751.37864550920358</v>
      </c>
      <c r="S79" s="62">
        <f ca="1">AVERAGE(OFFSET($R$3,0,0,'Données projet'!$E$9+1,1))-AVERAGE(OFFSET($H$3,0,0,'Données projet'!$E$9+1,1))</f>
        <v>317.54276561627643</v>
      </c>
      <c r="T79" s="62">
        <f t="shared" si="88"/>
        <v>238.92443174298893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3.6</v>
      </c>
      <c r="AI79" s="14">
        <f>IF('Données projet'!$A$62&gt;35,AI78+AH79-AQ78,IF(A79&lt;'Données projet'!$A$62,$AF$205^A79,IF(A79='Données projet'!$A$62,'Données projet'!$B$62,AI78+AH79-AQ78)))</f>
        <v>218.59999999999994</v>
      </c>
      <c r="AJ79" s="14">
        <f>AI79*VLOOKUP('Données projet'!$B$10,Paramètres!$A$1:$I$89,3,0)*VLOOKUP('Données projet'!$B$10,Paramètres!$A$1:$I$89,5,0)</f>
        <v>190.96895999999998</v>
      </c>
      <c r="AK79" s="14">
        <f t="shared" si="89"/>
        <v>47.754112686935557</v>
      </c>
      <c r="AL79" s="22">
        <f t="shared" si="58"/>
        <v>415.77601826307938</v>
      </c>
      <c r="AM79" s="62">
        <f t="shared" si="59"/>
        <v>709.10935159641269</v>
      </c>
      <c r="AN79" s="62">
        <f ca="1">AVERAGE(OFFSET($AM$3,0,0,'Données projet'!$E$10+1,1))-AVERAGE(OFFSET($H$3,0,0,'Données projet'!$E$10+1,1))</f>
        <v>327.826081588335</v>
      </c>
      <c r="AO79" s="62">
        <f t="shared" si="90"/>
        <v>348.84706693879735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2.4714423471010702</v>
      </c>
      <c r="AV79" s="23">
        <f>EXP(-LN(2)/25)*AV78+(1-EXP(-LN(2)/25))/(LN(2)/25)*Calculateur!AQ79*Calculateur!AS79*VLOOKUP('Données projet'!$B$10,Paramètres!$A$1:$I$89,3,0)*0.475*44/12</f>
        <v>3.8321527385411582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6.3035950856422289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7.2</v>
      </c>
      <c r="BD79" s="13">
        <f>IF('Données projet'!$A$88&gt;35,BD78+BC79-BL78,IF(A79&lt;'Données projet'!$A$88,$BA$205^A79,IF(A79='Données projet'!$A$88,'Données projet'!$B$88,BD78+BC79-BL78)))</f>
        <v>291.20000000000005</v>
      </c>
      <c r="BE79" s="14">
        <f>BD79*VLOOKUP('Données projet'!$B$11,Paramètres!$A$1:$I$89,3,0)*VLOOKUP('Données projet'!$B$11,Paramètres!$A$1:$I$89,5,0)</f>
        <v>295.27680000000004</v>
      </c>
      <c r="BF79" s="14">
        <f t="shared" si="91"/>
        <v>70.185386686980493</v>
      </c>
      <c r="BG79" s="22">
        <f t="shared" si="61"/>
        <v>636.51330847982445</v>
      </c>
      <c r="BH79" s="62">
        <f t="shared" si="62"/>
        <v>929.8466418131577</v>
      </c>
      <c r="BI79" s="62">
        <f ca="1">AVERAGE(OFFSET($BH$3,0,0,'Données projet'!$E$11+1,1))-AVERAGE(OFFSET($H$3,0,0,'Données projet'!$E$11+1,1))</f>
        <v>487.04124684635974</v>
      </c>
      <c r="BJ79" s="62">
        <f t="shared" si="92"/>
        <v>306.61893266146666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1.0854307605511455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1.0854307605511455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7.2</v>
      </c>
      <c r="BY79" s="13">
        <f>IF('Données projet'!$A$114&gt;35,BY78+BX79-CG78,IF(A79&lt;'Données projet'!$A$114,$BV$205^A79,IF(A79='Données projet'!$A$114,'Données projet'!$B$114,BY78+BX79-CG78)))</f>
        <v>291.20000000000005</v>
      </c>
      <c r="BZ79" s="14">
        <f>BY79*VLOOKUP('Données projet'!$B$12,Paramètres!$A$1:$I$89,3,0)*VLOOKUP('Données projet'!$B$12,Paramètres!$A$1:$I$89,5,0)</f>
        <v>263.47776000000005</v>
      </c>
      <c r="CA79" s="14">
        <f t="shared" si="93"/>
        <v>63.46312159763346</v>
      </c>
      <c r="CB79" s="22">
        <f t="shared" si="64"/>
        <v>569.42203544921165</v>
      </c>
      <c r="CC79" s="62">
        <f t="shared" si="65"/>
        <v>862.75536878254502</v>
      </c>
      <c r="CD79" s="62">
        <f ca="1">AVERAGE(OFFSET($CC$3,0,0,'Données projet'!$E$12+1,1))-AVERAGE(OFFSET($H$3,0,0,'Données projet'!$E$12+1,1))</f>
        <v>439.06700232017681</v>
      </c>
      <c r="CE79" s="62">
        <f t="shared" si="94"/>
        <v>278.21741231699929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0.9685382171071758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0.9685382171071758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3.6</v>
      </c>
      <c r="CT79" s="13">
        <f>IF('Données projet'!$A$140&gt;35,CT78+CS79-DB78,IF(A79&lt;'Données projet'!$A$140,$CQ$205^A79,IF(A79='Données projet'!$A$140,'Données projet'!$B$140,CT78+CS79-DB78)))</f>
        <v>314.59999999999962</v>
      </c>
      <c r="CU79" s="18">
        <f>CT79*VLOOKUP('Données projet'!$B$13,Paramètres!$A$1:$I$89,3,0)*VLOOKUP('Données projet'!$B$13,Paramètres!$A$1:$I$89,5,0)</f>
        <v>230.66471999999973</v>
      </c>
      <c r="CV79" s="14">
        <f t="shared" si="95"/>
        <v>56.426385386767798</v>
      </c>
      <c r="CW79" s="22">
        <f t="shared" si="67"/>
        <v>500.01700854862014</v>
      </c>
      <c r="CX79" s="62">
        <f t="shared" si="68"/>
        <v>793.35034188195345</v>
      </c>
      <c r="CY79" s="62">
        <f ca="1">AVERAGE(OFFSET($CX$3,0,0,'Données projet'!$E$13+1,1))-AVERAGE(OFFSET($H$3,0,0,'Données projet'!$E$13+1,1))</f>
        <v>327.81662150328646</v>
      </c>
      <c r="CZ79" s="62">
        <f t="shared" si="96"/>
        <v>320.24200483294322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0.80480018809198395</v>
      </c>
      <c r="DG79" s="23">
        <f>EXP(-LN(2)/25)*DG78+(1-EXP(-LN(2)/25))/(LN(2)/25)*Calculateur!DB79*Calculateur!DD79*VLOOKUP('Données projet'!$B$13,Paramètres!$A$1:$I$89,3,0)*0.475*44/12</f>
        <v>0</v>
      </c>
      <c r="DH79" s="23">
        <f>EXP(-LN(2)/2)*DH78+(1-EXP(-LN(2)/2))/(LN(2)/2)*DB79*DE79*VLOOKUP('Données projet'!$B$13,Paramètres!$A$1:$I$89,3,0)*0.475*44/12</f>
        <v>0</v>
      </c>
      <c r="DI79" s="24">
        <f t="shared" si="69"/>
        <v>0.80480018809198395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4</v>
      </c>
      <c r="DO79" s="13">
        <f>IF('Données projet'!$A$166&gt;35,DO78+DN79-DW78,IF(A79&lt;'Données projet'!$A$166,$DL$205^A79,IF(A79='Données projet'!$A$166,'Données projet'!$B$166,DO78+DN79-DW78)))</f>
        <v>180.00000000000003</v>
      </c>
      <c r="DP79" s="18">
        <f>DO79*VLOOKUP('Données projet'!$B$14,Paramètres!$A$1:$I$89,3,0)*VLOOKUP('Données projet'!$B$14,Paramètres!$A$1:$I$89,5,0)</f>
        <v>117.93600000000002</v>
      </c>
      <c r="DQ79" s="14">
        <f t="shared" si="97"/>
        <v>31.1931201812605</v>
      </c>
      <c r="DR79" s="22">
        <f t="shared" si="70"/>
        <v>259.73321764902875</v>
      </c>
      <c r="DS79" s="62">
        <f t="shared" si="71"/>
        <v>553.06655098236206</v>
      </c>
      <c r="DT79" s="62">
        <f ca="1">AVERAGE(OFFSET($DS$3,0,0,'Données projet'!$E$14+1,1))-AVERAGE(OFFSET($H$3,0,0,'Données projet'!$E$14+1,1))</f>
        <v>210.08998695869161</v>
      </c>
      <c r="DU79" s="62">
        <f t="shared" si="98"/>
        <v>207.30911916430881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>
        <f>EXP(-LN(2)/35)*EA78+(1-EXP(-LN(2)/35))/(LN(2)/35)*DW79*DX79*VLOOKUP('Données projet'!$B$14,Paramètres!$A$1:$I$89,3,0)*0.475*44/12</f>
        <v>0.1849328091785834</v>
      </c>
      <c r="EB79" s="23">
        <f>EXP(-LN(2)/25)*EB78+(1-EXP(-LN(2)/25))/(LN(2)/25)*Calculateur!DW79*Calculateur!DY79*VLOOKUP('Données projet'!$B$14,Paramètres!$A$1:$I$89,3,0)*0.475*44/12</f>
        <v>0</v>
      </c>
      <c r="EC79" s="23">
        <f>EXP(-LN(2)/2)*EC78+(1-EXP(-LN(2)/2))/(LN(2)/2)*DW79*DZ79*VLOOKUP('Données projet'!$B$14,Paramètres!$A$1:$I$89,3,0)*0.475*44/12</f>
        <v>0</v>
      </c>
      <c r="ED79" s="24">
        <f t="shared" si="72"/>
        <v>0.1849328091785834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5.6843418860808015E-14</v>
      </c>
      <c r="EK79" s="18">
        <f>EJ79*VLOOKUP('Données projet'!$B$15,Paramètres!$A$1:$I$89,3,0)*VLOOKUP('Données projet'!$B$15,Paramètres!$A$1:$I$89,5,0)</f>
        <v>4.4337866711430253E-14</v>
      </c>
      <c r="EL79" s="14">
        <f t="shared" si="99"/>
        <v>7.3222115536967035E-13</v>
      </c>
      <c r="EM79" s="22">
        <f t="shared" si="73"/>
        <v>1.3525069634579169E-12</v>
      </c>
      <c r="EN79" s="62">
        <f t="shared" si="74"/>
        <v>293.33333333333468</v>
      </c>
      <c r="EO79" s="62">
        <f ca="1">AVERAGE(OFFSET($EN$3,0,0,'Données projet'!$E$15+1,1))-AVERAGE(OFFSET($H$3,0,0,'Données projet'!$E$15+1,1))</f>
        <v>288.82868507674738</v>
      </c>
      <c r="EP79" s="62">
        <f t="shared" si="100"/>
        <v>283.48738729114024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>
        <f>EXP(-LN(2)/35)*EV78+(1-EXP(-LN(2)/35))/(LN(2)/35)*ER79*ES79*VLOOKUP('Données projet'!$B$15,Paramètres!$A$1:$I$89,3,0)*0.475*44/12</f>
        <v>0.72922276910112216</v>
      </c>
      <c r="EW79" s="23">
        <f>EXP(-LN(2)/25)*EW78+(1-EXP(-LN(2)/25))/(LN(2)/25)*Calculateur!ER79*Calculateur!ET79*VLOOKUP('Données projet'!$B$15,Paramètres!$A$1:$I$89,3,0)*0.475*44/12</f>
        <v>0</v>
      </c>
      <c r="EX79" s="23">
        <f>EXP(-LN(2)/2)*EX78+(1-EXP(-LN(2)/2))/(LN(2)/2)*ER79*EU79*VLOOKUP('Données projet'!$B$15,Paramètres!$A$1:$I$89,3,0)*0.475*44/12</f>
        <v>0</v>
      </c>
      <c r="EY79" s="24">
        <f t="shared" si="75"/>
        <v>0.72922276910112216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15.142857142857142</v>
      </c>
      <c r="N80" s="14">
        <f>IF('Données projet'!$A$36&gt;35,N79+M80-V79,IF(A80&lt;'Données projet'!$A$36,$K$205^A80,IF(A80='Données projet'!$A$36,'Données projet'!$B$36,N79+M80-V79)))</f>
        <v>465.71428571428601</v>
      </c>
      <c r="O80" s="14">
        <f>N80*VLOOKUP('Données projet'!$B$9,Paramètres!$A$1:$I$89,3,0)*VLOOKUP('Données projet'!$B$9,Paramètres!$A$1:$I$89,5,0)</f>
        <v>217.95428571428585</v>
      </c>
      <c r="P80" s="14">
        <f t="shared" si="87"/>
        <v>53.670018366701875</v>
      </c>
      <c r="Q80" s="22">
        <f t="shared" si="54"/>
        <v>473.07899627438695</v>
      </c>
      <c r="R80" s="62">
        <f t="shared" si="55"/>
        <v>766.41232960772027</v>
      </c>
      <c r="S80" s="62">
        <f ca="1">AVERAGE(OFFSET($R$3,0,0,'Données projet'!$E$9+1,1))-AVERAGE(OFFSET($H$3,0,0,'Données projet'!$E$9+1,1))</f>
        <v>317.54276561627643</v>
      </c>
      <c r="T80" s="62">
        <f t="shared" si="88"/>
        <v>238.92443174298893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3.6</v>
      </c>
      <c r="AI80" s="14">
        <f>IF('Données projet'!$A$62&gt;35,AI79+AH80-AQ79,IF(A80&lt;'Données projet'!$A$62,$AF$205^A80,IF(A80='Données projet'!$A$62,'Données projet'!$B$62,AI79+AH80-AQ79)))</f>
        <v>222.19999999999993</v>
      </c>
      <c r="AJ80" s="14">
        <f>AI80*VLOOKUP('Données projet'!$B$10,Paramètres!$A$1:$I$89,3,0)*VLOOKUP('Données projet'!$B$10,Paramètres!$A$1:$I$89,5,0)</f>
        <v>194.11391999999998</v>
      </c>
      <c r="AK80" s="14">
        <f t="shared" si="89"/>
        <v>48.44834513242396</v>
      </c>
      <c r="AL80" s="22">
        <f t="shared" si="58"/>
        <v>422.46261177230502</v>
      </c>
      <c r="AM80" s="62">
        <f t="shared" si="59"/>
        <v>715.79594510563834</v>
      </c>
      <c r="AN80" s="62">
        <f ca="1">AVERAGE(OFFSET($AM$3,0,0,'Données projet'!$E$10+1,1))-AVERAGE(OFFSET($H$3,0,0,'Données projet'!$E$10+1,1))</f>
        <v>327.826081588335</v>
      </c>
      <c r="AO80" s="62">
        <f t="shared" si="90"/>
        <v>348.84706693879735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2.4229788701054034</v>
      </c>
      <c r="AV80" s="23">
        <f>EXP(-LN(2)/25)*AV79+(1-EXP(-LN(2)/25))/(LN(2)/25)*Calculateur!AQ80*Calculateur!AS80*VLOOKUP('Données projet'!$B$10,Paramètres!$A$1:$I$89,3,0)*0.475*44/12</f>
        <v>3.7273623203815962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6.1503411904869996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7.2</v>
      </c>
      <c r="BD80" s="13">
        <f>IF('Données projet'!$A$88&gt;35,BD79+BC80-BL79,IF(A80&lt;'Données projet'!$A$88,$BA$205^A80,IF(A80='Données projet'!$A$88,'Données projet'!$B$88,BD79+BC80-BL79)))</f>
        <v>298.40000000000003</v>
      </c>
      <c r="BE80" s="14">
        <f>BD80*VLOOKUP('Données projet'!$B$11,Paramètres!$A$1:$I$89,3,0)*VLOOKUP('Données projet'!$B$11,Paramètres!$A$1:$I$89,5,0)</f>
        <v>302.57760000000007</v>
      </c>
      <c r="BF80" s="14">
        <f t="shared" si="91"/>
        <v>71.716558091076294</v>
      </c>
      <c r="BG80" s="22">
        <f t="shared" si="61"/>
        <v>651.89565867529132</v>
      </c>
      <c r="BH80" s="62">
        <f t="shared" si="62"/>
        <v>945.22899200862457</v>
      </c>
      <c r="BI80" s="62">
        <f ca="1">AVERAGE(OFFSET($BH$3,0,0,'Données projet'!$E$11+1,1))-AVERAGE(OFFSET($H$3,0,0,'Données projet'!$E$11+1,1))</f>
        <v>487.04124684635974</v>
      </c>
      <c r="BJ80" s="62">
        <f t="shared" si="92"/>
        <v>306.61893266146666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1.0641461253841298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1.0641461253841298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7.2</v>
      </c>
      <c r="BY80" s="13">
        <f>IF('Données projet'!$A$114&gt;35,BY79+BX80-CG79,IF(A80&lt;'Données projet'!$A$114,$BV$205^A80,IF(A80='Données projet'!$A$114,'Données projet'!$B$114,BY79+BX80-CG79)))</f>
        <v>298.40000000000003</v>
      </c>
      <c r="BZ80" s="14">
        <f>BY80*VLOOKUP('Données projet'!$B$12,Paramètres!$A$1:$I$89,3,0)*VLOOKUP('Données projet'!$B$12,Paramètres!$A$1:$I$89,5,0)</f>
        <v>269.99232000000001</v>
      </c>
      <c r="CA80" s="14">
        <f t="shared" si="93"/>
        <v>64.847639395310296</v>
      </c>
      <c r="CB80" s="22">
        <f t="shared" si="64"/>
        <v>583.17959594683214</v>
      </c>
      <c r="CC80" s="62">
        <f t="shared" si="65"/>
        <v>876.51292928016551</v>
      </c>
      <c r="CD80" s="62">
        <f ca="1">AVERAGE(OFFSET($CC$3,0,0,'Données projet'!$E$12+1,1))-AVERAGE(OFFSET($H$3,0,0,'Données projet'!$E$12+1,1))</f>
        <v>439.06700232017681</v>
      </c>
      <c r="CE80" s="62">
        <f t="shared" si="94"/>
        <v>278.21741231699929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0.94954577341968482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0.94954577341968482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3.6</v>
      </c>
      <c r="CT80" s="13">
        <f>IF('Données projet'!$A$140&gt;35,CT79+CS80-DB79,IF(A80&lt;'Données projet'!$A$140,$CQ$205^A80,IF(A80='Données projet'!$A$140,'Données projet'!$B$140,CT79+CS80-DB79)))</f>
        <v>318.19999999999965</v>
      </c>
      <c r="CU80" s="18">
        <f>CT80*VLOOKUP('Données projet'!$B$13,Paramètres!$A$1:$I$89,3,0)*VLOOKUP('Données projet'!$B$13,Paramètres!$A$1:$I$89,5,0)</f>
        <v>233.30423999999974</v>
      </c>
      <c r="CV80" s="14">
        <f t="shared" si="95"/>
        <v>56.996541275200826</v>
      </c>
      <c r="CW80" s="22">
        <f t="shared" si="67"/>
        <v>505.60719405430768</v>
      </c>
      <c r="CX80" s="62">
        <f t="shared" si="68"/>
        <v>798.94052738764094</v>
      </c>
      <c r="CY80" s="62">
        <f ca="1">AVERAGE(OFFSET($CX$3,0,0,'Données projet'!$E$13+1,1))-AVERAGE(OFFSET($H$3,0,0,'Données projet'!$E$13+1,1))</f>
        <v>327.81662150328646</v>
      </c>
      <c r="CZ80" s="62">
        <f t="shared" si="96"/>
        <v>320.24200483294322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0.78901854728314458</v>
      </c>
      <c r="DG80" s="23">
        <f>EXP(-LN(2)/25)*DG79+(1-EXP(-LN(2)/25))/(LN(2)/25)*Calculateur!DB80*Calculateur!DD80*VLOOKUP('Données projet'!$B$13,Paramètres!$A$1:$I$89,3,0)*0.475*44/12</f>
        <v>0</v>
      </c>
      <c r="DH80" s="23">
        <f>EXP(-LN(2)/2)*DH79+(1-EXP(-LN(2)/2))/(LN(2)/2)*DB80*DE80*VLOOKUP('Données projet'!$B$13,Paramètres!$A$1:$I$89,3,0)*0.475*44/12</f>
        <v>0</v>
      </c>
      <c r="DI80" s="24">
        <f t="shared" si="69"/>
        <v>0.78901854728314458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4</v>
      </c>
      <c r="DO80" s="13">
        <f>IF('Données projet'!$A$166&gt;35,DO79+DN80-DW79,IF(A80&lt;'Données projet'!$A$166,$DL$205^A80,IF(A80='Données projet'!$A$166,'Données projet'!$B$166,DO79+DN80-DW79)))</f>
        <v>184.00000000000003</v>
      </c>
      <c r="DP80" s="18">
        <f>DO80*VLOOKUP('Données projet'!$B$14,Paramètres!$A$1:$I$89,3,0)*VLOOKUP('Données projet'!$B$14,Paramètres!$A$1:$I$89,5,0)</f>
        <v>120.55680000000002</v>
      </c>
      <c r="DQ80" s="14">
        <f t="shared" si="97"/>
        <v>31.804828741198779</v>
      </c>
      <c r="DR80" s="22">
        <f t="shared" si="70"/>
        <v>265.36317005758792</v>
      </c>
      <c r="DS80" s="62">
        <f t="shared" si="71"/>
        <v>558.69650339092118</v>
      </c>
      <c r="DT80" s="62">
        <f ca="1">AVERAGE(OFFSET($DS$3,0,0,'Données projet'!$E$14+1,1))-AVERAGE(OFFSET($H$3,0,0,'Données projet'!$E$14+1,1))</f>
        <v>210.08998695869161</v>
      </c>
      <c r="DU80" s="62">
        <f t="shared" si="98"/>
        <v>207.30911916430881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>
        <f>EXP(-LN(2)/35)*EA79+(1-EXP(-LN(2)/35))/(LN(2)/35)*DW80*DX80*VLOOKUP('Données projet'!$B$14,Paramètres!$A$1:$I$89,3,0)*0.475*44/12</f>
        <v>0.18130638958846712</v>
      </c>
      <c r="EB80" s="23">
        <f>EXP(-LN(2)/25)*EB79+(1-EXP(-LN(2)/25))/(LN(2)/25)*Calculateur!DW80*Calculateur!DY80*VLOOKUP('Données projet'!$B$14,Paramètres!$A$1:$I$89,3,0)*0.475*44/12</f>
        <v>0</v>
      </c>
      <c r="EC80" s="23">
        <f>EXP(-LN(2)/2)*EC79+(1-EXP(-LN(2)/2))/(LN(2)/2)*DW80*DZ80*VLOOKUP('Données projet'!$B$14,Paramètres!$A$1:$I$89,3,0)*0.475*44/12</f>
        <v>0</v>
      </c>
      <c r="ED80" s="24">
        <f t="shared" si="72"/>
        <v>0.18130638958846712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5.6843418860808015E-14</v>
      </c>
      <c r="EK80" s="18">
        <f>EJ80*VLOOKUP('Données projet'!$B$15,Paramètres!$A$1:$I$89,3,0)*VLOOKUP('Données projet'!$B$15,Paramètres!$A$1:$I$89,5,0)</f>
        <v>4.4337866711430253E-14</v>
      </c>
      <c r="EL80" s="14">
        <f t="shared" si="99"/>
        <v>7.3222115536967035E-13</v>
      </c>
      <c r="EM80" s="22">
        <f t="shared" si="73"/>
        <v>1.3525069634579169E-12</v>
      </c>
      <c r="EN80" s="62">
        <f t="shared" si="74"/>
        <v>293.33333333333468</v>
      </c>
      <c r="EO80" s="62">
        <f ca="1">AVERAGE(OFFSET($EN$3,0,0,'Données projet'!$E$15+1,1))-AVERAGE(OFFSET($H$3,0,0,'Données projet'!$E$15+1,1))</f>
        <v>288.82868507674738</v>
      </c>
      <c r="EP80" s="62">
        <f t="shared" si="100"/>
        <v>283.48738729114024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>
        <f>EXP(-LN(2)/35)*EV79+(1-EXP(-LN(2)/35))/(LN(2)/35)*ER80*ES80*VLOOKUP('Données projet'!$B$15,Paramètres!$A$1:$I$89,3,0)*0.475*44/12</f>
        <v>0.71492315538101969</v>
      </c>
      <c r="EW80" s="23">
        <f>EXP(-LN(2)/25)*EW79+(1-EXP(-LN(2)/25))/(LN(2)/25)*Calculateur!ER80*Calculateur!ET80*VLOOKUP('Données projet'!$B$15,Paramètres!$A$1:$I$89,3,0)*0.475*44/12</f>
        <v>0</v>
      </c>
      <c r="EX80" s="23">
        <f>EXP(-LN(2)/2)*EX79+(1-EXP(-LN(2)/2))/(LN(2)/2)*ER80*EU80*VLOOKUP('Données projet'!$B$15,Paramètres!$A$1:$I$89,3,0)*0.475*44/12</f>
        <v>0</v>
      </c>
      <c r="EY80" s="24">
        <f t="shared" si="75"/>
        <v>0.71492315538101969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15.142857142857142</v>
      </c>
      <c r="N81" s="14">
        <f>IF('Données projet'!$A$36&gt;35,N80+M81-V80,IF(A81&lt;'Données projet'!$A$36,$K$205^A81,IF(A81='Données projet'!$A$36,'Données projet'!$B$36,N80+M81-V80)))</f>
        <v>480.85714285714317</v>
      </c>
      <c r="O81" s="14">
        <f>N81*VLOOKUP('Données projet'!$B$9,Paramètres!$A$1:$I$89,3,0)*VLOOKUP('Données projet'!$B$9,Paramètres!$A$1:$I$89,5,0)</f>
        <v>225.041142857143</v>
      </c>
      <c r="P81" s="14">
        <f t="shared" si="87"/>
        <v>55.209104329514197</v>
      </c>
      <c r="Q81" s="22">
        <f t="shared" si="54"/>
        <v>488.10251385009468</v>
      </c>
      <c r="R81" s="62">
        <f t="shared" si="55"/>
        <v>781.435847183428</v>
      </c>
      <c r="S81" s="62">
        <f ca="1">AVERAGE(OFFSET($R$3,0,0,'Données projet'!$E$9+1,1))-AVERAGE(OFFSET($H$3,0,0,'Données projet'!$E$9+1,1))</f>
        <v>317.54276561627643</v>
      </c>
      <c r="T81" s="62">
        <f t="shared" si="88"/>
        <v>238.92443174298893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3.6</v>
      </c>
      <c r="AI81" s="14">
        <f>IF('Données projet'!$A$62&gt;35,AI80+AH81-AQ80,IF(A81&lt;'Données projet'!$A$62,$AF$205^A81,IF(A81='Données projet'!$A$62,'Données projet'!$B$62,AI80+AH81-AQ80)))</f>
        <v>225.79999999999993</v>
      </c>
      <c r="AJ81" s="14">
        <f>AI81*VLOOKUP('Données projet'!$B$10,Paramètres!$A$1:$I$89,3,0)*VLOOKUP('Données projet'!$B$10,Paramètres!$A$1:$I$89,5,0)</f>
        <v>197.25887999999995</v>
      </c>
      <c r="AK81" s="14">
        <f t="shared" si="89"/>
        <v>49.141269519991567</v>
      </c>
      <c r="AL81" s="22">
        <f t="shared" si="58"/>
        <v>429.14692708065189</v>
      </c>
      <c r="AM81" s="62">
        <f t="shared" si="59"/>
        <v>722.48026041398521</v>
      </c>
      <c r="AN81" s="62">
        <f ca="1">AVERAGE(OFFSET($AM$3,0,0,'Données projet'!$E$10+1,1))-AVERAGE(OFFSET($H$3,0,0,'Données projet'!$E$10+1,1))</f>
        <v>327.826081588335</v>
      </c>
      <c r="AO81" s="62">
        <f t="shared" si="90"/>
        <v>348.84706693879735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2.3754657323338195</v>
      </c>
      <c r="AV81" s="23">
        <f>EXP(-LN(2)/25)*AV80+(1-EXP(-LN(2)/25))/(LN(2)/25)*Calculateur!AQ81*Calculateur!AS81*VLOOKUP('Données projet'!$B$10,Paramètres!$A$1:$I$89,3,0)*0.475*44/12</f>
        <v>3.6254374017172961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6.0009031340511161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7.2</v>
      </c>
      <c r="BD81" s="13">
        <f>IF('Données projet'!$A$88&gt;35,BD80+BC81-BL80,IF(A81&lt;'Données projet'!$A$88,$BA$205^A81,IF(A81='Données projet'!$A$88,'Données projet'!$B$88,BD80+BC81-BL80)))</f>
        <v>305.60000000000002</v>
      </c>
      <c r="BE81" s="14">
        <f>BD81*VLOOKUP('Données projet'!$B$11,Paramètres!$A$1:$I$89,3,0)*VLOOKUP('Données projet'!$B$11,Paramètres!$A$1:$I$89,5,0)</f>
        <v>309.87840000000006</v>
      </c>
      <c r="BF81" s="14">
        <f t="shared" si="91"/>
        <v>73.243434672131556</v>
      </c>
      <c r="BG81" s="22">
        <f t="shared" si="61"/>
        <v>667.27052872062916</v>
      </c>
      <c r="BH81" s="62">
        <f t="shared" si="62"/>
        <v>960.60386205396253</v>
      </c>
      <c r="BI81" s="62">
        <f ca="1">AVERAGE(OFFSET($BH$3,0,0,'Données projet'!$E$11+1,1))-AVERAGE(OFFSET($H$3,0,0,'Données projet'!$E$11+1,1))</f>
        <v>487.04124684635974</v>
      </c>
      <c r="BJ81" s="62">
        <f t="shared" si="92"/>
        <v>306.61893266146666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1.0432788689303936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1.0432788689303936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7.2</v>
      </c>
      <c r="BY81" s="13">
        <f>IF('Données projet'!$A$114&gt;35,BY80+BX81-CG80,IF(A81&lt;'Données projet'!$A$114,$BV$205^A81,IF(A81='Données projet'!$A$114,'Données projet'!$B$114,BY80+BX81-CG80)))</f>
        <v>305.60000000000002</v>
      </c>
      <c r="BZ81" s="14">
        <f>BY81*VLOOKUP('Données projet'!$B$12,Paramètres!$A$1:$I$89,3,0)*VLOOKUP('Données projet'!$B$12,Paramètres!$A$1:$I$89,5,0)</f>
        <v>276.50687999999997</v>
      </c>
      <c r="CA81" s="14">
        <f t="shared" si="93"/>
        <v>66.228273722513677</v>
      </c>
      <c r="CB81" s="22">
        <f t="shared" si="64"/>
        <v>596.93039273337797</v>
      </c>
      <c r="CC81" s="62">
        <f t="shared" si="65"/>
        <v>890.26372606671134</v>
      </c>
      <c r="CD81" s="62">
        <f ca="1">AVERAGE(OFFSET($CC$3,0,0,'Données projet'!$E$12+1,1))-AVERAGE(OFFSET($H$3,0,0,'Données projet'!$E$12+1,1))</f>
        <v>439.06700232017681</v>
      </c>
      <c r="CE81" s="62">
        <f t="shared" si="94"/>
        <v>278.21741231699929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0.93092575996865867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0.93092575996865867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3.6</v>
      </c>
      <c r="CT81" s="13">
        <f>IF('Données projet'!$A$140&gt;35,CT80+CS81-DB80,IF(A81&lt;'Données projet'!$A$140,$CQ$205^A81,IF(A81='Données projet'!$A$140,'Données projet'!$B$140,CT80+CS81-DB80)))</f>
        <v>321.79999999999967</v>
      </c>
      <c r="CU81" s="18">
        <f>CT81*VLOOKUP('Données projet'!$B$13,Paramètres!$A$1:$I$89,3,0)*VLOOKUP('Données projet'!$B$13,Paramètres!$A$1:$I$89,5,0)</f>
        <v>235.94375999999977</v>
      </c>
      <c r="CV81" s="14">
        <f t="shared" si="95"/>
        <v>57.565946798257798</v>
      </c>
      <c r="CW81" s="22">
        <f t="shared" si="67"/>
        <v>511.19607267363199</v>
      </c>
      <c r="CX81" s="62">
        <f t="shared" si="68"/>
        <v>804.52940600696525</v>
      </c>
      <c r="CY81" s="62">
        <f ca="1">AVERAGE(OFFSET($CX$3,0,0,'Données projet'!$E$13+1,1))-AVERAGE(OFFSET($H$3,0,0,'Données projet'!$E$13+1,1))</f>
        <v>327.81662150328646</v>
      </c>
      <c r="CZ81" s="62">
        <f t="shared" si="96"/>
        <v>320.24200483294322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0.77354637482471611</v>
      </c>
      <c r="DG81" s="23">
        <f>EXP(-LN(2)/25)*DG80+(1-EXP(-LN(2)/25))/(LN(2)/25)*Calculateur!DB81*Calculateur!DD81*VLOOKUP('Données projet'!$B$13,Paramètres!$A$1:$I$89,3,0)*0.475*44/12</f>
        <v>0</v>
      </c>
      <c r="DH81" s="23">
        <f>EXP(-LN(2)/2)*DH80+(1-EXP(-LN(2)/2))/(LN(2)/2)*DB81*DE81*VLOOKUP('Données projet'!$B$13,Paramètres!$A$1:$I$89,3,0)*0.475*44/12</f>
        <v>0</v>
      </c>
      <c r="DI81" s="24">
        <f t="shared" si="69"/>
        <v>0.77354637482471611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4</v>
      </c>
      <c r="DO81" s="13">
        <f>IF('Données projet'!$A$166&gt;35,DO80+DN81-DW80,IF(A81&lt;'Données projet'!$A$166,$DL$205^A81,IF(A81='Données projet'!$A$166,'Données projet'!$B$166,DO80+DN81-DW80)))</f>
        <v>188.00000000000003</v>
      </c>
      <c r="DP81" s="18">
        <f>DO81*VLOOKUP('Données projet'!$B$14,Paramètres!$A$1:$I$89,3,0)*VLOOKUP('Données projet'!$B$14,Paramètres!$A$1:$I$89,5,0)</f>
        <v>123.17760000000001</v>
      </c>
      <c r="DQ81" s="14">
        <f t="shared" si="97"/>
        <v>32.414991240570416</v>
      </c>
      <c r="DR81" s="22">
        <f t="shared" si="70"/>
        <v>270.99042974399345</v>
      </c>
      <c r="DS81" s="62">
        <f t="shared" si="71"/>
        <v>564.3237630773267</v>
      </c>
      <c r="DT81" s="62">
        <f ca="1">AVERAGE(OFFSET($DS$3,0,0,'Données projet'!$E$14+1,1))-AVERAGE(OFFSET($H$3,0,0,'Données projet'!$E$14+1,1))</f>
        <v>210.08998695869161</v>
      </c>
      <c r="DU81" s="62">
        <f t="shared" si="98"/>
        <v>207.30911916430881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>
        <f>EXP(-LN(2)/35)*EA80+(1-EXP(-LN(2)/35))/(LN(2)/35)*DW81*DX81*VLOOKUP('Données projet'!$B$14,Paramètres!$A$1:$I$89,3,0)*0.475*44/12</f>
        <v>0.17775108187461547</v>
      </c>
      <c r="EB81" s="23">
        <f>EXP(-LN(2)/25)*EB80+(1-EXP(-LN(2)/25))/(LN(2)/25)*Calculateur!DW81*Calculateur!DY81*VLOOKUP('Données projet'!$B$14,Paramètres!$A$1:$I$89,3,0)*0.475*44/12</f>
        <v>0</v>
      </c>
      <c r="EC81" s="23">
        <f>EXP(-LN(2)/2)*EC80+(1-EXP(-LN(2)/2))/(LN(2)/2)*DW81*DZ81*VLOOKUP('Données projet'!$B$14,Paramètres!$A$1:$I$89,3,0)*0.475*44/12</f>
        <v>0</v>
      </c>
      <c r="ED81" s="24">
        <f t="shared" si="72"/>
        <v>0.17775108187461547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5.6843418860808015E-14</v>
      </c>
      <c r="EK81" s="18">
        <f>EJ81*VLOOKUP('Données projet'!$B$15,Paramètres!$A$1:$I$89,3,0)*VLOOKUP('Données projet'!$B$15,Paramètres!$A$1:$I$89,5,0)</f>
        <v>4.4337866711430253E-14</v>
      </c>
      <c r="EL81" s="14">
        <f t="shared" si="99"/>
        <v>7.3222115536967035E-13</v>
      </c>
      <c r="EM81" s="22">
        <f t="shared" si="73"/>
        <v>1.3525069634579169E-12</v>
      </c>
      <c r="EN81" s="62">
        <f t="shared" si="74"/>
        <v>293.33333333333468</v>
      </c>
      <c r="EO81" s="62">
        <f ca="1">AVERAGE(OFFSET($EN$3,0,0,'Données projet'!$E$15+1,1))-AVERAGE(OFFSET($H$3,0,0,'Données projet'!$E$15+1,1))</f>
        <v>288.82868507674738</v>
      </c>
      <c r="EP81" s="62">
        <f t="shared" si="100"/>
        <v>283.48738729114024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>
        <f>EXP(-LN(2)/35)*EV80+(1-EXP(-LN(2)/35))/(LN(2)/35)*ER81*ES81*VLOOKUP('Données projet'!$B$15,Paramètres!$A$1:$I$89,3,0)*0.475*44/12</f>
        <v>0.70090394836406533</v>
      </c>
      <c r="EW81" s="23">
        <f>EXP(-LN(2)/25)*EW80+(1-EXP(-LN(2)/25))/(LN(2)/25)*Calculateur!ER81*Calculateur!ET81*VLOOKUP('Données projet'!$B$15,Paramètres!$A$1:$I$89,3,0)*0.475*44/12</f>
        <v>0</v>
      </c>
      <c r="EX81" s="23">
        <f>EXP(-LN(2)/2)*EX80+(1-EXP(-LN(2)/2))/(LN(2)/2)*ER81*EU81*VLOOKUP('Données projet'!$B$15,Paramètres!$A$1:$I$89,3,0)*0.475*44/12</f>
        <v>0</v>
      </c>
      <c r="EY81" s="24">
        <f t="shared" si="75"/>
        <v>0.70090394836406533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>
        <f>VLOOKUP(A82,'Données projet'!$A$35:$I$55,2,0)</f>
        <v>496</v>
      </c>
      <c r="L82" s="13">
        <f>VLOOKUP(A82,'Données projet'!$A$35:$I$55,9,0)</f>
        <v>15.142857142857142</v>
      </c>
      <c r="M82" s="13">
        <f t="array" ref="M82">INDEX(L:L,MIN(IF(ISNUMBER(L82:L278),ROW(L82:L278),"")))</f>
        <v>15.142857142857142</v>
      </c>
      <c r="N82" s="14">
        <f>IF('Données projet'!$A$36&gt;35,N81+M82-V81,IF(A82&lt;'Données projet'!$A$36,$K$205^A82,IF(A82='Données projet'!$A$36,'Données projet'!$B$36,N81+M82-V81)))</f>
        <v>496.00000000000034</v>
      </c>
      <c r="O82" s="14">
        <f>N82*VLOOKUP('Données projet'!$B$9,Paramètres!$A$1:$I$89,3,0)*VLOOKUP('Données projet'!$B$9,Paramètres!$A$1:$I$89,5,0)</f>
        <v>232.12800000000016</v>
      </c>
      <c r="P82" s="14">
        <f t="shared" si="87"/>
        <v>56.742557967082448</v>
      </c>
      <c r="Q82" s="22">
        <f t="shared" si="54"/>
        <v>503.11622179266891</v>
      </c>
      <c r="R82" s="62">
        <f t="shared" si="55"/>
        <v>796.44955512600222</v>
      </c>
      <c r="S82" s="62">
        <f ca="1">AVERAGE(OFFSET($R$3,0,0,'Données projet'!$E$9+1,1))-AVERAGE(OFFSET($H$3,0,0,'Données projet'!$E$9+1,1))</f>
        <v>317.54276561627643</v>
      </c>
      <c r="T82" s="62">
        <f t="shared" si="88"/>
        <v>238.92443174298893</v>
      </c>
      <c r="U82" s="16">
        <f>IF(ISNA(VLOOKUP(A82,'Données projet'!$A$35:$I$55,3,0)),0,VLOOKUP(A82,'Données projet'!$A$35:$I$55,3,0))</f>
        <v>13</v>
      </c>
      <c r="V82" s="16">
        <f>IF(ISNA(VLOOKUP(A82,'Données projet'!$A$35:$I$55,4,0)),0,VLOOKUP(A82,'Données projet'!$A$35:$I$55,4,0))</f>
        <v>88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3.6</v>
      </c>
      <c r="AI82" s="14">
        <f>IF('Données projet'!$A$62&gt;35,AI81+AH82-AQ81,IF(A82&lt;'Données projet'!$A$62,$AF$205^A82,IF(A82='Données projet'!$A$62,'Données projet'!$B$62,AI81+AH82-AQ81)))</f>
        <v>229.39999999999992</v>
      </c>
      <c r="AJ82" s="14">
        <f>AI82*VLOOKUP('Données projet'!$B$10,Paramètres!$A$1:$I$89,3,0)*VLOOKUP('Données projet'!$B$10,Paramètres!$A$1:$I$89,5,0)</f>
        <v>200.40383999999997</v>
      </c>
      <c r="AK82" s="14">
        <f t="shared" si="89"/>
        <v>49.832909112305636</v>
      </c>
      <c r="AL82" s="22">
        <f t="shared" si="58"/>
        <v>435.82900470393224</v>
      </c>
      <c r="AM82" s="62">
        <f t="shared" si="59"/>
        <v>729.1623380372655</v>
      </c>
      <c r="AN82" s="62">
        <f ca="1">AVERAGE(OFFSET($AM$3,0,0,'Données projet'!$E$10+1,1))-AVERAGE(OFFSET($H$3,0,0,'Données projet'!$E$10+1,1))</f>
        <v>327.826081588335</v>
      </c>
      <c r="AO82" s="62">
        <f t="shared" si="90"/>
        <v>348.84706693879735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2.3288842982137838</v>
      </c>
      <c r="AV82" s="23">
        <f>EXP(-LN(2)/25)*AV81+(1-EXP(-LN(2)/25))/(LN(2)/25)*Calculateur!AQ82*Calculateur!AS82*VLOOKUP('Données projet'!$B$10,Paramètres!$A$1:$I$89,3,0)*0.475*44/12</f>
        <v>3.5262996253138699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5.8551839235276537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7.2</v>
      </c>
      <c r="BD82" s="13">
        <f>IF('Données projet'!$A$88&gt;35,BD81+BC82-BL81,IF(A82&lt;'Données projet'!$A$88,$BA$205^A82,IF(A82='Données projet'!$A$88,'Données projet'!$B$88,BD81+BC82-BL81)))</f>
        <v>312.8</v>
      </c>
      <c r="BE82" s="14">
        <f>BD82*VLOOKUP('Données projet'!$B$11,Paramètres!$A$1:$I$89,3,0)*VLOOKUP('Données projet'!$B$11,Paramètres!$A$1:$I$89,5,0)</f>
        <v>317.17920000000004</v>
      </c>
      <c r="BF82" s="14">
        <f t="shared" si="91"/>
        <v>74.766129261581426</v>
      </c>
      <c r="BG82" s="22">
        <f t="shared" si="61"/>
        <v>682.63811513058772</v>
      </c>
      <c r="BH82" s="62">
        <f t="shared" si="62"/>
        <v>975.97144846392098</v>
      </c>
      <c r="BI82" s="62">
        <f ca="1">AVERAGE(OFFSET($BH$3,0,0,'Données projet'!$E$11+1,1))-AVERAGE(OFFSET($H$3,0,0,'Données projet'!$E$11+1,1))</f>
        <v>487.04124684635974</v>
      </c>
      <c r="BJ82" s="62">
        <f t="shared" si="92"/>
        <v>306.61893266146666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1.0228208066479456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1.0228208066479456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7.2</v>
      </c>
      <c r="BY82" s="13">
        <f>IF('Données projet'!$A$114&gt;35,BY81+BX82-CG81,IF(A82&lt;'Données projet'!$A$114,$BV$205^A82,IF(A82='Données projet'!$A$114,'Données projet'!$B$114,BY81+BX82-CG81)))</f>
        <v>312.8</v>
      </c>
      <c r="BZ82" s="14">
        <f>BY82*VLOOKUP('Données projet'!$B$12,Paramètres!$A$1:$I$89,3,0)*VLOOKUP('Données projet'!$B$12,Paramètres!$A$1:$I$89,5,0)</f>
        <v>283.02144000000004</v>
      </c>
      <c r="CA82" s="14">
        <f t="shared" si="93"/>
        <v>67.605126603830598</v>
      </c>
      <c r="CB82" s="22">
        <f t="shared" si="64"/>
        <v>610.67460350167164</v>
      </c>
      <c r="CC82" s="62">
        <f t="shared" si="65"/>
        <v>904.00793683500501</v>
      </c>
      <c r="CD82" s="62">
        <f ca="1">AVERAGE(OFFSET($CC$3,0,0,'Données projet'!$E$12+1,1))-AVERAGE(OFFSET($H$3,0,0,'Données projet'!$E$12+1,1))</f>
        <v>439.06700232017681</v>
      </c>
      <c r="CE82" s="62">
        <f t="shared" si="94"/>
        <v>278.21741231699929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0.91267087362432042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0.91267087362432042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3.6</v>
      </c>
      <c r="CT82" s="13">
        <f>IF('Données projet'!$A$140&gt;35,CT81+CS82-DB81,IF(A82&lt;'Données projet'!$A$140,$CQ$205^A82,IF(A82='Données projet'!$A$140,'Données projet'!$B$140,CT81+CS82-DB81)))</f>
        <v>325.39999999999969</v>
      </c>
      <c r="CU82" s="18">
        <f>CT82*VLOOKUP('Données projet'!$B$13,Paramètres!$A$1:$I$89,3,0)*VLOOKUP('Données projet'!$B$13,Paramètres!$A$1:$I$89,5,0)</f>
        <v>238.58327999999977</v>
      </c>
      <c r="CV82" s="14">
        <f t="shared" si="95"/>
        <v>58.134611321731605</v>
      </c>
      <c r="CW82" s="22">
        <f t="shared" si="67"/>
        <v>516.78366071868209</v>
      </c>
      <c r="CX82" s="62">
        <f t="shared" si="68"/>
        <v>810.11699405201534</v>
      </c>
      <c r="CY82" s="62">
        <f ca="1">AVERAGE(OFFSET($CX$3,0,0,'Données projet'!$E$13+1,1))-AVERAGE(OFFSET($H$3,0,0,'Données projet'!$E$13+1,1))</f>
        <v>327.81662150328646</v>
      </c>
      <c r="CZ82" s="62">
        <f t="shared" si="96"/>
        <v>320.24200483294322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0.75837760223110406</v>
      </c>
      <c r="DG82" s="23">
        <f>EXP(-LN(2)/25)*DG81+(1-EXP(-LN(2)/25))/(LN(2)/25)*Calculateur!DB82*Calculateur!DD82*VLOOKUP('Données projet'!$B$13,Paramètres!$A$1:$I$89,3,0)*0.475*44/12</f>
        <v>0</v>
      </c>
      <c r="DH82" s="23">
        <f>EXP(-LN(2)/2)*DH81+(1-EXP(-LN(2)/2))/(LN(2)/2)*DB82*DE82*VLOOKUP('Données projet'!$B$13,Paramètres!$A$1:$I$89,3,0)*0.475*44/12</f>
        <v>0</v>
      </c>
      <c r="DI82" s="24">
        <f t="shared" si="69"/>
        <v>0.75837760223110406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4</v>
      </c>
      <c r="DO82" s="13">
        <f>IF('Données projet'!$A$166&gt;35,DO81+DN82-DW81,IF(A82&lt;'Données projet'!$A$166,$DL$205^A82,IF(A82='Données projet'!$A$166,'Données projet'!$B$166,DO81+DN82-DW81)))</f>
        <v>192.00000000000003</v>
      </c>
      <c r="DP82" s="18">
        <f>DO82*VLOOKUP('Données projet'!$B$14,Paramètres!$A$1:$I$89,3,0)*VLOOKUP('Données projet'!$B$14,Paramètres!$A$1:$I$89,5,0)</f>
        <v>125.79840000000003</v>
      </c>
      <c r="DQ82" s="14">
        <f t="shared" si="97"/>
        <v>33.023644363399953</v>
      </c>
      <c r="DR82" s="22">
        <f t="shared" si="70"/>
        <v>276.61506059958828</v>
      </c>
      <c r="DS82" s="62">
        <f t="shared" si="71"/>
        <v>569.94839393292159</v>
      </c>
      <c r="DT82" s="62">
        <f ca="1">AVERAGE(OFFSET($DS$3,0,0,'Données projet'!$E$14+1,1))-AVERAGE(OFFSET($H$3,0,0,'Données projet'!$E$14+1,1))</f>
        <v>210.08998695869161</v>
      </c>
      <c r="DU82" s="62">
        <f t="shared" si="98"/>
        <v>207.30911916430881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>
        <f>EXP(-LN(2)/35)*EA81+(1-EXP(-LN(2)/35))/(LN(2)/35)*DW82*DX82*VLOOKUP('Données projet'!$B$14,Paramètres!$A$1:$I$89,3,0)*0.475*44/12</f>
        <v>0.17426549157650886</v>
      </c>
      <c r="EB82" s="23">
        <f>EXP(-LN(2)/25)*EB81+(1-EXP(-LN(2)/25))/(LN(2)/25)*Calculateur!DW82*Calculateur!DY82*VLOOKUP('Données projet'!$B$14,Paramètres!$A$1:$I$89,3,0)*0.475*44/12</f>
        <v>0</v>
      </c>
      <c r="EC82" s="23">
        <f>EXP(-LN(2)/2)*EC81+(1-EXP(-LN(2)/2))/(LN(2)/2)*DW82*DZ82*VLOOKUP('Données projet'!$B$14,Paramètres!$A$1:$I$89,3,0)*0.475*44/12</f>
        <v>0</v>
      </c>
      <c r="ED82" s="24">
        <f t="shared" si="72"/>
        <v>0.17426549157650886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5.6843418860808015E-14</v>
      </c>
      <c r="EK82" s="18">
        <f>EJ82*VLOOKUP('Données projet'!$B$15,Paramètres!$A$1:$I$89,3,0)*VLOOKUP('Données projet'!$B$15,Paramètres!$A$1:$I$89,5,0)</f>
        <v>4.4337866711430253E-14</v>
      </c>
      <c r="EL82" s="14">
        <f t="shared" si="99"/>
        <v>7.3222115536967035E-13</v>
      </c>
      <c r="EM82" s="22">
        <f t="shared" si="73"/>
        <v>1.3525069634579169E-12</v>
      </c>
      <c r="EN82" s="62">
        <f t="shared" si="74"/>
        <v>293.33333333333468</v>
      </c>
      <c r="EO82" s="62">
        <f ca="1">AVERAGE(OFFSET($EN$3,0,0,'Données projet'!$E$15+1,1))-AVERAGE(OFFSET($H$3,0,0,'Données projet'!$E$15+1,1))</f>
        <v>288.82868507674738</v>
      </c>
      <c r="EP82" s="62">
        <f t="shared" si="100"/>
        <v>283.48738729114024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>
        <f>EXP(-LN(2)/35)*EV81+(1-EXP(-LN(2)/35))/(LN(2)/35)*ER82*ES82*VLOOKUP('Données projet'!$B$15,Paramètres!$A$1:$I$89,3,0)*0.475*44/12</f>
        <v>0.68715964944584151</v>
      </c>
      <c r="EW82" s="23">
        <f>EXP(-LN(2)/25)*EW81+(1-EXP(-LN(2)/25))/(LN(2)/25)*Calculateur!ER82*Calculateur!ET82*VLOOKUP('Données projet'!$B$15,Paramètres!$A$1:$I$89,3,0)*0.475*44/12</f>
        <v>0</v>
      </c>
      <c r="EX82" s="23">
        <f>EXP(-LN(2)/2)*EX81+(1-EXP(-LN(2)/2))/(LN(2)/2)*ER82*EU82*VLOOKUP('Données projet'!$B$15,Paramètres!$A$1:$I$89,3,0)*0.475*44/12</f>
        <v>0</v>
      </c>
      <c r="EY82" s="24">
        <f t="shared" si="75"/>
        <v>0.68715964944584151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423</v>
      </c>
      <c r="L83" s="13">
        <f>VLOOKUP(A83,'Données projet'!$A$35:$I$55,9,0)</f>
        <v>15</v>
      </c>
      <c r="M83" s="13">
        <f t="array" ref="M83">INDEX(L:L,MIN(IF(ISNUMBER(L83:L279),ROW(L83:L279),"")))</f>
        <v>15</v>
      </c>
      <c r="N83" s="14">
        <f>IF('Données projet'!$A$36&gt;35,N82+M83-V82,IF(A83&lt;'Données projet'!$A$36,$K$205^A83,IF(A83='Données projet'!$A$36,'Données projet'!$B$36,N82+M83-V82)))</f>
        <v>423.00000000000034</v>
      </c>
      <c r="O83" s="14">
        <f>N83*VLOOKUP('Données projet'!$B$9,Paramètres!$A$1:$I$89,3,0)*VLOOKUP('Données projet'!$B$9,Paramètres!$A$1:$I$89,5,0)</f>
        <v>197.96400000000017</v>
      </c>
      <c r="P83" s="14">
        <f t="shared" si="87"/>
        <v>49.296450435147804</v>
      </c>
      <c r="Q83" s="22">
        <f t="shared" si="54"/>
        <v>430.64528450788265</v>
      </c>
      <c r="R83" s="62">
        <f t="shared" si="55"/>
        <v>723.97861784121596</v>
      </c>
      <c r="S83" s="62">
        <f ca="1">AVERAGE(OFFSET($R$3,0,0,'Données projet'!$E$9+1,1))-AVERAGE(OFFSET($H$3,0,0,'Données projet'!$E$9+1,1))</f>
        <v>317.54276561627643</v>
      </c>
      <c r="T83" s="62">
        <f t="shared" si="88"/>
        <v>238.92443174298893</v>
      </c>
      <c r="U83" s="16">
        <f>IF(ISNA(VLOOKUP(A83,'Données projet'!$A$35:$I$55,3,0)),0,VLOOKUP(A83,'Données projet'!$A$35:$I$55,3,0))</f>
        <v>14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233</v>
      </c>
      <c r="AG83" s="13">
        <f>VLOOKUP(A83,'Données projet'!$A$61:$I$81,9,0)</f>
        <v>3.6</v>
      </c>
      <c r="AH83" s="13">
        <f t="array" ref="AH83">INDEX(AG:AG,MIN(IF(ISNUMBER(AG83:AG279),ROW(AG83:AG279),"")))</f>
        <v>3.6</v>
      </c>
      <c r="AI83" s="14">
        <f>IF('Données projet'!$A$62&gt;35,AI82+AH83-AQ82,IF(A83&lt;'Données projet'!$A$62,$AF$205^A83,IF(A83='Données projet'!$A$62,'Données projet'!$B$62,AI82+AH83-AQ82)))</f>
        <v>232.99999999999991</v>
      </c>
      <c r="AJ83" s="14">
        <f>AI83*VLOOKUP('Données projet'!$B$10,Paramètres!$A$1:$I$89,3,0)*VLOOKUP('Données projet'!$B$10,Paramètres!$A$1:$I$89,5,0)</f>
        <v>203.54879999999994</v>
      </c>
      <c r="AK83" s="14">
        <f t="shared" si="89"/>
        <v>50.523286400023487</v>
      </c>
      <c r="AL83" s="22">
        <f t="shared" si="58"/>
        <v>442.5088838133741</v>
      </c>
      <c r="AM83" s="62">
        <f t="shared" si="59"/>
        <v>735.84221714670741</v>
      </c>
      <c r="AN83" s="62">
        <f ca="1">AVERAGE(OFFSET($AM$3,0,0,'Données projet'!$E$10+1,1))-AVERAGE(OFFSET($H$3,0,0,'Données projet'!$E$10+1,1))</f>
        <v>327.826081588335</v>
      </c>
      <c r="AO83" s="62">
        <f t="shared" si="90"/>
        <v>348.84706693879735</v>
      </c>
      <c r="AP83" s="16">
        <f>IF(ISNA(VLOOKUP(A83,'Données projet'!$A$61:$I$81,3,0)),0,VLOOKUP(A83,'Données projet'!$A$61:$I$81,3,0))</f>
        <v>13</v>
      </c>
      <c r="AQ83" s="16">
        <f>IF(ISNA(VLOOKUP(A83,'Données projet'!$A$61:$I$81,4,0)),0,VLOOKUP(A83,'Données projet'!$A$61:$I$81,4,0))</f>
        <v>13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2.2832162976049726</v>
      </c>
      <c r="AV83" s="23">
        <f>EXP(-LN(2)/25)*AV82+(1-EXP(-LN(2)/25))/(LN(2)/25)*Calculateur!AQ83*Calculateur!AS83*VLOOKUP('Données projet'!$B$10,Paramètres!$A$1:$I$89,3,0)*0.475*44/12</f>
        <v>3.4298727766196242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5.7130890742245963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320</v>
      </c>
      <c r="BB83" s="13">
        <f>VLOOKUP(A83,'Données projet'!$A$87:$I$107,9,0)</f>
        <v>7.2</v>
      </c>
      <c r="BC83" s="13">
        <f t="array" ref="BC83">INDEX(BB:BB,MIN(IF(ISNUMBER(BB83:BB279),ROW(BB83:BB279),"")))</f>
        <v>7.2</v>
      </c>
      <c r="BD83" s="13">
        <f>IF('Données projet'!$A$88&gt;35,BD82+BC83-BL82,IF(A83&lt;'Données projet'!$A$88,$BA$205^A83,IF(A83='Données projet'!$A$88,'Données projet'!$B$88,BD82+BC83-BL82)))</f>
        <v>320</v>
      </c>
      <c r="BE83" s="14">
        <f>BD83*VLOOKUP('Données projet'!$B$11,Paramètres!$A$1:$I$89,3,0)*VLOOKUP('Données projet'!$B$11,Paramètres!$A$1:$I$89,5,0)</f>
        <v>324.48</v>
      </c>
      <c r="BF83" s="14">
        <f t="shared" si="91"/>
        <v>76.284749200165578</v>
      </c>
      <c r="BG83" s="22">
        <f t="shared" si="61"/>
        <v>697.99860485695501</v>
      </c>
      <c r="BH83" s="62">
        <f t="shared" si="62"/>
        <v>991.33193819028838</v>
      </c>
      <c r="BI83" s="62">
        <f ca="1">AVERAGE(OFFSET($BH$3,0,0,'Données projet'!$E$11+1,1))-AVERAGE(OFFSET($H$3,0,0,'Données projet'!$E$11+1,1))</f>
        <v>487.04124684635974</v>
      </c>
      <c r="BJ83" s="62">
        <f t="shared" si="92"/>
        <v>306.61893266146666</v>
      </c>
      <c r="BK83" s="16">
        <f>IF(ISNA(VLOOKUP(A83,'Données projet'!$A$87:$I$107,3,0)),0,VLOOKUP(A83,'Données projet'!$A$87:$I$107,3,0))</f>
        <v>13</v>
      </c>
      <c r="BL83" s="23">
        <f>IF(ISNA(VLOOKUP(A83,'Données projet'!$A$87:$I$107,4,0)),0,VLOOKUP(A83,'Données projet'!$A$87:$I$107,4,0))</f>
        <v>28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1.0027639144886704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1.0027639144886704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>
        <f>VLOOKUP(A83,'Données projet'!$A$113:$I$133,2,0)</f>
        <v>320</v>
      </c>
      <c r="BW83" s="13">
        <f>VLOOKUP(A83,'Données projet'!$A$113:$I$133,9,0)</f>
        <v>7.2</v>
      </c>
      <c r="BX83" s="13">
        <f t="array" ref="BX83">INDEX(BW:BW,MIN(IF(ISNUMBER(BW83:BW279),ROW(BW83:BW279),"")))</f>
        <v>7.2</v>
      </c>
      <c r="BY83" s="13">
        <f>IF('Données projet'!$A$114&gt;35,BY82+BX83-CG82,IF(A83&lt;'Données projet'!$A$114,$BV$205^A83,IF(A83='Données projet'!$A$114,'Données projet'!$B$114,BY82+BX83-CG82)))</f>
        <v>320</v>
      </c>
      <c r="BZ83" s="14">
        <f>BY83*VLOOKUP('Données projet'!$B$12,Paramètres!$A$1:$I$89,3,0)*VLOOKUP('Données projet'!$B$12,Paramètres!$A$1:$I$89,5,0)</f>
        <v>289.536</v>
      </c>
      <c r="CA83" s="14">
        <f t="shared" si="93"/>
        <v>68.97829509904436</v>
      </c>
      <c r="CB83" s="22">
        <f t="shared" si="64"/>
        <v>624.41239729750225</v>
      </c>
      <c r="CC83" s="62">
        <f t="shared" si="65"/>
        <v>917.74573063083562</v>
      </c>
      <c r="CD83" s="62">
        <f ca="1">AVERAGE(OFFSET($CC$3,0,0,'Données projet'!$E$12+1,1))-AVERAGE(OFFSET($H$3,0,0,'Données projet'!$E$12+1,1))</f>
        <v>439.06700232017681</v>
      </c>
      <c r="CE83" s="62">
        <f t="shared" si="94"/>
        <v>278.21741231699929</v>
      </c>
      <c r="CF83" s="16">
        <f>IF(ISNA(VLOOKUP(A83,'Données projet'!$A$113:$I$133,3,0)),0,VLOOKUP(A83,'Données projet'!$A$113:$I$133,3,0))</f>
        <v>13</v>
      </c>
      <c r="CG83" s="16">
        <f>IF(ISNA(VLOOKUP(A83,'Données projet'!$A$113:$I$133,4,0)),0,VLOOKUP(A83,'Données projet'!$A$113:$I$133,4,0))</f>
        <v>28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0.8947739544668134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0.8947739544668134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>
        <f>VLOOKUP(A83,'Données projet'!$A$139:$I$159,2,0)</f>
        <v>329</v>
      </c>
      <c r="CR83" s="13">
        <f>VLOOKUP(A83,'Données projet'!$A$139:$I$159,9,0)</f>
        <v>3.6</v>
      </c>
      <c r="CS83" s="13">
        <f t="array" ref="CS83">INDEX(CR:CR,MIN(IF(ISNUMBER(CR83:CR279),ROW(CR83:CR279),"")))</f>
        <v>3.6</v>
      </c>
      <c r="CT83" s="13">
        <f>IF('Données projet'!$A$140&gt;35,CT82+CS83-DB82,IF(A83&lt;'Données projet'!$A$140,$CQ$205^A83,IF(A83='Données projet'!$A$140,'Données projet'!$B$140,CT82+CS83-DB82)))</f>
        <v>328.99999999999972</v>
      </c>
      <c r="CU83" s="18">
        <f>CT83*VLOOKUP('Données projet'!$B$13,Paramètres!$A$1:$I$89,3,0)*VLOOKUP('Données projet'!$B$13,Paramètres!$A$1:$I$89,5,0)</f>
        <v>241.22279999999978</v>
      </c>
      <c r="CV83" s="14">
        <f t="shared" si="95"/>
        <v>58.702543992248778</v>
      </c>
      <c r="CW83" s="22">
        <f t="shared" si="67"/>
        <v>522.36997411983293</v>
      </c>
      <c r="CX83" s="62">
        <f t="shared" si="68"/>
        <v>815.70330745316619</v>
      </c>
      <c r="CY83" s="62">
        <f ca="1">AVERAGE(OFFSET($CX$3,0,0,'Données projet'!$E$13+1,1))-AVERAGE(OFFSET($H$3,0,0,'Données projet'!$E$13+1,1))</f>
        <v>327.81662150328646</v>
      </c>
      <c r="CZ83" s="62">
        <f t="shared" si="96"/>
        <v>320.24200483294322</v>
      </c>
      <c r="DA83" s="16">
        <f>IF(ISNA(VLOOKUP(A83,'Données projet'!$A$139:$I$159,3,0)),0,VLOOKUP(A83,'Données projet'!$A$139:$I$159,3,0))</f>
        <v>15</v>
      </c>
      <c r="DB83" s="16">
        <f>IF(ISNA(VLOOKUP(A83,'Données projet'!$A$139:$I$159,4,0)),0,VLOOKUP(A83,'Données projet'!$A$139:$I$159,4,0))</f>
        <v>11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0.74350628001601504</v>
      </c>
      <c r="DG83" s="23">
        <f>EXP(-LN(2)/25)*DG82+(1-EXP(-LN(2)/25))/(LN(2)/25)*Calculateur!DB83*Calculateur!DD83*VLOOKUP('Données projet'!$B$13,Paramètres!$A$1:$I$89,3,0)*0.475*44/12</f>
        <v>0</v>
      </c>
      <c r="DH83" s="23">
        <f>EXP(-LN(2)/2)*DH82+(1-EXP(-LN(2)/2))/(LN(2)/2)*DB83*DE83*VLOOKUP('Données projet'!$B$13,Paramètres!$A$1:$I$89,3,0)*0.475*44/12</f>
        <v>0</v>
      </c>
      <c r="DI83" s="24">
        <f t="shared" si="69"/>
        <v>0.74350628001601504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>
        <f>VLOOKUP(A83,'Données projet'!$A$165:$I$185,2,0)</f>
        <v>196</v>
      </c>
      <c r="DM83" s="13">
        <f>VLOOKUP(A83,'Données projet'!$A$165:$I$185,9,0)</f>
        <v>4</v>
      </c>
      <c r="DN83" s="13">
        <f t="array" ref="DN83">INDEX(DM:DM,MIN(IF(ISNUMBER(DM83:DM279),ROW(DM83:DM279),"")))</f>
        <v>4</v>
      </c>
      <c r="DO83" s="13">
        <f>IF('Données projet'!$A$166&gt;35,DO82+DN83-DW82,IF(A83&lt;'Données projet'!$A$166,$DL$205^A83,IF(A83='Données projet'!$A$166,'Données projet'!$B$166,DO82+DN83-DW82)))</f>
        <v>196.00000000000003</v>
      </c>
      <c r="DP83" s="18">
        <f>DO83*VLOOKUP('Données projet'!$B$14,Paramètres!$A$1:$I$89,3,0)*VLOOKUP('Données projet'!$B$14,Paramètres!$A$1:$I$89,5,0)</f>
        <v>128.41920000000002</v>
      </c>
      <c r="DQ83" s="14">
        <f t="shared" si="97"/>
        <v>33.630823177860762</v>
      </c>
      <c r="DR83" s="22">
        <f t="shared" si="70"/>
        <v>282.23712370144091</v>
      </c>
      <c r="DS83" s="62">
        <f t="shared" si="71"/>
        <v>575.57045703477422</v>
      </c>
      <c r="DT83" s="62">
        <f ca="1">AVERAGE(OFFSET($DS$3,0,0,'Données projet'!$E$14+1,1))-AVERAGE(OFFSET($H$3,0,0,'Données projet'!$E$14+1,1))</f>
        <v>210.08998695869161</v>
      </c>
      <c r="DU83" s="62">
        <f t="shared" si="98"/>
        <v>207.30911916430881</v>
      </c>
      <c r="DV83" s="16">
        <f>IF(ISNA(VLOOKUP(A83,'Données projet'!$A$165:$I$185,3,0)),0,VLOOKUP(A83,'Données projet'!$A$165:$I$185,3,0))</f>
        <v>15</v>
      </c>
      <c r="DW83" s="16">
        <f>IF(ISNA(VLOOKUP(A83,'Données projet'!$A$165:$I$185,4,0)),0,VLOOKUP(A83,'Données projet'!$A$165:$I$185,4,0))</f>
        <v>15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>
        <f>EXP(-LN(2)/35)*EA82+(1-EXP(-LN(2)/35))/(LN(2)/35)*DW83*DX83*VLOOKUP('Données projet'!$B$14,Paramètres!$A$1:$I$89,3,0)*0.475*44/12</f>
        <v>0.17084825157814798</v>
      </c>
      <c r="EB83" s="23">
        <f>EXP(-LN(2)/25)*EB82+(1-EXP(-LN(2)/25))/(LN(2)/25)*Calculateur!DW83*Calculateur!DY83*VLOOKUP('Données projet'!$B$14,Paramètres!$A$1:$I$89,3,0)*0.475*44/12</f>
        <v>0</v>
      </c>
      <c r="EC83" s="23">
        <f>EXP(-LN(2)/2)*EC82+(1-EXP(-LN(2)/2))/(LN(2)/2)*DW83*DZ83*VLOOKUP('Données projet'!$B$14,Paramètres!$A$1:$I$89,3,0)*0.475*44/12</f>
        <v>0</v>
      </c>
      <c r="ED83" s="24">
        <f t="shared" si="72"/>
        <v>0.17084825157814798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5.6843418860808015E-14</v>
      </c>
      <c r="EK83" s="18">
        <f>EJ83*VLOOKUP('Données projet'!$B$15,Paramètres!$A$1:$I$89,3,0)*VLOOKUP('Données projet'!$B$15,Paramètres!$A$1:$I$89,5,0)</f>
        <v>4.4337866711430253E-14</v>
      </c>
      <c r="EL83" s="14">
        <f t="shared" si="99"/>
        <v>7.3222115536967035E-13</v>
      </c>
      <c r="EM83" s="22">
        <f t="shared" si="73"/>
        <v>1.3525069634579169E-12</v>
      </c>
      <c r="EN83" s="62">
        <f t="shared" si="74"/>
        <v>293.33333333333468</v>
      </c>
      <c r="EO83" s="62">
        <f ca="1">AVERAGE(OFFSET($EN$3,0,0,'Données projet'!$E$15+1,1))-AVERAGE(OFFSET($H$3,0,0,'Données projet'!$E$15+1,1))</f>
        <v>288.82868507674738</v>
      </c>
      <c r="EP83" s="62">
        <f t="shared" si="100"/>
        <v>283.48738729114024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>
        <f>EXP(-LN(2)/35)*EV82+(1-EXP(-LN(2)/35))/(LN(2)/35)*ER83*ES83*VLOOKUP('Données projet'!$B$15,Paramètres!$A$1:$I$89,3,0)*0.475*44/12</f>
        <v>0.67368486784620951</v>
      </c>
      <c r="EW83" s="23">
        <f>EXP(-LN(2)/25)*EW82+(1-EXP(-LN(2)/25))/(LN(2)/25)*Calculateur!ER83*Calculateur!ET83*VLOOKUP('Données projet'!$B$15,Paramètres!$A$1:$I$89,3,0)*0.475*44/12</f>
        <v>0</v>
      </c>
      <c r="EX83" s="23">
        <f>EXP(-LN(2)/2)*EX82+(1-EXP(-LN(2)/2))/(LN(2)/2)*ER83*EU83*VLOOKUP('Données projet'!$B$15,Paramètres!$A$1:$I$89,3,0)*0.475*44/12</f>
        <v>0</v>
      </c>
      <c r="EY83" s="24">
        <f t="shared" si="75"/>
        <v>0.67368486784620951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14.142857142857142</v>
      </c>
      <c r="N84" s="14">
        <f>IF('Données projet'!$A$36&gt;35,N83+M84-V83,IF(A84&lt;'Données projet'!$A$36,$K$205^A84,IF(A84='Données projet'!$A$36,'Données projet'!$B$36,N83+M84-V83)))</f>
        <v>437.14285714285751</v>
      </c>
      <c r="O84" s="14">
        <f>N84*VLOOKUP('Données projet'!$B$9,Paramètres!$A$1:$I$89,3,0)*VLOOKUP('Données projet'!$B$9,Paramètres!$A$1:$I$89,5,0)</f>
        <v>204.58285714285734</v>
      </c>
      <c r="P84" s="14">
        <f t="shared" si="87"/>
        <v>50.750009154879976</v>
      </c>
      <c r="Q84" s="22">
        <f t="shared" si="54"/>
        <v>444.70474213522584</v>
      </c>
      <c r="R84" s="62">
        <f t="shared" si="55"/>
        <v>738.0380754685591</v>
      </c>
      <c r="S84" s="62">
        <f ca="1">AVERAGE(OFFSET($R$3,0,0,'Données projet'!$E$9+1,1))-AVERAGE(OFFSET($H$3,0,0,'Données projet'!$E$9+1,1))</f>
        <v>317.54276561627643</v>
      </c>
      <c r="T84" s="62">
        <f t="shared" si="88"/>
        <v>238.92443174298893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3</v>
      </c>
      <c r="AI84" s="14">
        <f>IF('Données projet'!$A$62&gt;35,AI83+AH84-AQ83,IF(A84&lt;'Données projet'!$A$62,$AF$205^A84,IF(A84='Données projet'!$A$62,'Données projet'!$B$62,AI83+AH84-AQ83)))</f>
        <v>222.99999999999991</v>
      </c>
      <c r="AJ84" s="14">
        <f>AI84*VLOOKUP('Données projet'!$B$10,Paramètres!$A$1:$I$89,3,0)*VLOOKUP('Données projet'!$B$10,Paramètres!$A$1:$I$89,5,0)</f>
        <v>194.81279999999995</v>
      </c>
      <c r="AK84" s="14">
        <f t="shared" si="89"/>
        <v>48.602440540253859</v>
      </c>
      <c r="AL84" s="22">
        <f t="shared" si="58"/>
        <v>423.9482106076087</v>
      </c>
      <c r="AM84" s="62">
        <f t="shared" si="59"/>
        <v>717.28154394094202</v>
      </c>
      <c r="AN84" s="62">
        <f ca="1">AVERAGE(OFFSET($AM$3,0,0,'Données projet'!$E$10+1,1))-AVERAGE(OFFSET($H$3,0,0,'Données projet'!$E$10+1,1))</f>
        <v>327.826081588335</v>
      </c>
      <c r="AO84" s="62">
        <f t="shared" si="90"/>
        <v>348.84706693879735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2.2384438186333702</v>
      </c>
      <c r="AV84" s="23">
        <f>EXP(-LN(2)/25)*AV83+(1-EXP(-LN(2)/25))/(LN(2)/25)*Calculateur!AQ84*Calculateur!AS84*VLOOKUP('Données projet'!$B$10,Paramètres!$A$1:$I$89,3,0)*0.475*44/12</f>
        <v>3.3360827251737901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5.5745265438071598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6.8</v>
      </c>
      <c r="BD84" s="13">
        <f>IF('Données projet'!$A$88&gt;35,BD83+BC84-BL83,IF(A84&lt;'Données projet'!$A$88,$BA$205^A84,IF(A84='Données projet'!$A$88,'Données projet'!$B$88,BD83+BC84-BL83)))</f>
        <v>298.8</v>
      </c>
      <c r="BE84" s="14">
        <f>BD84*VLOOKUP('Données projet'!$B$11,Paramètres!$A$1:$I$89,3,0)*VLOOKUP('Données projet'!$B$11,Paramètres!$A$1:$I$89,5,0)</f>
        <v>302.98320000000007</v>
      </c>
      <c r="BF84" s="14">
        <f t="shared" si="91"/>
        <v>71.801496173397709</v>
      </c>
      <c r="BG84" s="22">
        <f t="shared" si="61"/>
        <v>652.75001250200114</v>
      </c>
      <c r="BH84" s="62">
        <f t="shared" si="62"/>
        <v>946.08334583533451</v>
      </c>
      <c r="BI84" s="62">
        <f ca="1">AVERAGE(OFFSET($BH$3,0,0,'Données projet'!$E$11+1,1))-AVERAGE(OFFSET($H$3,0,0,'Données projet'!$E$11+1,1))</f>
        <v>487.04124684635974</v>
      </c>
      <c r="BJ84" s="62">
        <f t="shared" si="92"/>
        <v>306.61893266146666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0.98310032575114237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0.98310032575114237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6.8</v>
      </c>
      <c r="BY84" s="13">
        <f>IF('Données projet'!$A$114&gt;35,BY83+BX84-CG83,IF(A84&lt;'Données projet'!$A$114,$BV$205^A84,IF(A84='Données projet'!$A$114,'Données projet'!$B$114,BY83+BX84-CG83)))</f>
        <v>298.8</v>
      </c>
      <c r="BZ84" s="14">
        <f>BY84*VLOOKUP('Données projet'!$B$12,Paramètres!$A$1:$I$89,3,0)*VLOOKUP('Données projet'!$B$12,Paramètres!$A$1:$I$89,5,0)</f>
        <v>270.35424</v>
      </c>
      <c r="CA84" s="14">
        <f t="shared" si="93"/>
        <v>64.924442218534367</v>
      </c>
      <c r="CB84" s="22">
        <f t="shared" si="64"/>
        <v>583.94370486394735</v>
      </c>
      <c r="CC84" s="62">
        <f t="shared" si="65"/>
        <v>877.27703819728072</v>
      </c>
      <c r="CD84" s="62">
        <f ca="1">AVERAGE(OFFSET($CC$3,0,0,'Données projet'!$E$12+1,1))-AVERAGE(OFFSET($H$3,0,0,'Données projet'!$E$12+1,1))</f>
        <v>439.06700232017681</v>
      </c>
      <c r="CE84" s="62">
        <f t="shared" si="94"/>
        <v>278.21741231699929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0.87722798297794224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0.87722798297794224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317.99999999999972</v>
      </c>
      <c r="CU84" s="18">
        <f>CT84*VLOOKUP('Données projet'!$B$13,Paramètres!$A$1:$I$89,3,0)*VLOOKUP('Données projet'!$B$13,Paramètres!$A$1:$I$89,5,0)</f>
        <v>233.1575999999998</v>
      </c>
      <c r="CV84" s="14">
        <f t="shared" si="95"/>
        <v>56.964885721091697</v>
      </c>
      <c r="CW84" s="22">
        <f t="shared" si="67"/>
        <v>505.29666263090093</v>
      </c>
      <c r="CX84" s="62">
        <f t="shared" si="68"/>
        <v>798.62999596423424</v>
      </c>
      <c r="CY84" s="62">
        <f ca="1">AVERAGE(OFFSET($CX$3,0,0,'Données projet'!$E$13+1,1))-AVERAGE(OFFSET($H$3,0,0,'Données projet'!$E$13+1,1))</f>
        <v>327.81662150328646</v>
      </c>
      <c r="CZ84" s="62">
        <f t="shared" si="96"/>
        <v>320.24200483294322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0.728926575358953</v>
      </c>
      <c r="DG84" s="23">
        <f>EXP(-LN(2)/25)*DG83+(1-EXP(-LN(2)/25))/(LN(2)/25)*Calculateur!DB84*Calculateur!DD84*VLOOKUP('Données projet'!$B$13,Paramètres!$A$1:$I$89,3,0)*0.475*44/12</f>
        <v>0</v>
      </c>
      <c r="DH84" s="23">
        <f>EXP(-LN(2)/2)*DH83+(1-EXP(-LN(2)/2))/(LN(2)/2)*DB84*DE84*VLOOKUP('Données projet'!$B$13,Paramètres!$A$1:$I$89,3,0)*0.475*44/12</f>
        <v>0</v>
      </c>
      <c r="DI84" s="24">
        <f t="shared" si="69"/>
        <v>0.728926575358953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3.8</v>
      </c>
      <c r="DO84" s="13">
        <f>IF('Données projet'!$A$166&gt;35,DO83+DN84-DW83,IF(A84&lt;'Données projet'!$A$166,$DL$205^A84,IF(A84='Données projet'!$A$166,'Données projet'!$B$166,DO83+DN84-DW83)))</f>
        <v>184.80000000000004</v>
      </c>
      <c r="DP84" s="18">
        <f>DO84*VLOOKUP('Données projet'!$B$14,Paramètres!$A$1:$I$89,3,0)*VLOOKUP('Données projet'!$B$14,Paramètres!$A$1:$I$89,5,0)</f>
        <v>121.08096000000002</v>
      </c>
      <c r="DQ84" s="14">
        <f t="shared" si="97"/>
        <v>31.92698372788707</v>
      </c>
      <c r="DR84" s="22">
        <f t="shared" si="70"/>
        <v>266.48883532606999</v>
      </c>
      <c r="DS84" s="62">
        <f t="shared" si="71"/>
        <v>559.82216865940336</v>
      </c>
      <c r="DT84" s="62">
        <f ca="1">AVERAGE(OFFSET($DS$3,0,0,'Données projet'!$E$14+1,1))-AVERAGE(OFFSET($H$3,0,0,'Données projet'!$E$14+1,1))</f>
        <v>210.08998695869161</v>
      </c>
      <c r="DU84" s="62">
        <f t="shared" si="98"/>
        <v>207.30911916430881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>
        <f>EXP(-LN(2)/35)*EA83+(1-EXP(-LN(2)/35))/(LN(2)/35)*DW84*DX84*VLOOKUP('Données projet'!$B$14,Paramètres!$A$1:$I$89,3,0)*0.475*44/12</f>
        <v>0.16749802157184435</v>
      </c>
      <c r="EB84" s="23">
        <f>EXP(-LN(2)/25)*EB83+(1-EXP(-LN(2)/25))/(LN(2)/25)*Calculateur!DW84*Calculateur!DY84*VLOOKUP('Données projet'!$B$14,Paramètres!$A$1:$I$89,3,0)*0.475*44/12</f>
        <v>0</v>
      </c>
      <c r="EC84" s="23">
        <f>EXP(-LN(2)/2)*EC83+(1-EXP(-LN(2)/2))/(LN(2)/2)*DW84*DZ84*VLOOKUP('Données projet'!$B$14,Paramètres!$A$1:$I$89,3,0)*0.475*44/12</f>
        <v>0</v>
      </c>
      <c r="ED84" s="24">
        <f t="shared" si="72"/>
        <v>0.16749802157184435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5.6843418860808015E-14</v>
      </c>
      <c r="EK84" s="18">
        <f>EJ84*VLOOKUP('Données projet'!$B$15,Paramètres!$A$1:$I$89,3,0)*VLOOKUP('Données projet'!$B$15,Paramètres!$A$1:$I$89,5,0)</f>
        <v>4.4337866711430253E-14</v>
      </c>
      <c r="EL84" s="14">
        <f t="shared" si="99"/>
        <v>7.3222115536967035E-13</v>
      </c>
      <c r="EM84" s="22">
        <f t="shared" si="73"/>
        <v>1.3525069634579169E-12</v>
      </c>
      <c r="EN84" s="62">
        <f t="shared" si="74"/>
        <v>293.33333333333468</v>
      </c>
      <c r="EO84" s="62">
        <f ca="1">AVERAGE(OFFSET($EN$3,0,0,'Données projet'!$E$15+1,1))-AVERAGE(OFFSET($H$3,0,0,'Données projet'!$E$15+1,1))</f>
        <v>288.82868507674738</v>
      </c>
      <c r="EP84" s="62">
        <f t="shared" si="100"/>
        <v>283.48738729114024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>
        <f>EXP(-LN(2)/35)*EV83+(1-EXP(-LN(2)/35))/(LN(2)/35)*ER84*ES84*VLOOKUP('Données projet'!$B$15,Paramètres!$A$1:$I$89,3,0)*0.475*44/12</f>
        <v>0.66047431849494098</v>
      </c>
      <c r="EW84" s="23">
        <f>EXP(-LN(2)/25)*EW83+(1-EXP(-LN(2)/25))/(LN(2)/25)*Calculateur!ER84*Calculateur!ET84*VLOOKUP('Données projet'!$B$15,Paramètres!$A$1:$I$89,3,0)*0.475*44/12</f>
        <v>0</v>
      </c>
      <c r="EX84" s="23">
        <f>EXP(-LN(2)/2)*EX83+(1-EXP(-LN(2)/2))/(LN(2)/2)*ER84*EU84*VLOOKUP('Données projet'!$B$15,Paramètres!$A$1:$I$89,3,0)*0.475*44/12</f>
        <v>0</v>
      </c>
      <c r="EY84" s="24">
        <f t="shared" si="75"/>
        <v>0.66047431849494098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14.142857142857142</v>
      </c>
      <c r="N85" s="14">
        <f>IF('Données projet'!$A$36&gt;35,N84+M85-V84,IF(A85&lt;'Données projet'!$A$36,$K$205^A85,IF(A85='Données projet'!$A$36,'Données projet'!$B$36,N84+M85-V84)))</f>
        <v>451.28571428571468</v>
      </c>
      <c r="O85" s="14">
        <f>N85*VLOOKUP('Données projet'!$B$9,Paramètres!$A$1:$I$89,3,0)*VLOOKUP('Données projet'!$B$9,Paramètres!$A$1:$I$89,5,0)</f>
        <v>211.20171428571447</v>
      </c>
      <c r="P85" s="14">
        <f t="shared" si="87"/>
        <v>52.198103230485451</v>
      </c>
      <c r="Q85" s="22">
        <f t="shared" si="54"/>
        <v>458.75468217404813</v>
      </c>
      <c r="R85" s="62">
        <f t="shared" si="55"/>
        <v>752.08801550738144</v>
      </c>
      <c r="S85" s="62">
        <f ca="1">AVERAGE(OFFSET($R$3,0,0,'Données projet'!$E$9+1,1))-AVERAGE(OFFSET($H$3,0,0,'Données projet'!$E$9+1,1))</f>
        <v>317.54276561627643</v>
      </c>
      <c r="T85" s="62">
        <f t="shared" si="88"/>
        <v>238.92443174298893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3</v>
      </c>
      <c r="AI85" s="14">
        <f>IF('Données projet'!$A$62&gt;35,AI84+AH85-AQ84,IF(A85&lt;'Données projet'!$A$62,$AF$205^A85,IF(A85='Données projet'!$A$62,'Données projet'!$B$62,AI84+AH85-AQ84)))</f>
        <v>225.99999999999991</v>
      </c>
      <c r="AJ85" s="14">
        <f>AI85*VLOOKUP('Données projet'!$B$10,Paramètres!$A$1:$I$89,3,0)*VLOOKUP('Données projet'!$B$10,Paramètres!$A$1:$I$89,5,0)</f>
        <v>197.43359999999996</v>
      </c>
      <c r="AK85" s="14">
        <f t="shared" si="89"/>
        <v>49.179727436837609</v>
      </c>
      <c r="AL85" s="22">
        <f t="shared" si="58"/>
        <v>429.51821195249204</v>
      </c>
      <c r="AM85" s="62">
        <f t="shared" si="59"/>
        <v>722.8515452858253</v>
      </c>
      <c r="AN85" s="62">
        <f ca="1">AVERAGE(OFFSET($AM$3,0,0,'Données projet'!$E$10+1,1))-AVERAGE(OFFSET($H$3,0,0,'Données projet'!$E$10+1,1))</f>
        <v>327.826081588335</v>
      </c>
      <c r="AO85" s="62">
        <f t="shared" si="90"/>
        <v>348.84706693879735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2.1945493006658854</v>
      </c>
      <c r="AV85" s="23">
        <f>EXP(-LN(2)/25)*AV84+(1-EXP(-LN(2)/25))/(LN(2)/25)*Calculateur!AQ85*Calculateur!AS85*VLOOKUP('Données projet'!$B$10,Paramètres!$A$1:$I$89,3,0)*0.475*44/12</f>
        <v>3.2448573676169472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5.4394066682828326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6.8</v>
      </c>
      <c r="BD85" s="13">
        <f>IF('Données projet'!$A$88&gt;35,BD84+BC85-BL84,IF(A85&lt;'Données projet'!$A$88,$BA$205^A85,IF(A85='Données projet'!$A$88,'Données projet'!$B$88,BD84+BC85-BL84)))</f>
        <v>305.60000000000002</v>
      </c>
      <c r="BE85" s="14">
        <f>BD85*VLOOKUP('Données projet'!$B$11,Paramètres!$A$1:$I$89,3,0)*VLOOKUP('Données projet'!$B$11,Paramètres!$A$1:$I$89,5,0)</f>
        <v>309.87840000000006</v>
      </c>
      <c r="BF85" s="14">
        <f t="shared" si="91"/>
        <v>73.243434672131556</v>
      </c>
      <c r="BG85" s="22">
        <f t="shared" si="61"/>
        <v>667.27052872062916</v>
      </c>
      <c r="BH85" s="62">
        <f t="shared" si="62"/>
        <v>960.60386205396253</v>
      </c>
      <c r="BI85" s="62">
        <f ca="1">AVERAGE(OFFSET($BH$3,0,0,'Données projet'!$E$11+1,1))-AVERAGE(OFFSET($H$3,0,0,'Données projet'!$E$11+1,1))</f>
        <v>487.04124684635974</v>
      </c>
      <c r="BJ85" s="62">
        <f t="shared" si="92"/>
        <v>306.61893266146666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0.96382232799515244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0.96382232799515244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6.8</v>
      </c>
      <c r="BY85" s="13">
        <f>IF('Données projet'!$A$114&gt;35,BY84+BX85-CG84,IF(A85&lt;'Données projet'!$A$114,$BV$205^A85,IF(A85='Données projet'!$A$114,'Données projet'!$B$114,BY84+BX85-CG84)))</f>
        <v>305.60000000000002</v>
      </c>
      <c r="BZ85" s="14">
        <f>BY85*VLOOKUP('Données projet'!$B$12,Paramètres!$A$1:$I$89,3,0)*VLOOKUP('Données projet'!$B$12,Paramètres!$A$1:$I$89,5,0)</f>
        <v>276.50687999999997</v>
      </c>
      <c r="CA85" s="14">
        <f t="shared" si="93"/>
        <v>66.228273722513677</v>
      </c>
      <c r="CB85" s="22">
        <f t="shared" si="64"/>
        <v>596.93039273337797</v>
      </c>
      <c r="CC85" s="62">
        <f t="shared" si="65"/>
        <v>890.26372606671134</v>
      </c>
      <c r="CD85" s="62">
        <f ca="1">AVERAGE(OFFSET($CC$3,0,0,'Données projet'!$E$12+1,1))-AVERAGE(OFFSET($H$3,0,0,'Données projet'!$E$12+1,1))</f>
        <v>439.06700232017681</v>
      </c>
      <c r="CE85" s="62">
        <f t="shared" si="94"/>
        <v>278.21741231699929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0.86002607728798197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0.86002607728798197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317.99999999999972</v>
      </c>
      <c r="CU85" s="18">
        <f>CT85*VLOOKUP('Données projet'!$B$13,Paramètres!$A$1:$I$89,3,0)*VLOOKUP('Données projet'!$B$13,Paramètres!$A$1:$I$89,5,0)</f>
        <v>233.1575999999998</v>
      </c>
      <c r="CV85" s="14">
        <f t="shared" si="95"/>
        <v>56.964885721091697</v>
      </c>
      <c r="CW85" s="22">
        <f t="shared" si="67"/>
        <v>505.29666263090093</v>
      </c>
      <c r="CX85" s="62">
        <f t="shared" si="68"/>
        <v>798.62999596423424</v>
      </c>
      <c r="CY85" s="62">
        <f ca="1">AVERAGE(OFFSET($CX$3,0,0,'Données projet'!$E$13+1,1))-AVERAGE(OFFSET($H$3,0,0,'Données projet'!$E$13+1,1))</f>
        <v>327.81662150328646</v>
      </c>
      <c r="CZ85" s="62">
        <f t="shared" si="96"/>
        <v>320.24200483294322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0.71463276981747414</v>
      </c>
      <c r="DG85" s="23">
        <f>EXP(-LN(2)/25)*DG84+(1-EXP(-LN(2)/25))/(LN(2)/25)*Calculateur!DB85*Calculateur!DD85*VLOOKUP('Données projet'!$B$13,Paramètres!$A$1:$I$89,3,0)*0.475*44/12</f>
        <v>0</v>
      </c>
      <c r="DH85" s="23">
        <f>EXP(-LN(2)/2)*DH84+(1-EXP(-LN(2)/2))/(LN(2)/2)*DB85*DE85*VLOOKUP('Données projet'!$B$13,Paramètres!$A$1:$I$89,3,0)*0.475*44/12</f>
        <v>0</v>
      </c>
      <c r="DI85" s="24">
        <f t="shared" si="69"/>
        <v>0.71463276981747414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3.8</v>
      </c>
      <c r="DO85" s="13">
        <f>IF('Données projet'!$A$166&gt;35,DO84+DN85-DW84,IF(A85&lt;'Données projet'!$A$166,$DL$205^A85,IF(A85='Données projet'!$A$166,'Données projet'!$B$166,DO84+DN85-DW84)))</f>
        <v>188.60000000000005</v>
      </c>
      <c r="DP85" s="18">
        <f>DO85*VLOOKUP('Données projet'!$B$14,Paramètres!$A$1:$I$89,3,0)*VLOOKUP('Données projet'!$B$14,Paramètres!$A$1:$I$89,5,0)</f>
        <v>123.57072000000004</v>
      </c>
      <c r="DQ85" s="14">
        <f t="shared" si="97"/>
        <v>32.506384557027701</v>
      </c>
      <c r="DR85" s="22">
        <f t="shared" si="70"/>
        <v>271.83429043682327</v>
      </c>
      <c r="DS85" s="62">
        <f t="shared" si="71"/>
        <v>565.16762377015652</v>
      </c>
      <c r="DT85" s="62">
        <f ca="1">AVERAGE(OFFSET($DS$3,0,0,'Données projet'!$E$14+1,1))-AVERAGE(OFFSET($H$3,0,0,'Données projet'!$E$14+1,1))</f>
        <v>210.08998695869161</v>
      </c>
      <c r="DU85" s="62">
        <f t="shared" si="98"/>
        <v>207.30911916430881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>
        <f>EXP(-LN(2)/35)*EA84+(1-EXP(-LN(2)/35))/(LN(2)/35)*DW85*DX85*VLOOKUP('Données projet'!$B$14,Paramètres!$A$1:$I$89,3,0)*0.475*44/12</f>
        <v>0.16421348753252582</v>
      </c>
      <c r="EB85" s="23">
        <f>EXP(-LN(2)/25)*EB84+(1-EXP(-LN(2)/25))/(LN(2)/25)*Calculateur!DW85*Calculateur!DY85*VLOOKUP('Données projet'!$B$14,Paramètres!$A$1:$I$89,3,0)*0.475*44/12</f>
        <v>0</v>
      </c>
      <c r="EC85" s="23">
        <f>EXP(-LN(2)/2)*EC84+(1-EXP(-LN(2)/2))/(LN(2)/2)*DW85*DZ85*VLOOKUP('Données projet'!$B$14,Paramètres!$A$1:$I$89,3,0)*0.475*44/12</f>
        <v>0</v>
      </c>
      <c r="ED85" s="24">
        <f t="shared" si="72"/>
        <v>0.16421348753252582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5.6843418860808015E-14</v>
      </c>
      <c r="EK85" s="18">
        <f>EJ85*VLOOKUP('Données projet'!$B$15,Paramètres!$A$1:$I$89,3,0)*VLOOKUP('Données projet'!$B$15,Paramètres!$A$1:$I$89,5,0)</f>
        <v>4.4337866711430253E-14</v>
      </c>
      <c r="EL85" s="14">
        <f t="shared" si="99"/>
        <v>7.3222115536967035E-13</v>
      </c>
      <c r="EM85" s="22">
        <f t="shared" si="73"/>
        <v>1.3525069634579169E-12</v>
      </c>
      <c r="EN85" s="62">
        <f t="shared" si="74"/>
        <v>293.33333333333468</v>
      </c>
      <c r="EO85" s="62">
        <f ca="1">AVERAGE(OFFSET($EN$3,0,0,'Données projet'!$E$15+1,1))-AVERAGE(OFFSET($H$3,0,0,'Données projet'!$E$15+1,1))</f>
        <v>288.82868507674738</v>
      </c>
      <c r="EP85" s="62">
        <f t="shared" si="100"/>
        <v>283.48738729114024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>
        <f>EXP(-LN(2)/35)*EV84+(1-EXP(-LN(2)/35))/(LN(2)/35)*ER85*ES85*VLOOKUP('Données projet'!$B$15,Paramètres!$A$1:$I$89,3,0)*0.475*44/12</f>
        <v>0.64752281995881134</v>
      </c>
      <c r="EW85" s="23">
        <f>EXP(-LN(2)/25)*EW84+(1-EXP(-LN(2)/25))/(LN(2)/25)*Calculateur!ER85*Calculateur!ET85*VLOOKUP('Données projet'!$B$15,Paramètres!$A$1:$I$89,3,0)*0.475*44/12</f>
        <v>0</v>
      </c>
      <c r="EX85" s="23">
        <f>EXP(-LN(2)/2)*EX84+(1-EXP(-LN(2)/2))/(LN(2)/2)*ER85*EU85*VLOOKUP('Données projet'!$B$15,Paramètres!$A$1:$I$89,3,0)*0.475*44/12</f>
        <v>0</v>
      </c>
      <c r="EY85" s="24">
        <f t="shared" si="75"/>
        <v>0.64752281995881134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14.142857142857142</v>
      </c>
      <c r="N86" s="14">
        <f>IF('Données projet'!$A$36&gt;35,N85+M86-V85,IF(A86&lt;'Données projet'!$A$36,$K$205^A86,IF(A86='Données projet'!$A$36,'Données projet'!$B$36,N85+M86-V85)))</f>
        <v>465.42857142857184</v>
      </c>
      <c r="O86" s="14">
        <f>N86*VLOOKUP('Données projet'!$B$9,Paramètres!$A$1:$I$89,3,0)*VLOOKUP('Données projet'!$B$9,Paramètres!$A$1:$I$89,5,0)</f>
        <v>217.82057142857164</v>
      </c>
      <c r="P86" s="14">
        <f t="shared" si="87"/>
        <v>53.640923568007189</v>
      </c>
      <c r="Q86" s="22">
        <f t="shared" si="54"/>
        <v>472.79543711904148</v>
      </c>
      <c r="R86" s="62">
        <f t="shared" si="55"/>
        <v>766.12877045237474</v>
      </c>
      <c r="S86" s="62">
        <f ca="1">AVERAGE(OFFSET($R$3,0,0,'Données projet'!$E$9+1,1))-AVERAGE(OFFSET($H$3,0,0,'Données projet'!$E$9+1,1))</f>
        <v>317.54276561627643</v>
      </c>
      <c r="T86" s="62">
        <f t="shared" si="88"/>
        <v>238.92443174298893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3</v>
      </c>
      <c r="AI86" s="14">
        <f>IF('Données projet'!$A$62&gt;35,AI85+AH86-AQ85,IF(A86&lt;'Données projet'!$A$62,$AF$205^A86,IF(A86='Données projet'!$A$62,'Données projet'!$B$62,AI85+AH86-AQ85)))</f>
        <v>228.99999999999991</v>
      </c>
      <c r="AJ86" s="14">
        <f>AI86*VLOOKUP('Données projet'!$B$10,Paramètres!$A$1:$I$89,3,0)*VLOOKUP('Données projet'!$B$10,Paramètres!$A$1:$I$89,5,0)</f>
        <v>200.05439999999993</v>
      </c>
      <c r="AK86" s="14">
        <f t="shared" si="89"/>
        <v>49.756123009618186</v>
      </c>
      <c r="AL86" s="22">
        <f t="shared" si="58"/>
        <v>435.0866609084182</v>
      </c>
      <c r="AM86" s="62">
        <f t="shared" si="59"/>
        <v>728.41999424175151</v>
      </c>
      <c r="AN86" s="62">
        <f ca="1">AVERAGE(OFFSET($AM$3,0,0,'Données projet'!$E$10+1,1))-AVERAGE(OFFSET($H$3,0,0,'Données projet'!$E$10+1,1))</f>
        <v>327.826081588335</v>
      </c>
      <c r="AO86" s="62">
        <f t="shared" si="90"/>
        <v>348.84706693879735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2.1515155274227307</v>
      </c>
      <c r="AV86" s="23">
        <f>EXP(-LN(2)/25)*AV85+(1-EXP(-LN(2)/25))/(LN(2)/25)*Calculateur!AQ86*Calculateur!AS86*VLOOKUP('Données projet'!$B$10,Paramètres!$A$1:$I$89,3,0)*0.475*44/12</f>
        <v>3.1561265722598288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5.3076420996825595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6.8</v>
      </c>
      <c r="BD86" s="13">
        <f>IF('Données projet'!$A$88&gt;35,BD85+BC86-BL85,IF(A86&lt;'Données projet'!$A$88,$BA$205^A86,IF(A86='Données projet'!$A$88,'Données projet'!$B$88,BD85+BC86-BL85)))</f>
        <v>312.40000000000003</v>
      </c>
      <c r="BE86" s="14">
        <f>BD86*VLOOKUP('Données projet'!$B$11,Paramètres!$A$1:$I$89,3,0)*VLOOKUP('Données projet'!$B$11,Paramètres!$A$1:$I$89,5,0)</f>
        <v>316.77360000000004</v>
      </c>
      <c r="BF86" s="14">
        <f t="shared" si="91"/>
        <v>74.681642981668006</v>
      </c>
      <c r="BG86" s="22">
        <f t="shared" si="61"/>
        <v>681.78454819307183</v>
      </c>
      <c r="BH86" s="62">
        <f t="shared" si="62"/>
        <v>975.1178815264052</v>
      </c>
      <c r="BI86" s="62">
        <f ca="1">AVERAGE(OFFSET($BH$3,0,0,'Données projet'!$E$11+1,1))-AVERAGE(OFFSET($H$3,0,0,'Données projet'!$E$11+1,1))</f>
        <v>487.04124684635974</v>
      </c>
      <c r="BJ86" s="62">
        <f t="shared" si="92"/>
        <v>306.61893266146666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0.9449223600167399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0.9449223600167399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6.8</v>
      </c>
      <c r="BY86" s="13">
        <f>IF('Données projet'!$A$114&gt;35,BY85+BX86-CG85,IF(A86&lt;'Données projet'!$A$114,$BV$205^A86,IF(A86='Données projet'!$A$114,'Données projet'!$B$114,BY85+BX86-CG85)))</f>
        <v>312.40000000000003</v>
      </c>
      <c r="BZ86" s="14">
        <f>BY86*VLOOKUP('Données projet'!$B$12,Paramètres!$A$1:$I$89,3,0)*VLOOKUP('Données projet'!$B$12,Paramètres!$A$1:$I$89,5,0)</f>
        <v>282.65952000000004</v>
      </c>
      <c r="CA86" s="14">
        <f t="shared" si="93"/>
        <v>67.528732309967324</v>
      </c>
      <c r="CB86" s="22">
        <f t="shared" si="64"/>
        <v>609.91120610652649</v>
      </c>
      <c r="CC86" s="62">
        <f t="shared" si="65"/>
        <v>903.24453943985986</v>
      </c>
      <c r="CD86" s="62">
        <f ca="1">AVERAGE(OFFSET($CC$3,0,0,'Données projet'!$E$12+1,1))-AVERAGE(OFFSET($H$3,0,0,'Données projet'!$E$12+1,1))</f>
        <v>439.06700232017681</v>
      </c>
      <c r="CE86" s="62">
        <f t="shared" si="94"/>
        <v>278.21741231699929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0.84316149047647537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0.84316149047647537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317.99999999999972</v>
      </c>
      <c r="CU86" s="18">
        <f>CT86*VLOOKUP('Données projet'!$B$13,Paramètres!$A$1:$I$89,3,0)*VLOOKUP('Données projet'!$B$13,Paramètres!$A$1:$I$89,5,0)</f>
        <v>233.1575999999998</v>
      </c>
      <c r="CV86" s="14">
        <f t="shared" si="95"/>
        <v>56.964885721091697</v>
      </c>
      <c r="CW86" s="22">
        <f t="shared" si="67"/>
        <v>505.29666263090093</v>
      </c>
      <c r="CX86" s="62">
        <f t="shared" si="68"/>
        <v>798.62999596423424</v>
      </c>
      <c r="CY86" s="62">
        <f ca="1">AVERAGE(OFFSET($CX$3,0,0,'Données projet'!$E$13+1,1))-AVERAGE(OFFSET($H$3,0,0,'Données projet'!$E$13+1,1))</f>
        <v>327.81662150328646</v>
      </c>
      <c r="CZ86" s="62">
        <f t="shared" si="96"/>
        <v>320.24200483294322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0.70061925708430317</v>
      </c>
      <c r="DG86" s="23">
        <f>EXP(-LN(2)/25)*DG85+(1-EXP(-LN(2)/25))/(LN(2)/25)*Calculateur!DB86*Calculateur!DD86*VLOOKUP('Données projet'!$B$13,Paramètres!$A$1:$I$89,3,0)*0.475*44/12</f>
        <v>0</v>
      </c>
      <c r="DH86" s="23">
        <f>EXP(-LN(2)/2)*DH85+(1-EXP(-LN(2)/2))/(LN(2)/2)*DB86*DE86*VLOOKUP('Données projet'!$B$13,Paramètres!$A$1:$I$89,3,0)*0.475*44/12</f>
        <v>0</v>
      </c>
      <c r="DI86" s="24">
        <f t="shared" si="69"/>
        <v>0.70061925708430317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3.8</v>
      </c>
      <c r="DO86" s="13">
        <f>IF('Données projet'!$A$166&gt;35,DO85+DN86-DW85,IF(A86&lt;'Données projet'!$A$166,$DL$205^A86,IF(A86='Données projet'!$A$166,'Données projet'!$B$166,DO85+DN86-DW85)))</f>
        <v>192.40000000000006</v>
      </c>
      <c r="DP86" s="18">
        <f>DO86*VLOOKUP('Données projet'!$B$14,Paramètres!$A$1:$I$89,3,0)*VLOOKUP('Données projet'!$B$14,Paramètres!$A$1:$I$89,5,0)</f>
        <v>126.06048000000004</v>
      </c>
      <c r="DQ86" s="14">
        <f t="shared" si="97"/>
        <v>33.084428023528638</v>
      </c>
      <c r="DR86" s="22">
        <f t="shared" si="70"/>
        <v>277.17738147431243</v>
      </c>
      <c r="DS86" s="62">
        <f t="shared" si="71"/>
        <v>570.51071480764574</v>
      </c>
      <c r="DT86" s="62">
        <f ca="1">AVERAGE(OFFSET($DS$3,0,0,'Données projet'!$E$14+1,1))-AVERAGE(OFFSET($H$3,0,0,'Données projet'!$E$14+1,1))</f>
        <v>210.08998695869161</v>
      </c>
      <c r="DU86" s="62">
        <f t="shared" si="98"/>
        <v>207.30911916430881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>
        <f>EXP(-LN(2)/35)*EA85+(1-EXP(-LN(2)/35))/(LN(2)/35)*DW86*DX86*VLOOKUP('Données projet'!$B$14,Paramètres!$A$1:$I$89,3,0)*0.475*44/12</f>
        <v>0.16099336120235036</v>
      </c>
      <c r="EB86" s="23">
        <f>EXP(-LN(2)/25)*EB85+(1-EXP(-LN(2)/25))/(LN(2)/25)*Calculateur!DW86*Calculateur!DY86*VLOOKUP('Données projet'!$B$14,Paramètres!$A$1:$I$89,3,0)*0.475*44/12</f>
        <v>0</v>
      </c>
      <c r="EC86" s="23">
        <f>EXP(-LN(2)/2)*EC85+(1-EXP(-LN(2)/2))/(LN(2)/2)*DW86*DZ86*VLOOKUP('Données projet'!$B$14,Paramètres!$A$1:$I$89,3,0)*0.475*44/12</f>
        <v>0</v>
      </c>
      <c r="ED86" s="24">
        <f t="shared" si="72"/>
        <v>0.16099336120235036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5.6843418860808015E-14</v>
      </c>
      <c r="EK86" s="18">
        <f>EJ86*VLOOKUP('Données projet'!$B$15,Paramètres!$A$1:$I$89,3,0)*VLOOKUP('Données projet'!$B$15,Paramètres!$A$1:$I$89,5,0)</f>
        <v>4.4337866711430253E-14</v>
      </c>
      <c r="EL86" s="14">
        <f t="shared" si="99"/>
        <v>7.3222115536967035E-13</v>
      </c>
      <c r="EM86" s="22">
        <f t="shared" si="73"/>
        <v>1.3525069634579169E-12</v>
      </c>
      <c r="EN86" s="62">
        <f t="shared" si="74"/>
        <v>293.33333333333468</v>
      </c>
      <c r="EO86" s="62">
        <f ca="1">AVERAGE(OFFSET($EN$3,0,0,'Données projet'!$E$15+1,1))-AVERAGE(OFFSET($H$3,0,0,'Données projet'!$E$15+1,1))</f>
        <v>288.82868507674738</v>
      </c>
      <c r="EP86" s="62">
        <f t="shared" si="100"/>
        <v>283.48738729114024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>
        <f>EXP(-LN(2)/35)*EV85+(1-EXP(-LN(2)/35))/(LN(2)/35)*ER86*ES86*VLOOKUP('Données projet'!$B$15,Paramètres!$A$1:$I$89,3,0)*0.475*44/12</f>
        <v>0.63482529240934116</v>
      </c>
      <c r="EW86" s="23">
        <f>EXP(-LN(2)/25)*EW85+(1-EXP(-LN(2)/25))/(LN(2)/25)*Calculateur!ER86*Calculateur!ET86*VLOOKUP('Données projet'!$B$15,Paramètres!$A$1:$I$89,3,0)*0.475*44/12</f>
        <v>0</v>
      </c>
      <c r="EX86" s="23">
        <f>EXP(-LN(2)/2)*EX85+(1-EXP(-LN(2)/2))/(LN(2)/2)*ER86*EU86*VLOOKUP('Données projet'!$B$15,Paramètres!$A$1:$I$89,3,0)*0.475*44/12</f>
        <v>0</v>
      </c>
      <c r="EY86" s="24">
        <f t="shared" si="75"/>
        <v>0.63482529240934116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14.142857142857142</v>
      </c>
      <c r="N87" s="14">
        <f>IF('Données projet'!$A$36&gt;35,N86+M87-V86,IF(A87&lt;'Données projet'!$A$36,$K$205^A87,IF(A87='Données projet'!$A$36,'Données projet'!$B$36,N86+M87-V86)))</f>
        <v>479.57142857142901</v>
      </c>
      <c r="O87" s="14">
        <f>N87*VLOOKUP('Données projet'!$B$9,Paramètres!$A$1:$I$89,3,0)*VLOOKUP('Données projet'!$B$9,Paramètres!$A$1:$I$89,5,0)</f>
        <v>224.43942857142878</v>
      </c>
      <c r="P87" s="14">
        <f t="shared" si="87"/>
        <v>55.078648812192505</v>
      </c>
      <c r="Q87" s="22">
        <f t="shared" si="54"/>
        <v>486.82731810980704</v>
      </c>
      <c r="R87" s="62">
        <f t="shared" si="55"/>
        <v>780.1606514431403</v>
      </c>
      <c r="S87" s="62">
        <f ca="1">AVERAGE(OFFSET($R$3,0,0,'Données projet'!$E$9+1,1))-AVERAGE(OFFSET($H$3,0,0,'Données projet'!$E$9+1,1))</f>
        <v>317.54276561627643</v>
      </c>
      <c r="T87" s="62">
        <f t="shared" si="88"/>
        <v>238.92443174298893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3</v>
      </c>
      <c r="AI87" s="14">
        <f>IF('Données projet'!$A$62&gt;35,AI86+AH87-AQ86,IF(A87&lt;'Données projet'!$A$62,$AF$205^A87,IF(A87='Données projet'!$A$62,'Données projet'!$B$62,AI86+AH87-AQ86)))</f>
        <v>231.99999999999991</v>
      </c>
      <c r="AJ87" s="14">
        <f>AI87*VLOOKUP('Données projet'!$B$10,Paramètres!$A$1:$I$89,3,0)*VLOOKUP('Données projet'!$B$10,Paramètres!$A$1:$I$89,5,0)</f>
        <v>202.67519999999993</v>
      </c>
      <c r="AK87" s="14">
        <f t="shared" si="89"/>
        <v>50.33164028531364</v>
      </c>
      <c r="AL87" s="22">
        <f t="shared" si="58"/>
        <v>440.65358016358778</v>
      </c>
      <c r="AM87" s="62">
        <f t="shared" si="59"/>
        <v>733.98691349692103</v>
      </c>
      <c r="AN87" s="62">
        <f ca="1">AVERAGE(OFFSET($AM$3,0,0,'Données projet'!$E$10+1,1))-AVERAGE(OFFSET($H$3,0,0,'Données projet'!$E$10+1,1))</f>
        <v>327.826081588335</v>
      </c>
      <c r="AO87" s="62">
        <f t="shared" si="90"/>
        <v>348.84706693879735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2.1093256202248645</v>
      </c>
      <c r="AV87" s="23">
        <f>EXP(-LN(2)/25)*AV86+(1-EXP(-LN(2)/25))/(LN(2)/25)*Calculateur!AQ87*Calculateur!AS87*VLOOKUP('Données projet'!$B$10,Paramètres!$A$1:$I$89,3,0)*0.475*44/12</f>
        <v>3.0698221251679008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5.1791477453927648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6.8</v>
      </c>
      <c r="BD87" s="13">
        <f>IF('Données projet'!$A$88&gt;35,BD86+BC87-BL86,IF(A87&lt;'Données projet'!$A$88,$BA$205^A87,IF(A87='Données projet'!$A$88,'Données projet'!$B$88,BD86+BC87-BL86)))</f>
        <v>319.20000000000005</v>
      </c>
      <c r="BE87" s="14">
        <f>BD87*VLOOKUP('Données projet'!$B$11,Paramètres!$A$1:$I$89,3,0)*VLOOKUP('Données projet'!$B$11,Paramètres!$A$1:$I$89,5,0)</f>
        <v>323.66880000000009</v>
      </c>
      <c r="BF87" s="14">
        <f t="shared" si="91"/>
        <v>76.11621164769852</v>
      </c>
      <c r="BG87" s="22">
        <f t="shared" si="61"/>
        <v>696.29222861974176</v>
      </c>
      <c r="BH87" s="62">
        <f t="shared" si="62"/>
        <v>989.62556195307502</v>
      </c>
      <c r="BI87" s="62">
        <f ca="1">AVERAGE(OFFSET($BH$3,0,0,'Données projet'!$E$11+1,1))-AVERAGE(OFFSET($H$3,0,0,'Données projet'!$E$11+1,1))</f>
        <v>487.04124684635974</v>
      </c>
      <c r="BJ87" s="62">
        <f t="shared" si="92"/>
        <v>306.61893266146666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0.92639300888254184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0.92639300888254184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6.8</v>
      </c>
      <c r="BY87" s="13">
        <f>IF('Données projet'!$A$114&gt;35,BY86+BX87-CG86,IF(A87&lt;'Données projet'!$A$114,$BV$205^A87,IF(A87='Données projet'!$A$114,'Données projet'!$B$114,BY86+BX87-CG86)))</f>
        <v>319.20000000000005</v>
      </c>
      <c r="BZ87" s="14">
        <f>BY87*VLOOKUP('Données projet'!$B$12,Paramètres!$A$1:$I$89,3,0)*VLOOKUP('Données projet'!$B$12,Paramètres!$A$1:$I$89,5,0)</f>
        <v>288.81216000000006</v>
      </c>
      <c r="CA87" s="14">
        <f t="shared" si="93"/>
        <v>68.825899854238159</v>
      </c>
      <c r="CB87" s="22">
        <f t="shared" si="64"/>
        <v>622.88628757946492</v>
      </c>
      <c r="CC87" s="62">
        <f t="shared" si="65"/>
        <v>916.21962091279829</v>
      </c>
      <c r="CD87" s="62">
        <f ca="1">AVERAGE(OFFSET($CC$3,0,0,'Données projet'!$E$12+1,1))-AVERAGE(OFFSET($H$3,0,0,'Données projet'!$E$12+1,1))</f>
        <v>439.06700232017681</v>
      </c>
      <c r="CE87" s="62">
        <f t="shared" si="94"/>
        <v>278.21741231699929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0.82662760792596013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0.82662760792596013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317.99999999999972</v>
      </c>
      <c r="CU87" s="18">
        <f>CT87*VLOOKUP('Données projet'!$B$13,Paramètres!$A$1:$I$89,3,0)*VLOOKUP('Données projet'!$B$13,Paramètres!$A$1:$I$89,5,0)</f>
        <v>233.1575999999998</v>
      </c>
      <c r="CV87" s="14">
        <f t="shared" si="95"/>
        <v>56.964885721091697</v>
      </c>
      <c r="CW87" s="22">
        <f t="shared" si="67"/>
        <v>505.29666263090093</v>
      </c>
      <c r="CX87" s="62">
        <f t="shared" si="68"/>
        <v>798.62999596423424</v>
      </c>
      <c r="CY87" s="62">
        <f ca="1">AVERAGE(OFFSET($CX$3,0,0,'Données projet'!$E$13+1,1))-AVERAGE(OFFSET($H$3,0,0,'Données projet'!$E$13+1,1))</f>
        <v>327.81662150328646</v>
      </c>
      <c r="CZ87" s="62">
        <f t="shared" si="96"/>
        <v>320.24200483294322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0.68688054078843097</v>
      </c>
      <c r="DG87" s="23">
        <f>EXP(-LN(2)/25)*DG86+(1-EXP(-LN(2)/25))/(LN(2)/25)*Calculateur!DB87*Calculateur!DD87*VLOOKUP('Données projet'!$B$13,Paramètres!$A$1:$I$89,3,0)*0.475*44/12</f>
        <v>0</v>
      </c>
      <c r="DH87" s="23">
        <f>EXP(-LN(2)/2)*DH86+(1-EXP(-LN(2)/2))/(LN(2)/2)*DB87*DE87*VLOOKUP('Données projet'!$B$13,Paramètres!$A$1:$I$89,3,0)*0.475*44/12</f>
        <v>0</v>
      </c>
      <c r="DI87" s="24">
        <f t="shared" si="69"/>
        <v>0.68688054078843097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3.8</v>
      </c>
      <c r="DO87" s="13">
        <f>IF('Données projet'!$A$166&gt;35,DO86+DN87-DW86,IF(A87&lt;'Données projet'!$A$166,$DL$205^A87,IF(A87='Données projet'!$A$166,'Données projet'!$B$166,DO86+DN87-DW86)))</f>
        <v>196.20000000000007</v>
      </c>
      <c r="DP87" s="18">
        <f>DO87*VLOOKUP('Données projet'!$B$14,Paramètres!$A$1:$I$89,3,0)*VLOOKUP('Données projet'!$B$14,Paramètres!$A$1:$I$89,5,0)</f>
        <v>128.55024000000003</v>
      </c>
      <c r="DQ87" s="14">
        <f t="shared" si="97"/>
        <v>33.661144026076663</v>
      </c>
      <c r="DR87" s="22">
        <f t="shared" si="70"/>
        <v>282.51816051208363</v>
      </c>
      <c r="DS87" s="62">
        <f t="shared" si="71"/>
        <v>575.85149384541694</v>
      </c>
      <c r="DT87" s="62">
        <f ca="1">AVERAGE(OFFSET($DS$3,0,0,'Données projet'!$E$14+1,1))-AVERAGE(OFFSET($H$3,0,0,'Données projet'!$E$14+1,1))</f>
        <v>210.08998695869161</v>
      </c>
      <c r="DU87" s="62">
        <f t="shared" si="98"/>
        <v>207.30911916430881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>
        <f>EXP(-LN(2)/35)*EA86+(1-EXP(-LN(2)/35))/(LN(2)/35)*DW87*DX87*VLOOKUP('Données projet'!$B$14,Paramètres!$A$1:$I$89,3,0)*0.475*44/12</f>
        <v>0.15783637958542654</v>
      </c>
      <c r="EB87" s="23">
        <f>EXP(-LN(2)/25)*EB86+(1-EXP(-LN(2)/25))/(LN(2)/25)*Calculateur!DW87*Calculateur!DY87*VLOOKUP('Données projet'!$B$14,Paramètres!$A$1:$I$89,3,0)*0.475*44/12</f>
        <v>0</v>
      </c>
      <c r="EC87" s="23">
        <f>EXP(-LN(2)/2)*EC86+(1-EXP(-LN(2)/2))/(LN(2)/2)*DW87*DZ87*VLOOKUP('Données projet'!$B$14,Paramètres!$A$1:$I$89,3,0)*0.475*44/12</f>
        <v>0</v>
      </c>
      <c r="ED87" s="24">
        <f t="shared" si="72"/>
        <v>0.15783637958542654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5.6843418860808015E-14</v>
      </c>
      <c r="EK87" s="18">
        <f>EJ87*VLOOKUP('Données projet'!$B$15,Paramètres!$A$1:$I$89,3,0)*VLOOKUP('Données projet'!$B$15,Paramètres!$A$1:$I$89,5,0)</f>
        <v>4.4337866711430253E-14</v>
      </c>
      <c r="EL87" s="14">
        <f t="shared" si="99"/>
        <v>7.3222115536967035E-13</v>
      </c>
      <c r="EM87" s="22">
        <f t="shared" si="73"/>
        <v>1.3525069634579169E-12</v>
      </c>
      <c r="EN87" s="62">
        <f t="shared" si="74"/>
        <v>293.33333333333468</v>
      </c>
      <c r="EO87" s="62">
        <f ca="1">AVERAGE(OFFSET($EN$3,0,0,'Données projet'!$E$15+1,1))-AVERAGE(OFFSET($H$3,0,0,'Données projet'!$E$15+1,1))</f>
        <v>288.82868507674738</v>
      </c>
      <c r="EP87" s="62">
        <f t="shared" si="100"/>
        <v>283.48738729114024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>
        <f>EXP(-LN(2)/35)*EV86+(1-EXP(-LN(2)/35))/(LN(2)/35)*ER87*ES87*VLOOKUP('Données projet'!$B$15,Paramètres!$A$1:$I$89,3,0)*0.475*44/12</f>
        <v>0.62237675563038897</v>
      </c>
      <c r="EW87" s="23">
        <f>EXP(-LN(2)/25)*EW86+(1-EXP(-LN(2)/25))/(LN(2)/25)*Calculateur!ER87*Calculateur!ET87*VLOOKUP('Données projet'!$B$15,Paramètres!$A$1:$I$89,3,0)*0.475*44/12</f>
        <v>0</v>
      </c>
      <c r="EX87" s="23">
        <f>EXP(-LN(2)/2)*EX86+(1-EXP(-LN(2)/2))/(LN(2)/2)*ER87*EU87*VLOOKUP('Données projet'!$B$15,Paramètres!$A$1:$I$89,3,0)*0.475*44/12</f>
        <v>0</v>
      </c>
      <c r="EY87" s="24">
        <f t="shared" si="75"/>
        <v>0.62237675563038897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14.142857142857142</v>
      </c>
      <c r="N88" s="14">
        <f>IF('Données projet'!$A$36&gt;35,N87+M88-V87,IF(A88&lt;'Données projet'!$A$36,$K$205^A88,IF(A88='Données projet'!$A$36,'Données projet'!$B$36,N87+M88-V87)))</f>
        <v>493.71428571428618</v>
      </c>
      <c r="O88" s="14">
        <f>N88*VLOOKUP('Données projet'!$B$9,Paramètres!$A$1:$I$89,3,0)*VLOOKUP('Données projet'!$B$9,Paramètres!$A$1:$I$89,5,0)</f>
        <v>231.05828571428594</v>
      </c>
      <c r="P88" s="14">
        <f t="shared" si="87"/>
        <v>56.511446472092771</v>
      </c>
      <c r="Q88" s="22">
        <f t="shared" si="54"/>
        <v>500.85061689127627</v>
      </c>
      <c r="R88" s="62">
        <f t="shared" si="55"/>
        <v>794.18395022460959</v>
      </c>
      <c r="S88" s="62">
        <f ca="1">AVERAGE(OFFSET($R$3,0,0,'Données projet'!$E$9+1,1))-AVERAGE(OFFSET($H$3,0,0,'Données projet'!$E$9+1,1))</f>
        <v>317.54276561627643</v>
      </c>
      <c r="T88" s="62">
        <f t="shared" si="88"/>
        <v>238.92443174298893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>
        <f>VLOOKUP(A88,'Données projet'!$A$61:$I$81,2,0)</f>
        <v>235</v>
      </c>
      <c r="AG88" s="13">
        <f>VLOOKUP(A88,'Données projet'!$A$61:$I$81,9,0)</f>
        <v>3</v>
      </c>
      <c r="AH88" s="13">
        <f t="array" ref="AH88">INDEX(AG:AG,MIN(IF(ISNUMBER(AG88:AG284),ROW(AG88:AG284),"")))</f>
        <v>3</v>
      </c>
      <c r="AI88" s="14">
        <f>IF('Données projet'!$A$62&gt;35,AI87+AH88-AQ87,IF(A88&lt;'Données projet'!$A$62,$AF$205^A88,IF(A88='Données projet'!$A$62,'Données projet'!$B$62,AI87+AH88-AQ87)))</f>
        <v>234.99999999999991</v>
      </c>
      <c r="AJ88" s="14">
        <f>AI88*VLOOKUP('Données projet'!$B$10,Paramètres!$A$1:$I$89,3,0)*VLOOKUP('Données projet'!$B$10,Paramètres!$A$1:$I$89,5,0)</f>
        <v>205.29599999999996</v>
      </c>
      <c r="AK88" s="14">
        <f t="shared" si="89"/>
        <v>50.906291934375353</v>
      </c>
      <c r="AL88" s="22">
        <f t="shared" si="58"/>
        <v>446.21899178570357</v>
      </c>
      <c r="AM88" s="62">
        <f t="shared" si="59"/>
        <v>739.55232511903682</v>
      </c>
      <c r="AN88" s="62">
        <f ca="1">AVERAGE(OFFSET($AM$3,0,0,'Données projet'!$E$10+1,1))-AVERAGE(OFFSET($H$3,0,0,'Données projet'!$E$10+1,1))</f>
        <v>327.826081588335</v>
      </c>
      <c r="AO88" s="62">
        <f t="shared" si="90"/>
        <v>348.84706693879735</v>
      </c>
      <c r="AP88" s="16">
        <f>IF(ISNA(VLOOKUP(A88,'Données projet'!$A$61:$I$81,3,0)),0,VLOOKUP(A88,'Données projet'!$A$61:$I$81,3,0))</f>
        <v>14</v>
      </c>
      <c r="AQ88" s="16">
        <f>IF(ISNA(VLOOKUP(A88,'Données projet'!$A$61:$I$81,4,0)),0,VLOOKUP(A88,'Données projet'!$A$61:$I$81,4,0))</f>
        <v>12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2.067963031373846</v>
      </c>
      <c r="AV88" s="23">
        <f>EXP(-LN(2)/25)*AV87+(1-EXP(-LN(2)/25))/(LN(2)/25)*Calculateur!AQ88*Calculateur!AS88*VLOOKUP('Données projet'!$B$10,Paramètres!$A$1:$I$89,3,0)*0.475*44/12</f>
        <v>2.9858776777202549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5.0538407090941009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>
        <f>VLOOKUP(A88,'Données projet'!$A$87:$I$107,2,0)</f>
        <v>326</v>
      </c>
      <c r="BB88" s="13">
        <f>VLOOKUP(A88,'Données projet'!$A$87:$I$107,9,0)</f>
        <v>6.8</v>
      </c>
      <c r="BC88" s="13">
        <f t="array" ref="BC88">INDEX(BB:BB,MIN(IF(ISNUMBER(BB88:BB284),ROW(BB88:BB284),"")))</f>
        <v>6.8</v>
      </c>
      <c r="BD88" s="13">
        <f>IF('Données projet'!$A$88&gt;35,BD87+BC88-BL87,IF(A88&lt;'Données projet'!$A$88,$BA$205^A88,IF(A88='Données projet'!$A$88,'Données projet'!$B$88,BD87+BC88-BL87)))</f>
        <v>326.00000000000006</v>
      </c>
      <c r="BE88" s="14">
        <f>BD88*VLOOKUP('Données projet'!$B$11,Paramètres!$A$1:$I$89,3,0)*VLOOKUP('Données projet'!$B$11,Paramètres!$A$1:$I$89,5,0)</f>
        <v>330.56400000000008</v>
      </c>
      <c r="BF88" s="14">
        <f t="shared" si="91"/>
        <v>77.547227137682853</v>
      </c>
      <c r="BG88" s="22">
        <f t="shared" si="61"/>
        <v>710.79372059813113</v>
      </c>
      <c r="BH88" s="62">
        <f t="shared" si="62"/>
        <v>1004.1270539314644</v>
      </c>
      <c r="BI88" s="62">
        <f ca="1">AVERAGE(OFFSET($BH$3,0,0,'Données projet'!$E$11+1,1))-AVERAGE(OFFSET($H$3,0,0,'Données projet'!$E$11+1,1))</f>
        <v>487.04124684635974</v>
      </c>
      <c r="BJ88" s="62">
        <f t="shared" si="92"/>
        <v>306.61893266146666</v>
      </c>
      <c r="BK88" s="16">
        <f>IF(ISNA(VLOOKUP(A88,'Données projet'!$A$87:$I$107,3,0)),0,VLOOKUP(A88,'Données projet'!$A$87:$I$107,3,0))</f>
        <v>14</v>
      </c>
      <c r="BL88" s="16">
        <f>IF(ISNA(VLOOKUP(A88,'Données projet'!$A$87:$I$107,4,0)),0,VLOOKUP(A88,'Données projet'!$A$87:$I$107,4,0))</f>
        <v>28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0.90822700702229719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0.90822700702229719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>
        <f>VLOOKUP(A88,'Données projet'!$A$113:$I$133,2,0)</f>
        <v>326</v>
      </c>
      <c r="BW88" s="13">
        <f>VLOOKUP(A88,'Données projet'!$A$113:$I$133,9,0)</f>
        <v>6.8</v>
      </c>
      <c r="BX88" s="13">
        <f t="array" ref="BX88">INDEX(BW:BW,MIN(IF(ISNUMBER(BW88:BW284),ROW(BW88:BW284),"")))</f>
        <v>6.8</v>
      </c>
      <c r="BY88" s="13">
        <f>IF('Données projet'!$A$114&gt;35,BY87+BX88-CG87,IF(A88&lt;'Données projet'!$A$114,$BV$205^A88,IF(A88='Données projet'!$A$114,'Données projet'!$B$114,BY87+BX88-CG87)))</f>
        <v>326.00000000000006</v>
      </c>
      <c r="BZ88" s="14">
        <f>BY88*VLOOKUP('Données projet'!$B$12,Paramètres!$A$1:$I$89,3,0)*VLOOKUP('Données projet'!$B$12,Paramètres!$A$1:$I$89,5,0)</f>
        <v>294.96480000000003</v>
      </c>
      <c r="CA88" s="14">
        <f t="shared" si="93"/>
        <v>70.119854541045001</v>
      </c>
      <c r="CB88" s="22">
        <f t="shared" si="64"/>
        <v>635.85577332565333</v>
      </c>
      <c r="CC88" s="62">
        <f t="shared" si="65"/>
        <v>929.1891066589867</v>
      </c>
      <c r="CD88" s="62">
        <f ca="1">AVERAGE(OFFSET($CC$3,0,0,'Données projet'!$E$12+1,1))-AVERAGE(OFFSET($H$3,0,0,'Données projet'!$E$12+1,1))</f>
        <v>439.06700232017681</v>
      </c>
      <c r="CE88" s="62">
        <f t="shared" si="94"/>
        <v>278.21741231699929</v>
      </c>
      <c r="CF88" s="16">
        <f>IF(ISNA(VLOOKUP(A88,'Données projet'!$A$113:$I$133,3,0)),0,VLOOKUP(A88,'Données projet'!$A$113:$I$133,3,0))</f>
        <v>14</v>
      </c>
      <c r="CG88" s="16">
        <f>IF(ISNA(VLOOKUP(A88,'Données projet'!$A$113:$I$133,4,0)),0,VLOOKUP(A88,'Données projet'!$A$113:$I$133,4,0))</f>
        <v>28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0.81041794472758799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0.81041794472758799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317.99999999999972</v>
      </c>
      <c r="CU88" s="18">
        <f>CT88*VLOOKUP('Données projet'!$B$13,Paramètres!$A$1:$I$89,3,0)*VLOOKUP('Données projet'!$B$13,Paramètres!$A$1:$I$89,5,0)</f>
        <v>233.1575999999998</v>
      </c>
      <c r="CV88" s="14">
        <f t="shared" si="95"/>
        <v>56.964885721091697</v>
      </c>
      <c r="CW88" s="22">
        <f t="shared" si="67"/>
        <v>505.29666263090093</v>
      </c>
      <c r="CX88" s="62">
        <f t="shared" si="68"/>
        <v>798.62999596423424</v>
      </c>
      <c r="CY88" s="62">
        <f ca="1">AVERAGE(OFFSET($CX$3,0,0,'Données projet'!$E$13+1,1))-AVERAGE(OFFSET($H$3,0,0,'Données projet'!$E$13+1,1))</f>
        <v>327.81662150328646</v>
      </c>
      <c r="CZ88" s="62">
        <f t="shared" si="96"/>
        <v>320.24200483294322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0.67341123233933131</v>
      </c>
      <c r="DG88" s="23">
        <f>EXP(-LN(2)/25)*DG87+(1-EXP(-LN(2)/25))/(LN(2)/25)*Calculateur!DB88*Calculateur!DD88*VLOOKUP('Données projet'!$B$13,Paramètres!$A$1:$I$89,3,0)*0.475*44/12</f>
        <v>0</v>
      </c>
      <c r="DH88" s="23">
        <f>EXP(-LN(2)/2)*DH87+(1-EXP(-LN(2)/2))/(LN(2)/2)*DB88*DE88*VLOOKUP('Données projet'!$B$13,Paramètres!$A$1:$I$89,3,0)*0.475*44/12</f>
        <v>0</v>
      </c>
      <c r="DI88" s="24">
        <f t="shared" si="69"/>
        <v>0.67341123233933131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>
        <f>VLOOKUP(A88,'Données projet'!$A$165:$I$185,2,0)</f>
        <v>200</v>
      </c>
      <c r="DM88" s="13">
        <f>VLOOKUP(A88,'Données projet'!$A$165:$I$185,9,0)</f>
        <v>3.8</v>
      </c>
      <c r="DN88" s="13">
        <f t="array" ref="DN88">INDEX(DM:DM,MIN(IF(ISNUMBER(DM88:DM284),ROW(DM88:DM284),"")))</f>
        <v>3.8</v>
      </c>
      <c r="DO88" s="13">
        <f>IF('Données projet'!$A$166&gt;35,DO87+DN88-DW87,IF(A88&lt;'Données projet'!$A$166,$DL$205^A88,IF(A88='Données projet'!$A$166,'Données projet'!$B$166,DO87+DN88-DW87)))</f>
        <v>200.00000000000009</v>
      </c>
      <c r="DP88" s="18">
        <f>DO88*VLOOKUP('Données projet'!$B$14,Paramètres!$A$1:$I$89,3,0)*VLOOKUP('Données projet'!$B$14,Paramètres!$A$1:$I$89,5,0)</f>
        <v>131.04000000000005</v>
      </c>
      <c r="DQ88" s="14">
        <f t="shared" si="97"/>
        <v>34.236561238949918</v>
      </c>
      <c r="DR88" s="22">
        <f t="shared" si="70"/>
        <v>287.85667749117118</v>
      </c>
      <c r="DS88" s="62">
        <f t="shared" si="71"/>
        <v>581.1900108245045</v>
      </c>
      <c r="DT88" s="62">
        <f ca="1">AVERAGE(OFFSET($DS$3,0,0,'Données projet'!$E$14+1,1))-AVERAGE(OFFSET($H$3,0,0,'Données projet'!$E$14+1,1))</f>
        <v>210.08998695869161</v>
      </c>
      <c r="DU88" s="62">
        <f t="shared" si="98"/>
        <v>207.30911916430881</v>
      </c>
      <c r="DV88" s="16">
        <f>IF(ISNA(VLOOKUP(A88,'Données projet'!$A$165:$I$185,3,0)),0,VLOOKUP(A88,'Données projet'!$A$165:$I$185,3,0))</f>
        <v>16</v>
      </c>
      <c r="DW88" s="16">
        <f>IF(ISNA(VLOOKUP(A88,'Données projet'!$A$165:$I$185,4,0)),0,VLOOKUP(A88,'Données projet'!$A$165:$I$185,4,0))</f>
        <v>14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>
        <f>EXP(-LN(2)/35)*EA87+(1-EXP(-LN(2)/35))/(LN(2)/35)*DW88*DX88*VLOOKUP('Données projet'!$B$14,Paramètres!$A$1:$I$89,3,0)*0.475*44/12</f>
        <v>0.15474130445244194</v>
      </c>
      <c r="EB88" s="23">
        <f>EXP(-LN(2)/25)*EB87+(1-EXP(-LN(2)/25))/(LN(2)/25)*Calculateur!DW88*Calculateur!DY88*VLOOKUP('Données projet'!$B$14,Paramètres!$A$1:$I$89,3,0)*0.475*44/12</f>
        <v>0</v>
      </c>
      <c r="EC88" s="23">
        <f>EXP(-LN(2)/2)*EC87+(1-EXP(-LN(2)/2))/(LN(2)/2)*DW88*DZ88*VLOOKUP('Données projet'!$B$14,Paramètres!$A$1:$I$89,3,0)*0.475*44/12</f>
        <v>0</v>
      </c>
      <c r="ED88" s="24">
        <f t="shared" si="72"/>
        <v>0.15474130445244194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5.6843418860808015E-14</v>
      </c>
      <c r="EK88" s="18">
        <f>EJ88*VLOOKUP('Données projet'!$B$15,Paramètres!$A$1:$I$89,3,0)*VLOOKUP('Données projet'!$B$15,Paramètres!$A$1:$I$89,5,0)</f>
        <v>4.4337866711430253E-14</v>
      </c>
      <c r="EL88" s="14">
        <f t="shared" si="99"/>
        <v>7.3222115536967035E-13</v>
      </c>
      <c r="EM88" s="22">
        <f t="shared" si="73"/>
        <v>1.3525069634579169E-12</v>
      </c>
      <c r="EN88" s="62">
        <f t="shared" si="74"/>
        <v>293.33333333333468</v>
      </c>
      <c r="EO88" s="62">
        <f ca="1">AVERAGE(OFFSET($EN$3,0,0,'Données projet'!$E$15+1,1))-AVERAGE(OFFSET($H$3,0,0,'Données projet'!$E$15+1,1))</f>
        <v>288.82868507674738</v>
      </c>
      <c r="EP88" s="62">
        <f t="shared" si="100"/>
        <v>283.48738729114024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>
        <f>EXP(-LN(2)/35)*EV87+(1-EXP(-LN(2)/35))/(LN(2)/35)*ER88*ES88*VLOOKUP('Données projet'!$B$15,Paramètres!$A$1:$I$89,3,0)*0.475*44/12</f>
        <v>0.61017232706481439</v>
      </c>
      <c r="EW88" s="23">
        <f>EXP(-LN(2)/25)*EW87+(1-EXP(-LN(2)/25))/(LN(2)/25)*Calculateur!ER88*Calculateur!ET88*VLOOKUP('Données projet'!$B$15,Paramètres!$A$1:$I$89,3,0)*0.475*44/12</f>
        <v>0</v>
      </c>
      <c r="EX88" s="23">
        <f>EXP(-LN(2)/2)*EX87+(1-EXP(-LN(2)/2))/(LN(2)/2)*ER88*EU88*VLOOKUP('Données projet'!$B$15,Paramètres!$A$1:$I$89,3,0)*0.475*44/12</f>
        <v>0</v>
      </c>
      <c r="EY88" s="24">
        <f t="shared" si="75"/>
        <v>0.61017232706481439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14.142857142857142</v>
      </c>
      <c r="N89" s="14">
        <f>IF('Données projet'!$A$36&gt;35,N88+M89-V88,IF(A89&lt;'Données projet'!$A$36,$K$205^A89,IF(A89='Données projet'!$A$36,'Données projet'!$B$36,N88+M89-V88)))</f>
        <v>507.85714285714334</v>
      </c>
      <c r="O89" s="14">
        <f>N89*VLOOKUP('Données projet'!$B$9,Paramètres!$A$1:$I$89,3,0)*VLOOKUP('Données projet'!$B$9,Paramètres!$A$1:$I$89,5,0)</f>
        <v>237.67714285714308</v>
      </c>
      <c r="P89" s="14">
        <f t="shared" si="87"/>
        <v>57.939473914063178</v>
      </c>
      <c r="Q89" s="22">
        <f t="shared" si="54"/>
        <v>514.86560754318418</v>
      </c>
      <c r="R89" s="62">
        <f t="shared" si="55"/>
        <v>808.19894087651755</v>
      </c>
      <c r="S89" s="62">
        <f ca="1">AVERAGE(OFFSET($R$3,0,0,'Données projet'!$E$9+1,1))-AVERAGE(OFFSET($H$3,0,0,'Données projet'!$E$9+1,1))</f>
        <v>317.54276561627643</v>
      </c>
      <c r="T89" s="62">
        <f t="shared" si="88"/>
        <v>238.92443174298893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2.6</v>
      </c>
      <c r="AI89" s="14">
        <f>IF('Données projet'!$A$62&gt;35,AI88+AH89-AQ88,IF(A89&lt;'Données projet'!$A$62,$AF$205^A89,IF(A89='Données projet'!$A$62,'Données projet'!$B$62,AI88+AH89-AQ88)))</f>
        <v>225.59999999999991</v>
      </c>
      <c r="AJ89" s="14">
        <f>AI89*VLOOKUP('Données projet'!$B$10,Paramètres!$A$1:$I$89,3,0)*VLOOKUP('Données projet'!$B$10,Paramètres!$A$1:$I$89,5,0)</f>
        <v>197.08415999999994</v>
      </c>
      <c r="AK89" s="14">
        <f t="shared" si="89"/>
        <v>49.102807637925878</v>
      </c>
      <c r="AL89" s="22">
        <f t="shared" si="58"/>
        <v>428.77563530272073</v>
      </c>
      <c r="AM89" s="62">
        <f t="shared" si="59"/>
        <v>722.10896863605399</v>
      </c>
      <c r="AN89" s="62">
        <f ca="1">AVERAGE(OFFSET($AM$3,0,0,'Données projet'!$E$10+1,1))-AVERAGE(OFFSET($H$3,0,0,'Données projet'!$E$10+1,1))</f>
        <v>327.826081588335</v>
      </c>
      <c r="AO89" s="62">
        <f t="shared" si="90"/>
        <v>348.84706693879735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2.0274115376615076</v>
      </c>
      <c r="AV89" s="23">
        <f>EXP(-LN(2)/25)*AV88+(1-EXP(-LN(2)/25))/(LN(2)/25)*Calculateur!AQ89*Calculateur!AS89*VLOOKUP('Données projet'!$B$10,Paramètres!$A$1:$I$89,3,0)*0.475*44/12</f>
        <v>2.9042286956025118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4.9316402332640195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6.4</v>
      </c>
      <c r="BD89" s="13">
        <f>IF('Données projet'!$A$88&gt;35,BD88+BC89-BL88,IF(A89&lt;'Données projet'!$A$88,$BA$205^A89,IF(A89='Données projet'!$A$88,'Données projet'!$B$88,BD88+BC89-BL88)))</f>
        <v>304.40000000000003</v>
      </c>
      <c r="BE89" s="14">
        <f>BD89*VLOOKUP('Données projet'!$B$11,Paramètres!$A$1:$I$89,3,0)*VLOOKUP('Données projet'!$B$11,Paramètres!$A$1:$I$89,5,0)</f>
        <v>308.66160000000008</v>
      </c>
      <c r="BF89" s="14">
        <f t="shared" si="91"/>
        <v>72.98924863505313</v>
      </c>
      <c r="BG89" s="22">
        <f t="shared" si="61"/>
        <v>664.70856137271755</v>
      </c>
      <c r="BH89" s="62">
        <f t="shared" si="62"/>
        <v>958.04189470605093</v>
      </c>
      <c r="BI89" s="62">
        <f ca="1">AVERAGE(OFFSET($BH$3,0,0,'Données projet'!$E$11+1,1))-AVERAGE(OFFSET($H$3,0,0,'Données projet'!$E$11+1,1))</f>
        <v>487.04124684635974</v>
      </c>
      <c r="BJ89" s="62">
        <f t="shared" si="92"/>
        <v>306.61893266146666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0.89041722937836487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0.89041722937836487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6.4</v>
      </c>
      <c r="BY89" s="13">
        <f>IF('Données projet'!$A$114&gt;35,BY88+BX89-CG88,IF(A89&lt;'Données projet'!$A$114,$BV$205^A89,IF(A89='Données projet'!$A$114,'Données projet'!$B$114,BY88+BX89-CG88)))</f>
        <v>304.40000000000003</v>
      </c>
      <c r="BZ89" s="14">
        <f>BY89*VLOOKUP('Données projet'!$B$12,Paramètres!$A$1:$I$89,3,0)*VLOOKUP('Données projet'!$B$12,Paramètres!$A$1:$I$89,5,0)</f>
        <v>275.42112000000003</v>
      </c>
      <c r="CA89" s="14">
        <f t="shared" si="93"/>
        <v>65.998433293601067</v>
      </c>
      <c r="CB89" s="22">
        <f t="shared" si="64"/>
        <v>594.63905531968851</v>
      </c>
      <c r="CC89" s="62">
        <f t="shared" si="65"/>
        <v>887.97238865302188</v>
      </c>
      <c r="CD89" s="62">
        <f ca="1">AVERAGE(OFFSET($CC$3,0,0,'Données projet'!$E$12+1,1))-AVERAGE(OFFSET($H$3,0,0,'Données projet'!$E$12+1,1))</f>
        <v>439.06700232017681</v>
      </c>
      <c r="CE89" s="62">
        <f t="shared" si="94"/>
        <v>278.21741231699929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0.7945261431376176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0.7945261431376176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317.99999999999972</v>
      </c>
      <c r="CU89" s="18">
        <f>CT89*VLOOKUP('Données projet'!$B$13,Paramètres!$A$1:$I$89,3,0)*VLOOKUP('Données projet'!$B$13,Paramètres!$A$1:$I$89,5,0)</f>
        <v>233.1575999999998</v>
      </c>
      <c r="CV89" s="14">
        <f t="shared" si="95"/>
        <v>56.964885721091697</v>
      </c>
      <c r="CW89" s="22">
        <f t="shared" si="67"/>
        <v>505.29666263090093</v>
      </c>
      <c r="CX89" s="62">
        <f t="shared" si="68"/>
        <v>798.62999596423424</v>
      </c>
      <c r="CY89" s="62">
        <f ca="1">AVERAGE(OFFSET($CX$3,0,0,'Données projet'!$E$13+1,1))-AVERAGE(OFFSET($H$3,0,0,'Données projet'!$E$13+1,1))</f>
        <v>327.81662150328646</v>
      </c>
      <c r="CZ89" s="62">
        <f t="shared" si="96"/>
        <v>320.24200483294322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0.66020604881345146</v>
      </c>
      <c r="DG89" s="23">
        <f>EXP(-LN(2)/25)*DG88+(1-EXP(-LN(2)/25))/(LN(2)/25)*Calculateur!DB89*Calculateur!DD89*VLOOKUP('Données projet'!$B$13,Paramètres!$A$1:$I$89,3,0)*0.475*44/12</f>
        <v>0</v>
      </c>
      <c r="DH89" s="23">
        <f>EXP(-LN(2)/2)*DH88+(1-EXP(-LN(2)/2))/(LN(2)/2)*DB89*DE89*VLOOKUP('Données projet'!$B$13,Paramètres!$A$1:$I$89,3,0)*0.475*44/12</f>
        <v>0</v>
      </c>
      <c r="DI89" s="24">
        <f t="shared" si="69"/>
        <v>0.66020604881345146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3.6</v>
      </c>
      <c r="DO89" s="13">
        <f>IF('Données projet'!$A$166&gt;35,DO88+DN89-DW88,IF(A89&lt;'Données projet'!$A$166,$DL$205^A89,IF(A89='Données projet'!$A$166,'Données projet'!$B$166,DO88+DN89-DW88)))</f>
        <v>189.60000000000008</v>
      </c>
      <c r="DP89" s="18">
        <f>DO89*VLOOKUP('Données projet'!$B$14,Paramètres!$A$1:$I$89,3,0)*VLOOKUP('Données projet'!$B$14,Paramètres!$A$1:$I$89,5,0)</f>
        <v>124.22592000000006</v>
      </c>
      <c r="DQ89" s="14">
        <f t="shared" si="97"/>
        <v>32.658631616019996</v>
      </c>
      <c r="DR89" s="22">
        <f t="shared" si="70"/>
        <v>273.24059406456826</v>
      </c>
      <c r="DS89" s="62">
        <f t="shared" si="71"/>
        <v>566.57392739790157</v>
      </c>
      <c r="DT89" s="62">
        <f ca="1">AVERAGE(OFFSET($DS$3,0,0,'Données projet'!$E$14+1,1))-AVERAGE(OFFSET($H$3,0,0,'Données projet'!$E$14+1,1))</f>
        <v>210.08998695869161</v>
      </c>
      <c r="DU89" s="62">
        <f t="shared" si="98"/>
        <v>207.30911916430881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>
        <f>EXP(-LN(2)/35)*EA88+(1-EXP(-LN(2)/35))/(LN(2)/35)*DW89*DX89*VLOOKUP('Données projet'!$B$14,Paramètres!$A$1:$I$89,3,0)*0.475*44/12</f>
        <v>0.15170692185500573</v>
      </c>
      <c r="EB89" s="23">
        <f>EXP(-LN(2)/25)*EB88+(1-EXP(-LN(2)/25))/(LN(2)/25)*Calculateur!DW89*Calculateur!DY89*VLOOKUP('Données projet'!$B$14,Paramètres!$A$1:$I$89,3,0)*0.475*44/12</f>
        <v>0</v>
      </c>
      <c r="EC89" s="23">
        <f>EXP(-LN(2)/2)*EC88+(1-EXP(-LN(2)/2))/(LN(2)/2)*DW89*DZ89*VLOOKUP('Données projet'!$B$14,Paramètres!$A$1:$I$89,3,0)*0.475*44/12</f>
        <v>0</v>
      </c>
      <c r="ED89" s="24">
        <f t="shared" si="72"/>
        <v>0.15170692185500573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5.6843418860808015E-14</v>
      </c>
      <c r="EK89" s="18">
        <f>EJ89*VLOOKUP('Données projet'!$B$15,Paramètres!$A$1:$I$89,3,0)*VLOOKUP('Données projet'!$B$15,Paramètres!$A$1:$I$89,5,0)</f>
        <v>4.4337866711430253E-14</v>
      </c>
      <c r="EL89" s="14">
        <f t="shared" si="99"/>
        <v>7.3222115536967035E-13</v>
      </c>
      <c r="EM89" s="22">
        <f t="shared" si="73"/>
        <v>1.3525069634579169E-12</v>
      </c>
      <c r="EN89" s="62">
        <f t="shared" si="74"/>
        <v>293.33333333333468</v>
      </c>
      <c r="EO89" s="62">
        <f ca="1">AVERAGE(OFFSET($EN$3,0,0,'Données projet'!$E$15+1,1))-AVERAGE(OFFSET($H$3,0,0,'Données projet'!$E$15+1,1))</f>
        <v>288.82868507674738</v>
      </c>
      <c r="EP89" s="62">
        <f t="shared" si="100"/>
        <v>283.48738729114024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>
        <f>EXP(-LN(2)/35)*EV88+(1-EXP(-LN(2)/35))/(LN(2)/35)*ER89*ES89*VLOOKUP('Données projet'!$B$15,Paramètres!$A$1:$I$89,3,0)*0.475*44/12</f>
        <v>0.59820721989944436</v>
      </c>
      <c r="EW89" s="23">
        <f>EXP(-LN(2)/25)*EW88+(1-EXP(-LN(2)/25))/(LN(2)/25)*Calculateur!ER89*Calculateur!ET89*VLOOKUP('Données projet'!$B$15,Paramètres!$A$1:$I$89,3,0)*0.475*44/12</f>
        <v>0</v>
      </c>
      <c r="EX89" s="23">
        <f>EXP(-LN(2)/2)*EX88+(1-EXP(-LN(2)/2))/(LN(2)/2)*ER89*EU89*VLOOKUP('Données projet'!$B$15,Paramètres!$A$1:$I$89,3,0)*0.475*44/12</f>
        <v>0</v>
      </c>
      <c r="EY89" s="24">
        <f t="shared" si="75"/>
        <v>0.59820721989944436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>
        <f>VLOOKUP(A90,'Données projet'!$A$35:$I$55,2,0)</f>
        <v>522</v>
      </c>
      <c r="L90" s="13">
        <f>VLOOKUP(A90,'Données projet'!$A$35:$I$55,9,0)</f>
        <v>14.142857142857142</v>
      </c>
      <c r="M90" s="13">
        <f t="array" ref="M90">INDEX(L:L,MIN(IF(ISNUMBER(L90:L286),ROW(L90:L286),"")))</f>
        <v>14.142857142857142</v>
      </c>
      <c r="N90" s="14">
        <f>IF('Données projet'!$A$36&gt;35,N89+M90-V89,IF(A90&lt;'Données projet'!$A$36,$K$205^A90,IF(A90='Données projet'!$A$36,'Données projet'!$B$36,N89+M90-V89)))</f>
        <v>522.00000000000045</v>
      </c>
      <c r="O90" s="14">
        <f>N90*VLOOKUP('Données projet'!$B$9,Paramètres!$A$1:$I$89,3,0)*VLOOKUP('Données projet'!$B$9,Paramètres!$A$1:$I$89,5,0)</f>
        <v>244.29600000000022</v>
      </c>
      <c r="P90" s="14">
        <f t="shared" si="87"/>
        <v>59.362879241040417</v>
      </c>
      <c r="Q90" s="22">
        <f t="shared" si="54"/>
        <v>528.87254801147901</v>
      </c>
      <c r="R90" s="62">
        <f t="shared" si="55"/>
        <v>822.20588134481227</v>
      </c>
      <c r="S90" s="62">
        <f ca="1">AVERAGE(OFFSET($R$3,0,0,'Données projet'!$E$9+1,1))-AVERAGE(OFFSET($H$3,0,0,'Données projet'!$E$9+1,1))</f>
        <v>317.54276561627643</v>
      </c>
      <c r="T90" s="62">
        <f t="shared" si="88"/>
        <v>238.92443174298893</v>
      </c>
      <c r="U90" s="16">
        <f>IF(ISNA(VLOOKUP(A90,'Données projet'!$A$35:$I$55,3,0)),0,VLOOKUP(A90,'Données projet'!$A$35:$I$55,3,0))</f>
        <v>15</v>
      </c>
      <c r="V90" s="16">
        <f>IF(ISNA(VLOOKUP(A90,'Données projet'!$A$35:$I$55,4,0)),0,VLOOKUP(A90,'Données projet'!$A$35:$I$55,4,0))</f>
        <v>89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2.6</v>
      </c>
      <c r="AI90" s="14">
        <f>IF('Données projet'!$A$62&gt;35,AI89+AH90-AQ89,IF(A90&lt;'Données projet'!$A$62,$AF$205^A90,IF(A90='Données projet'!$A$62,'Données projet'!$B$62,AI89+AH90-AQ89)))</f>
        <v>228.1999999999999</v>
      </c>
      <c r="AJ90" s="14">
        <f>AI90*VLOOKUP('Données projet'!$B$10,Paramètres!$A$1:$I$89,3,0)*VLOOKUP('Données projet'!$B$10,Paramètres!$A$1:$I$89,5,0)</f>
        <v>199.35551999999996</v>
      </c>
      <c r="AK90" s="14">
        <f t="shared" si="89"/>
        <v>49.602503932783179</v>
      </c>
      <c r="AL90" s="22">
        <f t="shared" si="58"/>
        <v>433.60189168293056</v>
      </c>
      <c r="AM90" s="62">
        <f t="shared" si="59"/>
        <v>726.93522501626387</v>
      </c>
      <c r="AN90" s="62">
        <f ca="1">AVERAGE(OFFSET($AM$3,0,0,'Données projet'!$E$10+1,1))-AVERAGE(OFFSET($H$3,0,0,'Données projet'!$E$10+1,1))</f>
        <v>327.826081588335</v>
      </c>
      <c r="AO90" s="62">
        <f t="shared" si="90"/>
        <v>348.84706693879735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1.9876552340068994</v>
      </c>
      <c r="AV90" s="23">
        <f>EXP(-LN(2)/25)*AV89+(1-EXP(-LN(2)/25))/(LN(2)/25)*Calculateur!AQ90*Calculateur!AS90*VLOOKUP('Données projet'!$B$10,Paramètres!$A$1:$I$89,3,0)*0.475*44/12</f>
        <v>2.8248124091945117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4.8124676432014111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6.4</v>
      </c>
      <c r="BD90" s="13">
        <f>IF('Données projet'!$A$88&gt;35,BD89+BC90-BL89,IF(A90&lt;'Données projet'!$A$88,$BA$205^A90,IF(A90='Données projet'!$A$88,'Données projet'!$B$88,BD89+BC90-BL89)))</f>
        <v>310.8</v>
      </c>
      <c r="BE90" s="14">
        <f>BD90*VLOOKUP('Données projet'!$B$11,Paramètres!$A$1:$I$89,3,0)*VLOOKUP('Données projet'!$B$11,Paramètres!$A$1:$I$89,5,0)</f>
        <v>315.15120000000002</v>
      </c>
      <c r="BF90" s="14">
        <f t="shared" si="91"/>
        <v>74.343571754005879</v>
      </c>
      <c r="BG90" s="22">
        <f t="shared" si="61"/>
        <v>678.37006080489357</v>
      </c>
      <c r="BH90" s="62">
        <f t="shared" si="62"/>
        <v>971.70339413822694</v>
      </c>
      <c r="BI90" s="62">
        <f ca="1">AVERAGE(OFFSET($BH$3,0,0,'Données projet'!$E$11+1,1))-AVERAGE(OFFSET($H$3,0,0,'Données projet'!$E$11+1,1))</f>
        <v>487.04124684635974</v>
      </c>
      <c r="BJ90" s="62">
        <f t="shared" si="92"/>
        <v>306.61893266146666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0.87295669061113834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0.87295669061113834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6.4</v>
      </c>
      <c r="BY90" s="13">
        <f>IF('Données projet'!$A$114&gt;35,BY89+BX90-CG89,IF(A90&lt;'Données projet'!$A$114,$BV$205^A90,IF(A90='Données projet'!$A$114,'Données projet'!$B$114,BY89+BX90-CG89)))</f>
        <v>310.8</v>
      </c>
      <c r="BZ90" s="14">
        <f>BY90*VLOOKUP('Données projet'!$B$12,Paramètres!$A$1:$I$89,3,0)*VLOOKUP('Données projet'!$B$12,Paramètres!$A$1:$I$89,5,0)</f>
        <v>281.21184</v>
      </c>
      <c r="CA90" s="14">
        <f t="shared" si="93"/>
        <v>67.22304110496664</v>
      </c>
      <c r="CB90" s="22">
        <f t="shared" si="64"/>
        <v>606.85741792448357</v>
      </c>
      <c r="CC90" s="62">
        <f t="shared" si="65"/>
        <v>900.19075125781683</v>
      </c>
      <c r="CD90" s="62">
        <f ca="1">AVERAGE(OFFSET($CC$3,0,0,'Données projet'!$E$12+1,1))-AVERAGE(OFFSET($H$3,0,0,'Données projet'!$E$12+1,1))</f>
        <v>439.06700232017681</v>
      </c>
      <c r="CE90" s="62">
        <f t="shared" si="94"/>
        <v>278.21741231699929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0.77894597008378463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0.77894597008378463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317.99999999999972</v>
      </c>
      <c r="CU90" s="18">
        <f>CT90*VLOOKUP('Données projet'!$B$13,Paramètres!$A$1:$I$89,3,0)*VLOOKUP('Données projet'!$B$13,Paramètres!$A$1:$I$89,5,0)</f>
        <v>233.1575999999998</v>
      </c>
      <c r="CV90" s="14">
        <f t="shared" si="95"/>
        <v>56.964885721091697</v>
      </c>
      <c r="CW90" s="22">
        <f t="shared" si="67"/>
        <v>505.29666263090093</v>
      </c>
      <c r="CX90" s="62">
        <f t="shared" si="68"/>
        <v>798.62999596423424</v>
      </c>
      <c r="CY90" s="62">
        <f ca="1">AVERAGE(OFFSET($CX$3,0,0,'Données projet'!$E$13+1,1))-AVERAGE(OFFSET($H$3,0,0,'Données projet'!$E$13+1,1))</f>
        <v>327.81662150328646</v>
      </c>
      <c r="CZ90" s="62">
        <f t="shared" si="96"/>
        <v>320.24200483294322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0.64725981088214757</v>
      </c>
      <c r="DG90" s="23">
        <f>EXP(-LN(2)/25)*DG89+(1-EXP(-LN(2)/25))/(LN(2)/25)*Calculateur!DB90*Calculateur!DD90*VLOOKUP('Données projet'!$B$13,Paramètres!$A$1:$I$89,3,0)*0.475*44/12</f>
        <v>0</v>
      </c>
      <c r="DH90" s="23">
        <f>EXP(-LN(2)/2)*DH89+(1-EXP(-LN(2)/2))/(LN(2)/2)*DB90*DE90*VLOOKUP('Données projet'!$B$13,Paramètres!$A$1:$I$89,3,0)*0.475*44/12</f>
        <v>0</v>
      </c>
      <c r="DI90" s="24">
        <f t="shared" si="69"/>
        <v>0.64725981088214757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3.6</v>
      </c>
      <c r="DO90" s="13">
        <f>IF('Données projet'!$A$166&gt;35,DO89+DN90-DW89,IF(A90&lt;'Données projet'!$A$166,$DL$205^A90,IF(A90='Données projet'!$A$166,'Données projet'!$B$166,DO89+DN90-DW89)))</f>
        <v>193.20000000000007</v>
      </c>
      <c r="DP90" s="18">
        <f>DO90*VLOOKUP('Données projet'!$B$14,Paramètres!$A$1:$I$89,3,0)*VLOOKUP('Données projet'!$B$14,Paramètres!$A$1:$I$89,5,0)</f>
        <v>126.58464000000006</v>
      </c>
      <c r="DQ90" s="14">
        <f t="shared" si="97"/>
        <v>33.205951254973805</v>
      </c>
      <c r="DR90" s="22">
        <f t="shared" si="70"/>
        <v>278.30194643574617</v>
      </c>
      <c r="DS90" s="62">
        <f t="shared" si="71"/>
        <v>571.63527976907949</v>
      </c>
      <c r="DT90" s="62">
        <f ca="1">AVERAGE(OFFSET($DS$3,0,0,'Données projet'!$E$14+1,1))-AVERAGE(OFFSET($H$3,0,0,'Données projet'!$E$14+1,1))</f>
        <v>210.08998695869161</v>
      </c>
      <c r="DU90" s="62">
        <f t="shared" si="98"/>
        <v>207.30911916430881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>
        <f>EXP(-LN(2)/35)*EA89+(1-EXP(-LN(2)/35))/(LN(2)/35)*DW90*DX90*VLOOKUP('Données projet'!$B$14,Paramètres!$A$1:$I$89,3,0)*0.475*44/12</f>
        <v>0.14873204164951462</v>
      </c>
      <c r="EB90" s="23">
        <f>EXP(-LN(2)/25)*EB89+(1-EXP(-LN(2)/25))/(LN(2)/25)*Calculateur!DW90*Calculateur!DY90*VLOOKUP('Données projet'!$B$14,Paramètres!$A$1:$I$89,3,0)*0.475*44/12</f>
        <v>0</v>
      </c>
      <c r="EC90" s="23">
        <f>EXP(-LN(2)/2)*EC89+(1-EXP(-LN(2)/2))/(LN(2)/2)*DW90*DZ90*VLOOKUP('Données projet'!$B$14,Paramètres!$A$1:$I$89,3,0)*0.475*44/12</f>
        <v>0</v>
      </c>
      <c r="ED90" s="24">
        <f t="shared" si="72"/>
        <v>0.14873204164951462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5.6843418860808015E-14</v>
      </c>
      <c r="EK90" s="18">
        <f>EJ90*VLOOKUP('Données projet'!$B$15,Paramètres!$A$1:$I$89,3,0)*VLOOKUP('Données projet'!$B$15,Paramètres!$A$1:$I$89,5,0)</f>
        <v>4.4337866711430253E-14</v>
      </c>
      <c r="EL90" s="14">
        <f t="shared" si="99"/>
        <v>7.3222115536967035E-13</v>
      </c>
      <c r="EM90" s="22">
        <f t="shared" si="73"/>
        <v>1.3525069634579169E-12</v>
      </c>
      <c r="EN90" s="62">
        <f t="shared" si="74"/>
        <v>293.33333333333468</v>
      </c>
      <c r="EO90" s="62">
        <f ca="1">AVERAGE(OFFSET($EN$3,0,0,'Données projet'!$E$15+1,1))-AVERAGE(OFFSET($H$3,0,0,'Données projet'!$E$15+1,1))</f>
        <v>288.82868507674738</v>
      </c>
      <c r="EP90" s="62">
        <f t="shared" si="100"/>
        <v>283.48738729114024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>
        <f>EXP(-LN(2)/35)*EV89+(1-EXP(-LN(2)/35))/(LN(2)/35)*ER90*ES90*VLOOKUP('Données projet'!$B$15,Paramètres!$A$1:$I$89,3,0)*0.475*44/12</f>
        <v>0.58647674118759241</v>
      </c>
      <c r="EW90" s="23">
        <f>EXP(-LN(2)/25)*EW89+(1-EXP(-LN(2)/25))/(LN(2)/25)*Calculateur!ER90*Calculateur!ET90*VLOOKUP('Données projet'!$B$15,Paramètres!$A$1:$I$89,3,0)*0.475*44/12</f>
        <v>0</v>
      </c>
      <c r="EX90" s="23">
        <f>EXP(-LN(2)/2)*EX89+(1-EXP(-LN(2)/2))/(LN(2)/2)*ER90*EU90*VLOOKUP('Données projet'!$B$15,Paramètres!$A$1:$I$89,3,0)*0.475*44/12</f>
        <v>0</v>
      </c>
      <c r="EY90" s="24">
        <f t="shared" si="75"/>
        <v>0.58647674118759241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>
        <f>VLOOKUP(A91,'Données projet'!$A$35:$I$55,2,0)</f>
        <v>447</v>
      </c>
      <c r="L91" s="13">
        <f>VLOOKUP(A91,'Données projet'!$A$35:$I$55,9,0)</f>
        <v>14</v>
      </c>
      <c r="M91" s="13">
        <f t="array" ref="M91">INDEX(L:L,MIN(IF(ISNUMBER(L91:L287),ROW(L91:L287),"")))</f>
        <v>14</v>
      </c>
      <c r="N91" s="14">
        <f>IF('Données projet'!$A$36&gt;35,N90+M91-V90,IF(A91&lt;'Données projet'!$A$36,$K$205^A91,IF(A91='Données projet'!$A$36,'Données projet'!$B$36,N90+M91-V90)))</f>
        <v>447.00000000000045</v>
      </c>
      <c r="O91" s="14">
        <f>N91*VLOOKUP('Données projet'!$B$9,Paramètres!$A$1:$I$89,3,0)*VLOOKUP('Données projet'!$B$9,Paramètres!$A$1:$I$89,5,0)</f>
        <v>209.19600000000023</v>
      </c>
      <c r="P91" s="14">
        <f t="shared" si="87"/>
        <v>51.759852265375834</v>
      </c>
      <c r="Q91" s="22">
        <f t="shared" si="54"/>
        <v>454.4981093621966</v>
      </c>
      <c r="R91" s="62">
        <f t="shared" si="55"/>
        <v>747.83144269552986</v>
      </c>
      <c r="S91" s="62">
        <f ca="1">AVERAGE(OFFSET($R$3,0,0,'Données projet'!$E$9+1,1))-AVERAGE(OFFSET($H$3,0,0,'Données projet'!$E$9+1,1))</f>
        <v>317.54276561627643</v>
      </c>
      <c r="T91" s="62">
        <f t="shared" si="88"/>
        <v>238.92443174298893</v>
      </c>
      <c r="U91" s="16">
        <f>IF(ISNA(VLOOKUP(A91,'Données projet'!$A$35:$I$55,3,0)),0,VLOOKUP(A91,'Données projet'!$A$35:$I$55,3,0))</f>
        <v>16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2.6</v>
      </c>
      <c r="AI91" s="14">
        <f>IF('Données projet'!$A$62&gt;35,AI90+AH91-AQ90,IF(A91&lt;'Données projet'!$A$62,$AF$205^A91,IF(A91='Données projet'!$A$62,'Données projet'!$B$62,AI90+AH91-AQ90)))</f>
        <v>230.7999999999999</v>
      </c>
      <c r="AJ91" s="14">
        <f>AI91*VLOOKUP('Données projet'!$B$10,Paramètres!$A$1:$I$89,3,0)*VLOOKUP('Données projet'!$B$10,Paramètres!$A$1:$I$89,5,0)</f>
        <v>201.62687999999994</v>
      </c>
      <c r="AK91" s="14">
        <f t="shared" si="89"/>
        <v>50.101537951964936</v>
      </c>
      <c r="AL91" s="22">
        <f t="shared" si="58"/>
        <v>438.42699459967213</v>
      </c>
      <c r="AM91" s="62">
        <f t="shared" si="59"/>
        <v>731.76032793300544</v>
      </c>
      <c r="AN91" s="62">
        <f ca="1">AVERAGE(OFFSET($AM$3,0,0,'Données projet'!$E$10+1,1))-AVERAGE(OFFSET($H$3,0,0,'Données projet'!$E$10+1,1))</f>
        <v>327.826081588335</v>
      </c>
      <c r="AO91" s="62">
        <f t="shared" si="90"/>
        <v>348.84706693879735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1.9486785272180072</v>
      </c>
      <c r="AV91" s="23">
        <f>EXP(-LN(2)/25)*AV90+(1-EXP(-LN(2)/25))/(LN(2)/25)*Calculateur!AQ91*Calculateur!AS91*VLOOKUP('Données projet'!$B$10,Paramètres!$A$1:$I$89,3,0)*0.475*44/12</f>
        <v>2.7475677653146593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4.6962462925326669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6.4</v>
      </c>
      <c r="BD91" s="13">
        <f>IF('Données projet'!$A$88&gt;35,BD90+BC91-BL90,IF(A91&lt;'Données projet'!$A$88,$BA$205^A91,IF(A91='Données projet'!$A$88,'Données projet'!$B$88,BD90+BC91-BL90)))</f>
        <v>317.2</v>
      </c>
      <c r="BE91" s="14">
        <f>BD91*VLOOKUP('Données projet'!$B$11,Paramètres!$A$1:$I$89,3,0)*VLOOKUP('Données projet'!$B$11,Paramètres!$A$1:$I$89,5,0)</f>
        <v>321.64080000000001</v>
      </c>
      <c r="BF91" s="14">
        <f t="shared" si="91"/>
        <v>75.694652325793228</v>
      </c>
      <c r="BG91" s="22">
        <f t="shared" si="61"/>
        <v>692.0259128007566</v>
      </c>
      <c r="BH91" s="62">
        <f t="shared" si="62"/>
        <v>985.35924613408997</v>
      </c>
      <c r="BI91" s="62">
        <f ca="1">AVERAGE(OFFSET($BH$3,0,0,'Données projet'!$E$11+1,1))-AVERAGE(OFFSET($H$3,0,0,'Données projet'!$E$11+1,1))</f>
        <v>487.04124684635974</v>
      </c>
      <c r="BJ91" s="62">
        <f t="shared" si="92"/>
        <v>306.61893266146666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0.85583854235926005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0.85583854235926005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6.4</v>
      </c>
      <c r="BY91" s="13">
        <f>IF('Données projet'!$A$114&gt;35,BY90+BX91-CG90,IF(A91&lt;'Données projet'!$A$114,$BV$205^A91,IF(A91='Données projet'!$A$114,'Données projet'!$B$114,BY90+BX91-CG90)))</f>
        <v>317.2</v>
      </c>
      <c r="BZ91" s="14">
        <f>BY91*VLOOKUP('Données projet'!$B$12,Paramètres!$A$1:$I$89,3,0)*VLOOKUP('Données projet'!$B$12,Paramètres!$A$1:$I$89,5,0)</f>
        <v>287.00255999999996</v>
      </c>
      <c r="CA91" s="14">
        <f t="shared" si="93"/>
        <v>68.444716936118553</v>
      </c>
      <c r="CB91" s="22">
        <f t="shared" si="64"/>
        <v>619.07067399707296</v>
      </c>
      <c r="CC91" s="62">
        <f t="shared" si="65"/>
        <v>912.40400733040633</v>
      </c>
      <c r="CD91" s="62">
        <f ca="1">AVERAGE(OFFSET($CC$3,0,0,'Données projet'!$E$12+1,1))-AVERAGE(OFFSET($H$3,0,0,'Données projet'!$E$12+1,1))</f>
        <v>439.06700232017681</v>
      </c>
      <c r="CE91" s="62">
        <f t="shared" si="94"/>
        <v>278.21741231699929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0.76367131472057015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0.76367131472057015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317.99999999999972</v>
      </c>
      <c r="CU91" s="18">
        <f>CT91*VLOOKUP('Données projet'!$B$13,Paramètres!$A$1:$I$89,3,0)*VLOOKUP('Données projet'!$B$13,Paramètres!$A$1:$I$89,5,0)</f>
        <v>233.1575999999998</v>
      </c>
      <c r="CV91" s="14">
        <f t="shared" si="95"/>
        <v>56.964885721091697</v>
      </c>
      <c r="CW91" s="22">
        <f t="shared" si="67"/>
        <v>505.29666263090093</v>
      </c>
      <c r="CX91" s="62">
        <f t="shared" si="68"/>
        <v>798.62999596423424</v>
      </c>
      <c r="CY91" s="62">
        <f ca="1">AVERAGE(OFFSET($CX$3,0,0,'Données projet'!$E$13+1,1))-AVERAGE(OFFSET($H$3,0,0,'Données projet'!$E$13+1,1))</f>
        <v>327.81662150328646</v>
      </c>
      <c r="CZ91" s="62">
        <f t="shared" si="96"/>
        <v>320.24200483294322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0.63456744078025107</v>
      </c>
      <c r="DG91" s="23">
        <f>EXP(-LN(2)/25)*DG90+(1-EXP(-LN(2)/25))/(LN(2)/25)*Calculateur!DB91*Calculateur!DD91*VLOOKUP('Données projet'!$B$13,Paramètres!$A$1:$I$89,3,0)*0.475*44/12</f>
        <v>0</v>
      </c>
      <c r="DH91" s="23">
        <f>EXP(-LN(2)/2)*DH90+(1-EXP(-LN(2)/2))/(LN(2)/2)*DB91*DE91*VLOOKUP('Données projet'!$B$13,Paramètres!$A$1:$I$89,3,0)*0.475*44/12</f>
        <v>0</v>
      </c>
      <c r="DI91" s="24">
        <f t="shared" si="69"/>
        <v>0.63456744078025107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3.6</v>
      </c>
      <c r="DO91" s="13">
        <f>IF('Données projet'!$A$166&gt;35,DO90+DN91-DW90,IF(A91&lt;'Données projet'!$A$166,$DL$205^A91,IF(A91='Données projet'!$A$166,'Données projet'!$B$166,DO90+DN91-DW90)))</f>
        <v>196.80000000000007</v>
      </c>
      <c r="DP91" s="18">
        <f>DO91*VLOOKUP('Données projet'!$B$14,Paramètres!$A$1:$I$89,3,0)*VLOOKUP('Données projet'!$B$14,Paramètres!$A$1:$I$89,5,0)</f>
        <v>128.94336000000004</v>
      </c>
      <c r="DQ91" s="14">
        <f t="shared" si="97"/>
        <v>33.752085002132198</v>
      </c>
      <c r="DR91" s="22">
        <f t="shared" si="70"/>
        <v>283.36123337871362</v>
      </c>
      <c r="DS91" s="62">
        <f t="shared" si="71"/>
        <v>576.69456671204694</v>
      </c>
      <c r="DT91" s="62">
        <f ca="1">AVERAGE(OFFSET($DS$3,0,0,'Données projet'!$E$14+1,1))-AVERAGE(OFFSET($H$3,0,0,'Données projet'!$E$14+1,1))</f>
        <v>210.08998695869161</v>
      </c>
      <c r="DU91" s="62">
        <f t="shared" si="98"/>
        <v>207.30911916430881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>
        <f>EXP(-LN(2)/35)*EA90+(1-EXP(-LN(2)/35))/(LN(2)/35)*DW91*DX91*VLOOKUP('Données projet'!$B$14,Paramètres!$A$1:$I$89,3,0)*0.475*44/12</f>
        <v>0.14581549703035543</v>
      </c>
      <c r="EB91" s="23">
        <f>EXP(-LN(2)/25)*EB90+(1-EXP(-LN(2)/25))/(LN(2)/25)*Calculateur!DW91*Calculateur!DY91*VLOOKUP('Données projet'!$B$14,Paramètres!$A$1:$I$89,3,0)*0.475*44/12</f>
        <v>0</v>
      </c>
      <c r="EC91" s="23">
        <f>EXP(-LN(2)/2)*EC90+(1-EXP(-LN(2)/2))/(LN(2)/2)*DW91*DZ91*VLOOKUP('Données projet'!$B$14,Paramètres!$A$1:$I$89,3,0)*0.475*44/12</f>
        <v>0</v>
      </c>
      <c r="ED91" s="24">
        <f t="shared" si="72"/>
        <v>0.14581549703035543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5.6843418860808015E-14</v>
      </c>
      <c r="EK91" s="18">
        <f>EJ91*VLOOKUP('Données projet'!$B$15,Paramètres!$A$1:$I$89,3,0)*VLOOKUP('Données projet'!$B$15,Paramètres!$A$1:$I$89,5,0)</f>
        <v>4.4337866711430253E-14</v>
      </c>
      <c r="EL91" s="14">
        <f t="shared" si="99"/>
        <v>7.3222115536967035E-13</v>
      </c>
      <c r="EM91" s="22">
        <f t="shared" si="73"/>
        <v>1.3525069634579169E-12</v>
      </c>
      <c r="EN91" s="62">
        <f t="shared" si="74"/>
        <v>293.33333333333468</v>
      </c>
      <c r="EO91" s="62">
        <f ca="1">AVERAGE(OFFSET($EN$3,0,0,'Données projet'!$E$15+1,1))-AVERAGE(OFFSET($H$3,0,0,'Données projet'!$E$15+1,1))</f>
        <v>288.82868507674738</v>
      </c>
      <c r="EP91" s="62">
        <f t="shared" si="100"/>
        <v>283.48738729114024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>
        <f>EXP(-LN(2)/35)*EV90+(1-EXP(-LN(2)/35))/(LN(2)/35)*ER91*ES91*VLOOKUP('Données projet'!$B$15,Paramètres!$A$1:$I$89,3,0)*0.475*44/12</f>
        <v>0.57497629000839434</v>
      </c>
      <c r="EW91" s="23">
        <f>EXP(-LN(2)/25)*EW90+(1-EXP(-LN(2)/25))/(LN(2)/25)*Calculateur!ER91*Calculateur!ET91*VLOOKUP('Données projet'!$B$15,Paramètres!$A$1:$I$89,3,0)*0.475*44/12</f>
        <v>0</v>
      </c>
      <c r="EX91" s="23">
        <f>EXP(-LN(2)/2)*EX90+(1-EXP(-LN(2)/2))/(LN(2)/2)*ER91*EU91*VLOOKUP('Données projet'!$B$15,Paramètres!$A$1:$I$89,3,0)*0.475*44/12</f>
        <v>0</v>
      </c>
      <c r="EY91" s="24">
        <f t="shared" si="75"/>
        <v>0.57497629000839434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13</v>
      </c>
      <c r="N92" s="14">
        <f>IF('Données projet'!$A$36&gt;35,N91+M92-V91,IF(A92&lt;'Données projet'!$A$36,$K$205^A92,IF(A92='Données projet'!$A$36,'Données projet'!$B$36,N91+M92-V91)))</f>
        <v>460.00000000000045</v>
      </c>
      <c r="O92" s="14">
        <f>N92*VLOOKUP('Données projet'!$B$9,Paramètres!$A$1:$I$89,3,0)*VLOOKUP('Données projet'!$B$9,Paramètres!$A$1:$I$89,5,0)</f>
        <v>215.28000000000023</v>
      </c>
      <c r="P92" s="14">
        <f t="shared" si="87"/>
        <v>53.08772574085318</v>
      </c>
      <c r="Q92" s="22">
        <f t="shared" si="54"/>
        <v>467.40712233198633</v>
      </c>
      <c r="R92" s="62">
        <f t="shared" si="55"/>
        <v>760.74045566531959</v>
      </c>
      <c r="S92" s="62">
        <f ca="1">AVERAGE(OFFSET($R$3,0,0,'Données projet'!$E$9+1,1))-AVERAGE(OFFSET($H$3,0,0,'Données projet'!$E$9+1,1))</f>
        <v>317.54276561627643</v>
      </c>
      <c r="T92" s="62">
        <f t="shared" si="88"/>
        <v>238.92443174298893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2.6</v>
      </c>
      <c r="AI92" s="14">
        <f>IF('Données projet'!$A$62&gt;35,AI91+AH92-AQ91,IF(A92&lt;'Données projet'!$A$62,$AF$205^A92,IF(A92='Données projet'!$A$62,'Données projet'!$B$62,AI91+AH92-AQ91)))</f>
        <v>233.39999999999989</v>
      </c>
      <c r="AJ92" s="14">
        <f>AI92*VLOOKUP('Données projet'!$B$10,Paramètres!$A$1:$I$89,3,0)*VLOOKUP('Données projet'!$B$10,Paramètres!$A$1:$I$89,5,0)</f>
        <v>203.89823999999993</v>
      </c>
      <c r="AK92" s="14">
        <f t="shared" si="89"/>
        <v>50.59991801943017</v>
      </c>
      <c r="AL92" s="22">
        <f t="shared" si="58"/>
        <v>443.25095855050739</v>
      </c>
      <c r="AM92" s="62">
        <f t="shared" si="59"/>
        <v>736.58429188384071</v>
      </c>
      <c r="AN92" s="62">
        <f ca="1">AVERAGE(OFFSET($AM$3,0,0,'Données projet'!$E$10+1,1))-AVERAGE(OFFSET($H$3,0,0,'Données projet'!$E$10+1,1))</f>
        <v>327.826081588335</v>
      </c>
      <c r="AO92" s="62">
        <f t="shared" si="90"/>
        <v>348.84706693879735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1.9104661298758014</v>
      </c>
      <c r="AV92" s="23">
        <f>EXP(-LN(2)/25)*AV91+(1-EXP(-LN(2)/25))/(LN(2)/25)*Calculateur!AQ92*Calculateur!AS92*VLOOKUP('Données projet'!$B$10,Paramètres!$A$1:$I$89,3,0)*0.475*44/12</f>
        <v>2.672435380283821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4.5829015101596227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6.4</v>
      </c>
      <c r="BD92" s="13">
        <f>IF('Données projet'!$A$88&gt;35,BD91+BC92-BL91,IF(A92&lt;'Données projet'!$A$88,$BA$205^A92,IF(A92='Données projet'!$A$88,'Données projet'!$B$88,BD91+BC92-BL91)))</f>
        <v>323.59999999999997</v>
      </c>
      <c r="BE92" s="14">
        <f>BD92*VLOOKUP('Données projet'!$B$11,Paramètres!$A$1:$I$89,3,0)*VLOOKUP('Données projet'!$B$11,Paramètres!$A$1:$I$89,5,0)</f>
        <v>328.13039999999995</v>
      </c>
      <c r="BF92" s="14">
        <f t="shared" si="91"/>
        <v>77.042563313388285</v>
      </c>
      <c r="BG92" s="22">
        <f t="shared" si="61"/>
        <v>705.67624443748446</v>
      </c>
      <c r="BH92" s="62">
        <f t="shared" si="62"/>
        <v>999.00957777081771</v>
      </c>
      <c r="BI92" s="62">
        <f ca="1">AVERAGE(OFFSET($BH$3,0,0,'Données projet'!$E$11+1,1))-AVERAGE(OFFSET($H$3,0,0,'Données projet'!$E$11+1,1))</f>
        <v>487.04124684635974</v>
      </c>
      <c r="BJ92" s="62">
        <f t="shared" si="92"/>
        <v>306.61893266146666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0.83905607055356157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0.83905607055356157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6.4</v>
      </c>
      <c r="BY92" s="13">
        <f>IF('Données projet'!$A$114&gt;35,BY91+BX92-CG91,IF(A92&lt;'Données projet'!$A$114,$BV$205^A92,IF(A92='Données projet'!$A$114,'Données projet'!$B$114,BY91+BX92-CG91)))</f>
        <v>323.59999999999997</v>
      </c>
      <c r="BZ92" s="14">
        <f>BY92*VLOOKUP('Données projet'!$B$12,Paramètres!$A$1:$I$89,3,0)*VLOOKUP('Données projet'!$B$12,Paramètres!$A$1:$I$89,5,0)</f>
        <v>292.79327999999992</v>
      </c>
      <c r="CA92" s="14">
        <f t="shared" si="93"/>
        <v>69.663526761731433</v>
      </c>
      <c r="CB92" s="22">
        <f t="shared" si="64"/>
        <v>631.27893844334869</v>
      </c>
      <c r="CC92" s="62">
        <f t="shared" si="65"/>
        <v>924.61227177668206</v>
      </c>
      <c r="CD92" s="62">
        <f ca="1">AVERAGE(OFFSET($CC$3,0,0,'Données projet'!$E$12+1,1))-AVERAGE(OFFSET($H$3,0,0,'Données projet'!$E$12+1,1))</f>
        <v>439.06700232017681</v>
      </c>
      <c r="CE92" s="62">
        <f t="shared" si="94"/>
        <v>278.21741231699929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0.74869618603240851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0.74869618603240851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317.99999999999972</v>
      </c>
      <c r="CU92" s="18">
        <f>CT92*VLOOKUP('Données projet'!$B$13,Paramètres!$A$1:$I$89,3,0)*VLOOKUP('Données projet'!$B$13,Paramètres!$A$1:$I$89,5,0)</f>
        <v>233.1575999999998</v>
      </c>
      <c r="CV92" s="14">
        <f t="shared" si="95"/>
        <v>56.964885721091697</v>
      </c>
      <c r="CW92" s="22">
        <f t="shared" si="67"/>
        <v>505.29666263090093</v>
      </c>
      <c r="CX92" s="62">
        <f t="shared" si="68"/>
        <v>798.62999596423424</v>
      </c>
      <c r="CY92" s="62">
        <f ca="1">AVERAGE(OFFSET($CX$3,0,0,'Données projet'!$E$13+1,1))-AVERAGE(OFFSET($H$3,0,0,'Données projet'!$E$13+1,1))</f>
        <v>327.81662150328646</v>
      </c>
      <c r="CZ92" s="62">
        <f t="shared" si="96"/>
        <v>320.24200483294322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0.62212396031447137</v>
      </c>
      <c r="DG92" s="23">
        <f>EXP(-LN(2)/25)*DG91+(1-EXP(-LN(2)/25))/(LN(2)/25)*Calculateur!DB92*Calculateur!DD92*VLOOKUP('Données projet'!$B$13,Paramètres!$A$1:$I$89,3,0)*0.475*44/12</f>
        <v>0</v>
      </c>
      <c r="DH92" s="23">
        <f>EXP(-LN(2)/2)*DH91+(1-EXP(-LN(2)/2))/(LN(2)/2)*DB92*DE92*VLOOKUP('Données projet'!$B$13,Paramètres!$A$1:$I$89,3,0)*0.475*44/12</f>
        <v>0</v>
      </c>
      <c r="DI92" s="24">
        <f t="shared" si="69"/>
        <v>0.62212396031447137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3.6</v>
      </c>
      <c r="DO92" s="13">
        <f>IF('Données projet'!$A$166&gt;35,DO91+DN92-DW91,IF(A92&lt;'Données projet'!$A$166,$DL$205^A92,IF(A92='Données projet'!$A$166,'Données projet'!$B$166,DO91+DN92-DW91)))</f>
        <v>200.40000000000006</v>
      </c>
      <c r="DP92" s="18">
        <f>DO92*VLOOKUP('Données projet'!$B$14,Paramètres!$A$1:$I$89,3,0)*VLOOKUP('Données projet'!$B$14,Paramètres!$A$1:$I$89,5,0)</f>
        <v>131.30208000000005</v>
      </c>
      <c r="DQ92" s="14">
        <f t="shared" si="97"/>
        <v>34.297057052675505</v>
      </c>
      <c r="DR92" s="22">
        <f t="shared" si="70"/>
        <v>288.41849703340995</v>
      </c>
      <c r="DS92" s="62">
        <f t="shared" si="71"/>
        <v>581.75183036674321</v>
      </c>
      <c r="DT92" s="62">
        <f ca="1">AVERAGE(OFFSET($DS$3,0,0,'Données projet'!$E$14+1,1))-AVERAGE(OFFSET($H$3,0,0,'Données projet'!$E$14+1,1))</f>
        <v>210.08998695869161</v>
      </c>
      <c r="DU92" s="62">
        <f t="shared" si="98"/>
        <v>207.30911916430881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>
        <f>EXP(-LN(2)/35)*EA91+(1-EXP(-LN(2)/35))/(LN(2)/35)*DW92*DX92*VLOOKUP('Données projet'!$B$14,Paramètres!$A$1:$I$89,3,0)*0.475*44/12</f>
        <v>0.14295614407226137</v>
      </c>
      <c r="EB92" s="23">
        <f>EXP(-LN(2)/25)*EB91+(1-EXP(-LN(2)/25))/(LN(2)/25)*Calculateur!DW92*Calculateur!DY92*VLOOKUP('Données projet'!$B$14,Paramètres!$A$1:$I$89,3,0)*0.475*44/12</f>
        <v>0</v>
      </c>
      <c r="EC92" s="23">
        <f>EXP(-LN(2)/2)*EC91+(1-EXP(-LN(2)/2))/(LN(2)/2)*DW92*DZ92*VLOOKUP('Données projet'!$B$14,Paramètres!$A$1:$I$89,3,0)*0.475*44/12</f>
        <v>0</v>
      </c>
      <c r="ED92" s="24">
        <f t="shared" si="72"/>
        <v>0.14295614407226137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5.6843418860808015E-14</v>
      </c>
      <c r="EK92" s="18">
        <f>EJ92*VLOOKUP('Données projet'!$B$15,Paramètres!$A$1:$I$89,3,0)*VLOOKUP('Données projet'!$B$15,Paramètres!$A$1:$I$89,5,0)</f>
        <v>4.4337866711430253E-14</v>
      </c>
      <c r="EL92" s="14">
        <f t="shared" si="99"/>
        <v>7.3222115536967035E-13</v>
      </c>
      <c r="EM92" s="22">
        <f t="shared" si="73"/>
        <v>1.3525069634579169E-12</v>
      </c>
      <c r="EN92" s="62">
        <f t="shared" si="74"/>
        <v>293.33333333333468</v>
      </c>
      <c r="EO92" s="62">
        <f ca="1">AVERAGE(OFFSET($EN$3,0,0,'Données projet'!$E$15+1,1))-AVERAGE(OFFSET($H$3,0,0,'Données projet'!$E$15+1,1))</f>
        <v>288.82868507674738</v>
      </c>
      <c r="EP92" s="62">
        <f t="shared" si="100"/>
        <v>283.48738729114024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>
        <f>EXP(-LN(2)/35)*EV91+(1-EXP(-LN(2)/35))/(LN(2)/35)*ER92*ES92*VLOOKUP('Données projet'!$B$15,Paramètres!$A$1:$I$89,3,0)*0.475*44/12</f>
        <v>0.56370135566223778</v>
      </c>
      <c r="EW92" s="23">
        <f>EXP(-LN(2)/25)*EW91+(1-EXP(-LN(2)/25))/(LN(2)/25)*Calculateur!ER92*Calculateur!ET92*VLOOKUP('Données projet'!$B$15,Paramètres!$A$1:$I$89,3,0)*0.475*44/12</f>
        <v>0</v>
      </c>
      <c r="EX92" s="23">
        <f>EXP(-LN(2)/2)*EX91+(1-EXP(-LN(2)/2))/(LN(2)/2)*ER92*EU92*VLOOKUP('Données projet'!$B$15,Paramètres!$A$1:$I$89,3,0)*0.475*44/12</f>
        <v>0</v>
      </c>
      <c r="EY92" s="24">
        <f t="shared" si="75"/>
        <v>0.56370135566223778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13</v>
      </c>
      <c r="N93" s="14">
        <f>IF('Données projet'!$A$36&gt;35,N92+M93-V92,IF(A93&lt;'Données projet'!$A$36,$K$205^A93,IF(A93='Données projet'!$A$36,'Données projet'!$B$36,N92+M93-V92)))</f>
        <v>473.00000000000045</v>
      </c>
      <c r="O93" s="14">
        <f>N93*VLOOKUP('Données projet'!$B$9,Paramètres!$A$1:$I$89,3,0)*VLOOKUP('Données projet'!$B$9,Paramètres!$A$1:$I$89,5,0)</f>
        <v>221.3640000000002</v>
      </c>
      <c r="P93" s="14">
        <f t="shared" si="87"/>
        <v>54.411237653200843</v>
      </c>
      <c r="Q93" s="22">
        <f t="shared" si="54"/>
        <v>480.30853891265838</v>
      </c>
      <c r="R93" s="62">
        <f t="shared" si="55"/>
        <v>773.64187224599164</v>
      </c>
      <c r="S93" s="62">
        <f ca="1">AVERAGE(OFFSET($R$3,0,0,'Données projet'!$E$9+1,1))-AVERAGE(OFFSET($H$3,0,0,'Données projet'!$E$9+1,1))</f>
        <v>317.54276561627643</v>
      </c>
      <c r="T93" s="62">
        <f t="shared" si="88"/>
        <v>238.92443174298893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236</v>
      </c>
      <c r="AG93" s="13">
        <f>VLOOKUP(A93,'Données projet'!$A$61:$I$81,9,0)</f>
        <v>2.6</v>
      </c>
      <c r="AH93" s="13">
        <f t="array" ref="AH93">INDEX(AG:AG,MIN(IF(ISNUMBER(AG93:AG289),ROW(AG93:AG289),"")))</f>
        <v>2.6</v>
      </c>
      <c r="AI93" s="14">
        <f>IF('Données projet'!$A$62&gt;35,AI92+AH93-AQ92,IF(A93&lt;'Données projet'!$A$62,$AF$205^A93,IF(A93='Données projet'!$A$62,'Données projet'!$B$62,AI92+AH93-AQ92)))</f>
        <v>235.99999999999989</v>
      </c>
      <c r="AJ93" s="14">
        <f>AI93*VLOOKUP('Données projet'!$B$10,Paramètres!$A$1:$I$89,3,0)*VLOOKUP('Données projet'!$B$10,Paramètres!$A$1:$I$89,5,0)</f>
        <v>206.16959999999992</v>
      </c>
      <c r="AK93" s="14">
        <f t="shared" si="89"/>
        <v>51.097652263007333</v>
      </c>
      <c r="AL93" s="22">
        <f t="shared" si="58"/>
        <v>448.07379769140431</v>
      </c>
      <c r="AM93" s="62">
        <f t="shared" si="59"/>
        <v>741.40713102473762</v>
      </c>
      <c r="AN93" s="62">
        <f ca="1">AVERAGE(OFFSET($AM$3,0,0,'Données projet'!$E$10+1,1))-AVERAGE(OFFSET($H$3,0,0,'Données projet'!$E$10+1,1))</f>
        <v>327.826081588335</v>
      </c>
      <c r="AO93" s="62">
        <f t="shared" si="90"/>
        <v>348.84706693879735</v>
      </c>
      <c r="AP93" s="16">
        <f>IF(ISNA(VLOOKUP(A93,'Données projet'!$A$61:$I$81,3,0)),0,VLOOKUP(A93,'Données projet'!$A$61:$I$81,3,0))</f>
        <v>15</v>
      </c>
      <c r="AQ93" s="16">
        <f>IF(ISNA(VLOOKUP(A93,'Données projet'!$A$61:$I$81,4,0)),0,VLOOKUP(A93,'Données projet'!$A$61:$I$81,4,0))</f>
        <v>236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1.8730030543382155</v>
      </c>
      <c r="AV93" s="23">
        <f>EXP(-LN(2)/25)*AV92+(1-EXP(-LN(2)/25))/(LN(2)/25)*Calculateur!AQ93*Calculateur!AS93*VLOOKUP('Données projet'!$B$10,Paramètres!$A$1:$I$89,3,0)*0.475*44/12</f>
        <v>2.5993574942726911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4.4723605486109062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>
        <f>VLOOKUP(A93,'Données projet'!$A$87:$I$107,2,0)</f>
        <v>330</v>
      </c>
      <c r="BB93" s="13">
        <f>VLOOKUP(A93,'Données projet'!$A$87:$I$107,9,0)</f>
        <v>6.4</v>
      </c>
      <c r="BC93" s="13">
        <f t="array" ref="BC93">INDEX(BB:BB,MIN(IF(ISNUMBER(BB93:BB289),ROW(BB93:BB289),"")))</f>
        <v>6.4</v>
      </c>
      <c r="BD93" s="13">
        <f>IF('Données projet'!$A$88&gt;35,BD92+BC93-BL92,IF(A93&lt;'Données projet'!$A$88,$BA$205^A93,IF(A93='Données projet'!$A$88,'Données projet'!$B$88,BD92+BC93-BL92)))</f>
        <v>329.99999999999994</v>
      </c>
      <c r="BE93" s="14">
        <f>BD93*VLOOKUP('Données projet'!$B$11,Paramètres!$A$1:$I$89,3,0)*VLOOKUP('Données projet'!$B$11,Paramètres!$A$1:$I$89,5,0)</f>
        <v>334.61999999999995</v>
      </c>
      <c r="BF93" s="14">
        <f t="shared" si="91"/>
        <v>78.387374628661505</v>
      </c>
      <c r="BG93" s="22">
        <f t="shared" si="61"/>
        <v>719.32117747825203</v>
      </c>
      <c r="BH93" s="62">
        <f t="shared" si="62"/>
        <v>1012.6545108115854</v>
      </c>
      <c r="BI93" s="62">
        <f ca="1">AVERAGE(OFFSET($BH$3,0,0,'Données projet'!$E$11+1,1))-AVERAGE(OFFSET($H$3,0,0,'Données projet'!$E$11+1,1))</f>
        <v>487.04124684635974</v>
      </c>
      <c r="BJ93" s="62">
        <f t="shared" si="92"/>
        <v>306.61893266146666</v>
      </c>
      <c r="BK93" s="16">
        <f>IF(ISNA(VLOOKUP(A93,'Données projet'!$A$87:$I$107,3,0)),0,VLOOKUP(A93,'Données projet'!$A$87:$I$107,3,0))</f>
        <v>15</v>
      </c>
      <c r="BL93" s="16">
        <f>IF(ISNA(VLOOKUP(A93,'Données projet'!$A$87:$I$107,4,0)),0,VLOOKUP(A93,'Données projet'!$A$87:$I$107,4,0))</f>
        <v>28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0.82260269278367582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0.82260269278367582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>
        <f>VLOOKUP(A93,'Données projet'!$A$113:$I$133,2,0)</f>
        <v>330</v>
      </c>
      <c r="BW93" s="13">
        <f>VLOOKUP(A93,'Données projet'!$A$113:$I$133,9,0)</f>
        <v>6.4</v>
      </c>
      <c r="BX93" s="13">
        <f t="array" ref="BX93">INDEX(BW:BW,MIN(IF(ISNUMBER(BW93:BW289),ROW(BW93:BW289),"")))</f>
        <v>6.4</v>
      </c>
      <c r="BY93" s="13">
        <f>IF('Données projet'!$A$114&gt;35,BY92+BX93-CG92,IF(A93&lt;'Données projet'!$A$114,$BV$205^A93,IF(A93='Données projet'!$A$114,'Données projet'!$B$114,BY92+BX93-CG92)))</f>
        <v>329.99999999999994</v>
      </c>
      <c r="BZ93" s="14">
        <f>BY93*VLOOKUP('Données projet'!$B$12,Paramètres!$A$1:$I$89,3,0)*VLOOKUP('Données projet'!$B$12,Paramètres!$A$1:$I$89,5,0)</f>
        <v>298.58399999999995</v>
      </c>
      <c r="CA93" s="14">
        <f t="shared" si="93"/>
        <v>70.879533797607607</v>
      </c>
      <c r="CB93" s="22">
        <f t="shared" si="64"/>
        <v>643.48232136416652</v>
      </c>
      <c r="CC93" s="62">
        <f t="shared" si="65"/>
        <v>936.81565469749989</v>
      </c>
      <c r="CD93" s="62">
        <f ca="1">AVERAGE(OFFSET($CC$3,0,0,'Données projet'!$E$12+1,1))-AVERAGE(OFFSET($H$3,0,0,'Données projet'!$E$12+1,1))</f>
        <v>439.06700232017681</v>
      </c>
      <c r="CE93" s="62">
        <f t="shared" si="94"/>
        <v>278.21741231699929</v>
      </c>
      <c r="CF93" s="16">
        <f>IF(ISNA(VLOOKUP(A93,'Données projet'!$A$113:$I$133,3,0)),0,VLOOKUP(A93,'Données projet'!$A$113:$I$133,3,0))</f>
        <v>15</v>
      </c>
      <c r="CG93" s="16">
        <f>IF(ISNA(VLOOKUP(A93,'Données projet'!$A$113:$I$133,4,0)),0,VLOOKUP(A93,'Données projet'!$A$113:$I$133,4,0))</f>
        <v>28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0.73401471048389511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0.73401471048389511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317.99999999999972</v>
      </c>
      <c r="CU93" s="18">
        <f>CT93*VLOOKUP('Données projet'!$B$13,Paramètres!$A$1:$I$89,3,0)*VLOOKUP('Données projet'!$B$13,Paramètres!$A$1:$I$89,5,0)</f>
        <v>233.1575999999998</v>
      </c>
      <c r="CV93" s="14">
        <f t="shared" si="95"/>
        <v>56.964885721091697</v>
      </c>
      <c r="CW93" s="22">
        <f t="shared" si="67"/>
        <v>505.29666263090093</v>
      </c>
      <c r="CX93" s="62">
        <f t="shared" si="68"/>
        <v>798.62999596423424</v>
      </c>
      <c r="CY93" s="62">
        <f ca="1">AVERAGE(OFFSET($CX$3,0,0,'Données projet'!$E$13+1,1))-AVERAGE(OFFSET($H$3,0,0,'Données projet'!$E$13+1,1))</f>
        <v>327.81662150328646</v>
      </c>
      <c r="CZ93" s="62">
        <f t="shared" si="96"/>
        <v>320.24200483294322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0.60992448891085205</v>
      </c>
      <c r="DG93" s="23">
        <f>EXP(-LN(2)/25)*DG92+(1-EXP(-LN(2)/25))/(LN(2)/25)*Calculateur!DB93*Calculateur!DD93*VLOOKUP('Données projet'!$B$13,Paramètres!$A$1:$I$89,3,0)*0.475*44/12</f>
        <v>0</v>
      </c>
      <c r="DH93" s="23">
        <f>EXP(-LN(2)/2)*DH92+(1-EXP(-LN(2)/2))/(LN(2)/2)*DB93*DE93*VLOOKUP('Données projet'!$B$13,Paramètres!$A$1:$I$89,3,0)*0.475*44/12</f>
        <v>0</v>
      </c>
      <c r="DI93" s="24">
        <f t="shared" si="69"/>
        <v>0.60992448891085205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>
        <f>VLOOKUP(A93,'Données projet'!$A$165:$I$185,2,0)</f>
        <v>204</v>
      </c>
      <c r="DM93" s="13">
        <f>VLOOKUP(A93,'Données projet'!$A$165:$I$185,9,0)</f>
        <v>3.6</v>
      </c>
      <c r="DN93" s="13">
        <f t="array" ref="DN93">INDEX(DM:DM,MIN(IF(ISNUMBER(DM93:DM289),ROW(DM93:DM289),"")))</f>
        <v>3.6</v>
      </c>
      <c r="DO93" s="13">
        <f>IF('Données projet'!$A$166&gt;35,DO92+DN93-DW92,IF(A93&lt;'Données projet'!$A$166,$DL$205^A93,IF(A93='Données projet'!$A$166,'Données projet'!$B$166,DO92+DN93-DW92)))</f>
        <v>204.00000000000006</v>
      </c>
      <c r="DP93" s="18">
        <f>DO93*VLOOKUP('Données projet'!$B$14,Paramètres!$A$1:$I$89,3,0)*VLOOKUP('Données projet'!$B$14,Paramètres!$A$1:$I$89,5,0)</f>
        <v>133.66080000000005</v>
      </c>
      <c r="DQ93" s="14">
        <f t="shared" si="97"/>
        <v>34.840890682716747</v>
      </c>
      <c r="DR93" s="22">
        <f t="shared" si="70"/>
        <v>293.47377793906509</v>
      </c>
      <c r="DS93" s="62">
        <f t="shared" si="71"/>
        <v>586.8071112723984</v>
      </c>
      <c r="DT93" s="62">
        <f ca="1">AVERAGE(OFFSET($DS$3,0,0,'Données projet'!$E$14+1,1))-AVERAGE(OFFSET($H$3,0,0,'Données projet'!$E$14+1,1))</f>
        <v>210.08998695869161</v>
      </c>
      <c r="DU93" s="62">
        <f t="shared" si="98"/>
        <v>207.30911916430881</v>
      </c>
      <c r="DV93" s="16">
        <f>IF(ISNA(VLOOKUP(A93,'Données projet'!$A$165:$I$185,3,0)),0,VLOOKUP(A93,'Données projet'!$A$165:$I$185,3,0))</f>
        <v>17</v>
      </c>
      <c r="DW93" s="16">
        <f>IF(ISNA(VLOOKUP(A93,'Données projet'!$A$165:$I$185,4,0)),0,VLOOKUP(A93,'Données projet'!$A$165:$I$185,4,0))</f>
        <v>204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>
        <f>EXP(-LN(2)/35)*EA92+(1-EXP(-LN(2)/35))/(LN(2)/35)*DW93*DX93*VLOOKUP('Données projet'!$B$14,Paramètres!$A$1:$I$89,3,0)*0.475*44/12</f>
        <v>0.14015286128164245</v>
      </c>
      <c r="EB93" s="23">
        <f>EXP(-LN(2)/25)*EB92+(1-EXP(-LN(2)/25))/(LN(2)/25)*Calculateur!DW93*Calculateur!DY93*VLOOKUP('Données projet'!$B$14,Paramètres!$A$1:$I$89,3,0)*0.475*44/12</f>
        <v>0</v>
      </c>
      <c r="EC93" s="23">
        <f>EXP(-LN(2)/2)*EC92+(1-EXP(-LN(2)/2))/(LN(2)/2)*DW93*DZ93*VLOOKUP('Données projet'!$B$14,Paramètres!$A$1:$I$89,3,0)*0.475*44/12</f>
        <v>0</v>
      </c>
      <c r="ED93" s="24">
        <f t="shared" si="72"/>
        <v>0.14015286128164245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5.6843418860808015E-14</v>
      </c>
      <c r="EK93" s="18">
        <f>EJ93*VLOOKUP('Données projet'!$B$15,Paramètres!$A$1:$I$89,3,0)*VLOOKUP('Données projet'!$B$15,Paramètres!$A$1:$I$89,5,0)</f>
        <v>4.4337866711430253E-14</v>
      </c>
      <c r="EL93" s="14">
        <f t="shared" si="99"/>
        <v>7.3222115536967035E-13</v>
      </c>
      <c r="EM93" s="22">
        <f t="shared" si="73"/>
        <v>1.3525069634579169E-12</v>
      </c>
      <c r="EN93" s="62">
        <f t="shared" si="74"/>
        <v>293.33333333333468</v>
      </c>
      <c r="EO93" s="62">
        <f ca="1">AVERAGE(OFFSET($EN$3,0,0,'Données projet'!$E$15+1,1))-AVERAGE(OFFSET($H$3,0,0,'Données projet'!$E$15+1,1))</f>
        <v>288.82868507674738</v>
      </c>
      <c r="EP93" s="62">
        <f t="shared" si="100"/>
        <v>283.48738729114024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>
        <f>EXP(-LN(2)/35)*EV92+(1-EXP(-LN(2)/35))/(LN(2)/35)*ER93*ES93*VLOOKUP('Données projet'!$B$15,Paramètres!$A$1:$I$89,3,0)*0.475*44/12</f>
        <v>0.55264751590157846</v>
      </c>
      <c r="EW93" s="23">
        <f>EXP(-LN(2)/25)*EW92+(1-EXP(-LN(2)/25))/(LN(2)/25)*Calculateur!ER93*Calculateur!ET93*VLOOKUP('Données projet'!$B$15,Paramètres!$A$1:$I$89,3,0)*0.475*44/12</f>
        <v>0</v>
      </c>
      <c r="EX93" s="23">
        <f>EXP(-LN(2)/2)*EX92+(1-EXP(-LN(2)/2))/(LN(2)/2)*ER93*EU93*VLOOKUP('Données projet'!$B$15,Paramètres!$A$1:$I$89,3,0)*0.475*44/12</f>
        <v>0</v>
      </c>
      <c r="EY93" s="24">
        <f t="shared" si="75"/>
        <v>0.55264751590157846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13</v>
      </c>
      <c r="N94" s="14">
        <f>IF('Données projet'!$A$36&gt;35,N93+M94-V93,IF(A94&lt;'Données projet'!$A$36,$K$205^A94,IF(A94='Données projet'!$A$36,'Données projet'!$B$36,N93+M94-V93)))</f>
        <v>486.00000000000045</v>
      </c>
      <c r="O94" s="14">
        <f>N94*VLOOKUP('Données projet'!$B$9,Paramètres!$A$1:$I$89,3,0)*VLOOKUP('Données projet'!$B$9,Paramètres!$A$1:$I$89,5,0)</f>
        <v>227.44800000000021</v>
      </c>
      <c r="P94" s="14">
        <f t="shared" si="87"/>
        <v>55.730521649800735</v>
      </c>
      <c r="Q94" s="22">
        <f t="shared" si="54"/>
        <v>493.20259187340326</v>
      </c>
      <c r="R94" s="62">
        <f t="shared" si="55"/>
        <v>786.53592520673658</v>
      </c>
      <c r="S94" s="62">
        <f ca="1">AVERAGE(OFFSET($R$3,0,0,'Données projet'!$E$9+1,1))-AVERAGE(OFFSET($H$3,0,0,'Données projet'!$E$9+1,1))</f>
        <v>317.54276561627643</v>
      </c>
      <c r="T94" s="62">
        <f t="shared" si="88"/>
        <v>238.92443174298893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-1.1368683772161603E-13</v>
      </c>
      <c r="AJ94" s="14">
        <f>AI94*VLOOKUP('Données projet'!$B$10,Paramètres!$A$1:$I$89,3,0)*VLOOKUP('Données projet'!$B$10,Paramètres!$A$1:$I$89,5,0)</f>
        <v>-9.9316821433603781E-14</v>
      </c>
      <c r="AK94" s="14" t="e">
        <f t="shared" si="89"/>
        <v>#NUM!</v>
      </c>
      <c r="AL94" s="22" t="e">
        <f t="shared" si="58"/>
        <v>#NUM!</v>
      </c>
      <c r="AM94" s="62" t="e">
        <f t="shared" si="59"/>
        <v>#NUM!</v>
      </c>
      <c r="AN94" s="62">
        <f ca="1">AVERAGE(OFFSET($AM$3,0,0,'Données projet'!$E$10+1,1))-AVERAGE(OFFSET($H$3,0,0,'Données projet'!$E$10+1,1))</f>
        <v>327.826081588335</v>
      </c>
      <c r="AO94" s="62">
        <f t="shared" si="90"/>
        <v>348.84706693879735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1.8362746068617017</v>
      </c>
      <c r="AV94" s="23">
        <f>EXP(-LN(2)/25)*AV93+(1-EXP(-LN(2)/25))/(LN(2)/25)*Calculateur!AQ94*Calculateur!AS94*VLOOKUP('Données projet'!$B$10,Paramètres!$A$1:$I$89,3,0)*0.475*44/12</f>
        <v>2.5282779268975348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4.3645525337592366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6</v>
      </c>
      <c r="BD94" s="13">
        <f>IF('Données projet'!$A$88&gt;35,BD93+BC94-BL93,IF(A94&lt;'Données projet'!$A$88,$BA$205^A94,IF(A94='Données projet'!$A$88,'Données projet'!$B$88,BD93+BC94-BL93)))</f>
        <v>307.99999999999994</v>
      </c>
      <c r="BE94" s="14">
        <f>BD94*VLOOKUP('Données projet'!$B$11,Paramètres!$A$1:$I$89,3,0)*VLOOKUP('Données projet'!$B$11,Paramètres!$A$1:$I$89,5,0)</f>
        <v>312.31199999999995</v>
      </c>
      <c r="BF94" s="14">
        <f t="shared" si="91"/>
        <v>73.751458791112015</v>
      </c>
      <c r="BG94" s="22">
        <f t="shared" si="61"/>
        <v>672.39385739452007</v>
      </c>
      <c r="BH94" s="62">
        <f t="shared" si="62"/>
        <v>965.72719072785344</v>
      </c>
      <c r="BI94" s="62">
        <f ca="1">AVERAGE(OFFSET($BH$3,0,0,'Données projet'!$E$11+1,1))-AVERAGE(OFFSET($H$3,0,0,'Données projet'!$E$11+1,1))</f>
        <v>487.04124684635974</v>
      </c>
      <c r="BJ94" s="62">
        <f t="shared" si="92"/>
        <v>306.61893266146666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0.80647195571628805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0.80647195571628805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6</v>
      </c>
      <c r="BY94" s="13">
        <f>IF('Données projet'!$A$114&gt;35,BY93+BX94-CG93,IF(A94&lt;'Données projet'!$A$114,$BV$205^A94,IF(A94='Données projet'!$A$114,'Données projet'!$B$114,BY93+BX94-CG93)))</f>
        <v>307.99999999999994</v>
      </c>
      <c r="BZ94" s="14">
        <f>BY94*VLOOKUP('Données projet'!$B$12,Paramètres!$A$1:$I$89,3,0)*VLOOKUP('Données projet'!$B$12,Paramètres!$A$1:$I$89,5,0)</f>
        <v>278.67839999999995</v>
      </c>
      <c r="CA94" s="14">
        <f t="shared" si="93"/>
        <v>66.687639951856809</v>
      </c>
      <c r="CB94" s="22">
        <f t="shared" si="64"/>
        <v>601.51251958281716</v>
      </c>
      <c r="CC94" s="62">
        <f t="shared" si="65"/>
        <v>894.84585291615053</v>
      </c>
      <c r="CD94" s="62">
        <f ca="1">AVERAGE(OFFSET($CC$3,0,0,'Données projet'!$E$12+1,1))-AVERAGE(OFFSET($H$3,0,0,'Données projet'!$E$12+1,1))</f>
        <v>439.06700232017681</v>
      </c>
      <c r="CE94" s="62">
        <f t="shared" si="94"/>
        <v>278.21741231699929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0.71962112971607217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0.71962112971607217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317.99999999999972</v>
      </c>
      <c r="CU94" s="18">
        <f>CT94*VLOOKUP('Données projet'!$B$13,Paramètres!$A$1:$I$89,3,0)*VLOOKUP('Données projet'!$B$13,Paramètres!$A$1:$I$89,5,0)</f>
        <v>233.1575999999998</v>
      </c>
      <c r="CV94" s="14">
        <f t="shared" si="95"/>
        <v>56.964885721091697</v>
      </c>
      <c r="CW94" s="22">
        <f t="shared" si="67"/>
        <v>505.29666263090093</v>
      </c>
      <c r="CX94" s="62">
        <f t="shared" si="68"/>
        <v>798.62999596423424</v>
      </c>
      <c r="CY94" s="62">
        <f ca="1">AVERAGE(OFFSET($CX$3,0,0,'Données projet'!$E$13+1,1))-AVERAGE(OFFSET($H$3,0,0,'Données projet'!$E$13+1,1))</f>
        <v>327.81662150328646</v>
      </c>
      <c r="CZ94" s="62">
        <f t="shared" si="96"/>
        <v>320.24200483294322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0.59796424170051488</v>
      </c>
      <c r="DG94" s="23">
        <f>EXP(-LN(2)/25)*DG93+(1-EXP(-LN(2)/25))/(LN(2)/25)*Calculateur!DB94*Calculateur!DD94*VLOOKUP('Données projet'!$B$13,Paramètres!$A$1:$I$89,3,0)*0.475*44/12</f>
        <v>0</v>
      </c>
      <c r="DH94" s="23">
        <f>EXP(-LN(2)/2)*DH93+(1-EXP(-LN(2)/2))/(LN(2)/2)*DB94*DE94*VLOOKUP('Données projet'!$B$13,Paramètres!$A$1:$I$89,3,0)*0.475*44/12</f>
        <v>0</v>
      </c>
      <c r="DI94" s="24">
        <f t="shared" si="69"/>
        <v>0.59796424170051488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5.6843418860808015E-14</v>
      </c>
      <c r="DP94" s="18">
        <f>DO94*VLOOKUP('Données projet'!$B$14,Paramètres!$A$1:$I$89,3,0)*VLOOKUP('Données projet'!$B$14,Paramètres!$A$1:$I$89,5,0)</f>
        <v>3.7243808037601412E-14</v>
      </c>
      <c r="DQ94" s="14">
        <f t="shared" si="97"/>
        <v>6.2767589361185393E-13</v>
      </c>
      <c r="DR94" s="22">
        <f t="shared" si="70"/>
        <v>1.1580684803728015E-12</v>
      </c>
      <c r="DS94" s="62">
        <f t="shared" si="71"/>
        <v>293.33333333333445</v>
      </c>
      <c r="DT94" s="62">
        <f ca="1">AVERAGE(OFFSET($DS$3,0,0,'Données projet'!$E$14+1,1))-AVERAGE(OFFSET($H$3,0,0,'Données projet'!$E$14+1,1))</f>
        <v>210.08998695869161</v>
      </c>
      <c r="DU94" s="62">
        <f t="shared" si="98"/>
        <v>207.30911916430881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>
        <f>EXP(-LN(2)/35)*EA93+(1-EXP(-LN(2)/35))/(LN(2)/35)*DW94*DX94*VLOOKUP('Données projet'!$B$14,Paramètres!$A$1:$I$89,3,0)*0.475*44/12</f>
        <v>0.13740454915671391</v>
      </c>
      <c r="EB94" s="23">
        <f>EXP(-LN(2)/25)*EB93+(1-EXP(-LN(2)/25))/(LN(2)/25)*Calculateur!DW94*Calculateur!DY94*VLOOKUP('Données projet'!$B$14,Paramètres!$A$1:$I$89,3,0)*0.475*44/12</f>
        <v>0</v>
      </c>
      <c r="EC94" s="23">
        <f>EXP(-LN(2)/2)*EC93+(1-EXP(-LN(2)/2))/(LN(2)/2)*DW94*DZ94*VLOOKUP('Données projet'!$B$14,Paramètres!$A$1:$I$89,3,0)*0.475*44/12</f>
        <v>0</v>
      </c>
      <c r="ED94" s="24">
        <f t="shared" si="72"/>
        <v>0.13740454915671391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5.6843418860808015E-14</v>
      </c>
      <c r="EK94" s="18">
        <f>EJ94*VLOOKUP('Données projet'!$B$15,Paramètres!$A$1:$I$89,3,0)*VLOOKUP('Données projet'!$B$15,Paramètres!$A$1:$I$89,5,0)</f>
        <v>4.4337866711430253E-14</v>
      </c>
      <c r="EL94" s="14">
        <f t="shared" si="99"/>
        <v>7.3222115536967035E-13</v>
      </c>
      <c r="EM94" s="22">
        <f t="shared" si="73"/>
        <v>1.3525069634579169E-12</v>
      </c>
      <c r="EN94" s="62">
        <f t="shared" si="74"/>
        <v>293.33333333333468</v>
      </c>
      <c r="EO94" s="62">
        <f ca="1">AVERAGE(OFFSET($EN$3,0,0,'Données projet'!$E$15+1,1))-AVERAGE(OFFSET($H$3,0,0,'Données projet'!$E$15+1,1))</f>
        <v>288.82868507674738</v>
      </c>
      <c r="EP94" s="62">
        <f t="shared" si="100"/>
        <v>283.48738729114024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>
        <f>EXP(-LN(2)/35)*EV93+(1-EXP(-LN(2)/35))/(LN(2)/35)*ER94*ES94*VLOOKUP('Données projet'!$B$15,Paramètres!$A$1:$I$89,3,0)*0.475*44/12</f>
        <v>0.54181043519644911</v>
      </c>
      <c r="EW94" s="23">
        <f>EXP(-LN(2)/25)*EW93+(1-EXP(-LN(2)/25))/(LN(2)/25)*Calculateur!ER94*Calculateur!ET94*VLOOKUP('Données projet'!$B$15,Paramètres!$A$1:$I$89,3,0)*0.475*44/12</f>
        <v>0</v>
      </c>
      <c r="EX94" s="23">
        <f>EXP(-LN(2)/2)*EX93+(1-EXP(-LN(2)/2))/(LN(2)/2)*ER94*EU94*VLOOKUP('Données projet'!$B$15,Paramètres!$A$1:$I$89,3,0)*0.475*44/12</f>
        <v>0</v>
      </c>
      <c r="EY94" s="24">
        <f t="shared" si="75"/>
        <v>0.54181043519644911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13</v>
      </c>
      <c r="N95" s="14">
        <f>IF('Données projet'!$A$36&gt;35,N94+M95-V94,IF(A95&lt;'Données projet'!$A$36,$K$205^A95,IF(A95='Données projet'!$A$36,'Données projet'!$B$36,N94+M95-V94)))</f>
        <v>499.00000000000045</v>
      </c>
      <c r="O95" s="14">
        <f>N95*VLOOKUP('Données projet'!$B$9,Paramètres!$A$1:$I$89,3,0)*VLOOKUP('Données projet'!$B$9,Paramètres!$A$1:$I$89,5,0)</f>
        <v>233.53200000000021</v>
      </c>
      <c r="P95" s="14">
        <f t="shared" si="87"/>
        <v>57.04570382109813</v>
      </c>
      <c r="Q95" s="22">
        <f t="shared" si="54"/>
        <v>506.08950082174624</v>
      </c>
      <c r="R95" s="62">
        <f t="shared" si="55"/>
        <v>799.4228341550795</v>
      </c>
      <c r="S95" s="62">
        <f ca="1">AVERAGE(OFFSET($R$3,0,0,'Données projet'!$E$9+1,1))-AVERAGE(OFFSET($H$3,0,0,'Données projet'!$E$9+1,1))</f>
        <v>317.54276561627643</v>
      </c>
      <c r="T95" s="62">
        <f t="shared" si="88"/>
        <v>238.92443174298893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-1.1368683772161603E-13</v>
      </c>
      <c r="AJ95" s="14">
        <f>AI95*VLOOKUP('Données projet'!$B$10,Paramètres!$A$1:$I$89,3,0)*VLOOKUP('Données projet'!$B$10,Paramètres!$A$1:$I$89,5,0)</f>
        <v>-9.9316821433603781E-14</v>
      </c>
      <c r="AK95" s="14" t="e">
        <f t="shared" si="89"/>
        <v>#NUM!</v>
      </c>
      <c r="AL95" s="22" t="e">
        <f t="shared" si="58"/>
        <v>#NUM!</v>
      </c>
      <c r="AM95" s="62" t="e">
        <f t="shared" si="59"/>
        <v>#NUM!</v>
      </c>
      <c r="AN95" s="62">
        <f ca="1">AVERAGE(OFFSET($AM$3,0,0,'Données projet'!$E$10+1,1))-AVERAGE(OFFSET($H$3,0,0,'Données projet'!$E$10+1,1))</f>
        <v>327.826081588335</v>
      </c>
      <c r="AO95" s="62">
        <f t="shared" si="90"/>
        <v>348.84706693879735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1.8002663818380615</v>
      </c>
      <c r="AV95" s="23">
        <f>EXP(-LN(2)/25)*AV94+(1-EXP(-LN(2)/25))/(LN(2)/25)*Calculateur!AQ95*Calculateur!AS95*VLOOKUP('Données projet'!$B$10,Paramètres!$A$1:$I$89,3,0)*0.475*44/12</f>
        <v>2.459142034030164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4.2594084158682257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6</v>
      </c>
      <c r="BD95" s="13">
        <f>IF('Données projet'!$A$88&gt;35,BD94+BC95-BL94,IF(A95&lt;'Données projet'!$A$88,$BA$205^A95,IF(A95='Données projet'!$A$88,'Données projet'!$B$88,BD94+BC95-BL94)))</f>
        <v>313.99999999999994</v>
      </c>
      <c r="BE95" s="14">
        <f>BD95*VLOOKUP('Données projet'!$B$11,Paramètres!$A$1:$I$89,3,0)*VLOOKUP('Données projet'!$B$11,Paramètres!$A$1:$I$89,5,0)</f>
        <v>318.39599999999996</v>
      </c>
      <c r="BF95" s="14">
        <f t="shared" si="91"/>
        <v>75.019512724334945</v>
      </c>
      <c r="BG95" s="22">
        <f t="shared" si="61"/>
        <v>685.19868466154992</v>
      </c>
      <c r="BH95" s="62">
        <f t="shared" si="62"/>
        <v>978.53201799488329</v>
      </c>
      <c r="BI95" s="62">
        <f ca="1">AVERAGE(OFFSET($BH$3,0,0,'Données projet'!$E$11+1,1))-AVERAGE(OFFSET($H$3,0,0,'Données projet'!$E$11+1,1))</f>
        <v>487.04124684635974</v>
      </c>
      <c r="BJ95" s="62">
        <f t="shared" si="92"/>
        <v>306.61893266146666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0.79065753256401361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0.79065753256401361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6</v>
      </c>
      <c r="BY95" s="13">
        <f>IF('Données projet'!$A$114&gt;35,BY94+BX95-CG94,IF(A95&lt;'Données projet'!$A$114,$BV$205^A95,IF(A95='Données projet'!$A$114,'Données projet'!$B$114,BY94+BX95-CG94)))</f>
        <v>313.99999999999994</v>
      </c>
      <c r="BZ95" s="14">
        <f>BY95*VLOOKUP('Données projet'!$B$12,Paramètres!$A$1:$I$89,3,0)*VLOOKUP('Données projet'!$B$12,Paramètres!$A$1:$I$89,5,0)</f>
        <v>284.10719999999992</v>
      </c>
      <c r="CA95" s="14">
        <f t="shared" si="93"/>
        <v>67.834241327943715</v>
      </c>
      <c r="CB95" s="22">
        <f t="shared" si="64"/>
        <v>612.96467697950186</v>
      </c>
      <c r="CC95" s="62">
        <f t="shared" si="65"/>
        <v>906.29801031283523</v>
      </c>
      <c r="CD95" s="62">
        <f ca="1">AVERAGE(OFFSET($CC$3,0,0,'Données projet'!$E$12+1,1))-AVERAGE(OFFSET($H$3,0,0,'Données projet'!$E$12+1,1))</f>
        <v>439.06700232017681</v>
      </c>
      <c r="CE95" s="62">
        <f t="shared" si="94"/>
        <v>278.21741231699929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0.70550979828788885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0.70550979828788885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317.99999999999972</v>
      </c>
      <c r="CU95" s="18">
        <f>CT95*VLOOKUP('Données projet'!$B$13,Paramètres!$A$1:$I$89,3,0)*VLOOKUP('Données projet'!$B$13,Paramètres!$A$1:$I$89,5,0)</f>
        <v>233.1575999999998</v>
      </c>
      <c r="CV95" s="14">
        <f t="shared" si="95"/>
        <v>56.964885721091697</v>
      </c>
      <c r="CW95" s="22">
        <f t="shared" si="67"/>
        <v>505.29666263090093</v>
      </c>
      <c r="CX95" s="62">
        <f t="shared" si="68"/>
        <v>798.62999596423424</v>
      </c>
      <c r="CY95" s="62">
        <f ca="1">AVERAGE(OFFSET($CX$3,0,0,'Données projet'!$E$13+1,1))-AVERAGE(OFFSET($H$3,0,0,'Données projet'!$E$13+1,1))</f>
        <v>327.81662150328646</v>
      </c>
      <c r="CZ95" s="62">
        <f t="shared" si="96"/>
        <v>320.24200483294322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0.58623852764294193</v>
      </c>
      <c r="DG95" s="23">
        <f>EXP(-LN(2)/25)*DG94+(1-EXP(-LN(2)/25))/(LN(2)/25)*Calculateur!DB95*Calculateur!DD95*VLOOKUP('Données projet'!$B$13,Paramètres!$A$1:$I$89,3,0)*0.475*44/12</f>
        <v>0</v>
      </c>
      <c r="DH95" s="23">
        <f>EXP(-LN(2)/2)*DH94+(1-EXP(-LN(2)/2))/(LN(2)/2)*DB95*DE95*VLOOKUP('Données projet'!$B$13,Paramètres!$A$1:$I$89,3,0)*0.475*44/12</f>
        <v>0</v>
      </c>
      <c r="DI95" s="24">
        <f t="shared" si="69"/>
        <v>0.58623852764294193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5.6843418860808015E-14</v>
      </c>
      <c r="DP95" s="18">
        <f>DO95*VLOOKUP('Données projet'!$B$14,Paramètres!$A$1:$I$89,3,0)*VLOOKUP('Données projet'!$B$14,Paramètres!$A$1:$I$89,5,0)</f>
        <v>3.7243808037601412E-14</v>
      </c>
      <c r="DQ95" s="14">
        <f t="shared" si="97"/>
        <v>6.2767589361185393E-13</v>
      </c>
      <c r="DR95" s="22">
        <f t="shared" si="70"/>
        <v>1.1580684803728015E-12</v>
      </c>
      <c r="DS95" s="62">
        <f t="shared" si="71"/>
        <v>293.33333333333445</v>
      </c>
      <c r="DT95" s="62">
        <f ca="1">AVERAGE(OFFSET($DS$3,0,0,'Données projet'!$E$14+1,1))-AVERAGE(OFFSET($H$3,0,0,'Données projet'!$E$14+1,1))</f>
        <v>210.08998695869161</v>
      </c>
      <c r="DU95" s="62">
        <f t="shared" si="98"/>
        <v>207.30911916430881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>
        <f>EXP(-LN(2)/35)*EA94+(1-EXP(-LN(2)/35))/(LN(2)/35)*DW95*DX95*VLOOKUP('Données projet'!$B$14,Paramètres!$A$1:$I$89,3,0)*0.475*44/12</f>
        <v>0.13471012975625032</v>
      </c>
      <c r="EB95" s="23">
        <f>EXP(-LN(2)/25)*EB94+(1-EXP(-LN(2)/25))/(LN(2)/25)*Calculateur!DW95*Calculateur!DY95*VLOOKUP('Données projet'!$B$14,Paramètres!$A$1:$I$89,3,0)*0.475*44/12</f>
        <v>0</v>
      </c>
      <c r="EC95" s="23">
        <f>EXP(-LN(2)/2)*EC94+(1-EXP(-LN(2)/2))/(LN(2)/2)*DW95*DZ95*VLOOKUP('Données projet'!$B$14,Paramètres!$A$1:$I$89,3,0)*0.475*44/12</f>
        <v>0</v>
      </c>
      <c r="ED95" s="24">
        <f t="shared" si="72"/>
        <v>0.13471012975625032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5.6843418860808015E-14</v>
      </c>
      <c r="EK95" s="18">
        <f>EJ95*VLOOKUP('Données projet'!$B$15,Paramètres!$A$1:$I$89,3,0)*VLOOKUP('Données projet'!$B$15,Paramètres!$A$1:$I$89,5,0)</f>
        <v>4.4337866711430253E-14</v>
      </c>
      <c r="EL95" s="14">
        <f t="shared" si="99"/>
        <v>7.3222115536967035E-13</v>
      </c>
      <c r="EM95" s="22">
        <f t="shared" si="73"/>
        <v>1.3525069634579169E-12</v>
      </c>
      <c r="EN95" s="62">
        <f t="shared" si="74"/>
        <v>293.33333333333468</v>
      </c>
      <c r="EO95" s="62">
        <f ca="1">AVERAGE(OFFSET($EN$3,0,0,'Données projet'!$E$15+1,1))-AVERAGE(OFFSET($H$3,0,0,'Données projet'!$E$15+1,1))</f>
        <v>288.82868507674738</v>
      </c>
      <c r="EP95" s="62">
        <f t="shared" si="100"/>
        <v>283.48738729114024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>
        <f>EXP(-LN(2)/35)*EV94+(1-EXP(-LN(2)/35))/(LN(2)/35)*ER95*ES95*VLOOKUP('Données projet'!$B$15,Paramètres!$A$1:$I$89,3,0)*0.475*44/12</f>
        <v>0.53118586303398085</v>
      </c>
      <c r="EW95" s="23">
        <f>EXP(-LN(2)/25)*EW94+(1-EXP(-LN(2)/25))/(LN(2)/25)*Calculateur!ER95*Calculateur!ET95*VLOOKUP('Données projet'!$B$15,Paramètres!$A$1:$I$89,3,0)*0.475*44/12</f>
        <v>0</v>
      </c>
      <c r="EX95" s="23">
        <f>EXP(-LN(2)/2)*EX94+(1-EXP(-LN(2)/2))/(LN(2)/2)*ER95*EU95*VLOOKUP('Données projet'!$B$15,Paramètres!$A$1:$I$89,3,0)*0.475*44/12</f>
        <v>0</v>
      </c>
      <c r="EY95" s="24">
        <f t="shared" si="75"/>
        <v>0.53118586303398085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13</v>
      </c>
      <c r="N96" s="14">
        <f>IF('Données projet'!$A$36&gt;35,N95+M96-V95,IF(A96&lt;'Données projet'!$A$36,$K$205^A96,IF(A96='Données projet'!$A$36,'Données projet'!$B$36,N95+M96-V95)))</f>
        <v>512.00000000000045</v>
      </c>
      <c r="O96" s="14">
        <f>N96*VLOOKUP('Données projet'!$B$9,Paramètres!$A$1:$I$89,3,0)*VLOOKUP('Données projet'!$B$9,Paramètres!$A$1:$I$89,5,0)</f>
        <v>239.61600000000021</v>
      </c>
      <c r="P96" s="14">
        <f t="shared" si="87"/>
        <v>58.356903313490214</v>
      </c>
      <c r="Q96" s="22">
        <f t="shared" si="54"/>
        <v>518.96947327099576</v>
      </c>
      <c r="R96" s="62">
        <f t="shared" si="55"/>
        <v>812.30280660432913</v>
      </c>
      <c r="S96" s="62">
        <f ca="1">AVERAGE(OFFSET($R$3,0,0,'Données projet'!$E$9+1,1))-AVERAGE(OFFSET($H$3,0,0,'Données projet'!$E$9+1,1))</f>
        <v>317.54276561627643</v>
      </c>
      <c r="T96" s="62">
        <f t="shared" si="88"/>
        <v>238.92443174298893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-1.1368683772161603E-13</v>
      </c>
      <c r="AJ96" s="14">
        <f>AI96*VLOOKUP('Données projet'!$B$10,Paramètres!$A$1:$I$89,3,0)*VLOOKUP('Données projet'!$B$10,Paramètres!$A$1:$I$89,5,0)</f>
        <v>-9.9316821433603781E-14</v>
      </c>
      <c r="AK96" s="14" t="e">
        <f t="shared" si="89"/>
        <v>#NUM!</v>
      </c>
      <c r="AL96" s="22" t="e">
        <f t="shared" si="58"/>
        <v>#NUM!</v>
      </c>
      <c r="AM96" s="62" t="e">
        <f t="shared" si="59"/>
        <v>#NUM!</v>
      </c>
      <c r="AN96" s="62">
        <f ca="1">AVERAGE(OFFSET($AM$3,0,0,'Données projet'!$E$10+1,1))-AVERAGE(OFFSET($H$3,0,0,'Données projet'!$E$10+1,1))</f>
        <v>327.826081588335</v>
      </c>
      <c r="AO96" s="62">
        <f t="shared" si="90"/>
        <v>348.84706693879735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1.7649642561442862</v>
      </c>
      <c r="AV96" s="23">
        <f>EXP(-LN(2)/25)*AV95+(1-EXP(-LN(2)/25))/(LN(2)/25)*Calculateur!AQ96*Calculateur!AS96*VLOOKUP('Données projet'!$B$10,Paramètres!$A$1:$I$89,3,0)*0.475*44/12</f>
        <v>2.3918966657889502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4.1568609219332364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6</v>
      </c>
      <c r="BD96" s="13">
        <f>IF('Données projet'!$A$88&gt;35,BD95+BC96-BL95,IF(A96&lt;'Données projet'!$A$88,$BA$205^A96,IF(A96='Données projet'!$A$88,'Données projet'!$B$88,BD95+BC96-BL95)))</f>
        <v>319.99999999999994</v>
      </c>
      <c r="BE96" s="14">
        <f>BD96*VLOOKUP('Données projet'!$B$11,Paramètres!$A$1:$I$89,3,0)*VLOOKUP('Données projet'!$B$11,Paramètres!$A$1:$I$89,5,0)</f>
        <v>324.47999999999996</v>
      </c>
      <c r="BF96" s="14">
        <f t="shared" si="91"/>
        <v>76.284749200165507</v>
      </c>
      <c r="BG96" s="22">
        <f t="shared" si="61"/>
        <v>697.99860485695478</v>
      </c>
      <c r="BH96" s="62">
        <f t="shared" si="62"/>
        <v>991.33193819028816</v>
      </c>
      <c r="BI96" s="62">
        <f ca="1">AVERAGE(OFFSET($BH$3,0,0,'Données projet'!$E$11+1,1))-AVERAGE(OFFSET($H$3,0,0,'Données projet'!$E$11+1,1))</f>
        <v>487.04124684635974</v>
      </c>
      <c r="BJ96" s="62">
        <f t="shared" si="92"/>
        <v>306.61893266146666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0.77515322060390957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0.77515322060390957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6</v>
      </c>
      <c r="BY96" s="13">
        <f>IF('Données projet'!$A$114&gt;35,BY95+BX96-CG95,IF(A96&lt;'Données projet'!$A$114,$BV$205^A96,IF(A96='Données projet'!$A$114,'Données projet'!$B$114,BY95+BX96-CG95)))</f>
        <v>319.99999999999994</v>
      </c>
      <c r="BZ96" s="14">
        <f>BY96*VLOOKUP('Données projet'!$B$12,Paramètres!$A$1:$I$89,3,0)*VLOOKUP('Données projet'!$B$12,Paramètres!$A$1:$I$89,5,0)</f>
        <v>289.53599999999994</v>
      </c>
      <c r="CA96" s="14">
        <f t="shared" si="93"/>
        <v>68.97829509904436</v>
      </c>
      <c r="CB96" s="22">
        <f t="shared" si="64"/>
        <v>624.41239729750214</v>
      </c>
      <c r="CC96" s="62">
        <f t="shared" si="65"/>
        <v>917.7457306308354</v>
      </c>
      <c r="CD96" s="62">
        <f ca="1">AVERAGE(OFFSET($CC$3,0,0,'Données projet'!$E$12+1,1))-AVERAGE(OFFSET($H$3,0,0,'Données projet'!$E$12+1,1))</f>
        <v>439.06700232017681</v>
      </c>
      <c r="CE96" s="62">
        <f t="shared" si="94"/>
        <v>278.21741231699929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0.69167518146194984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0.69167518146194984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317.99999999999972</v>
      </c>
      <c r="CU96" s="18">
        <f>CT96*VLOOKUP('Données projet'!$B$13,Paramètres!$A$1:$I$89,3,0)*VLOOKUP('Données projet'!$B$13,Paramètres!$A$1:$I$89,5,0)</f>
        <v>233.1575999999998</v>
      </c>
      <c r="CV96" s="14">
        <f t="shared" si="95"/>
        <v>56.964885721091697</v>
      </c>
      <c r="CW96" s="22">
        <f t="shared" si="67"/>
        <v>505.29666263090093</v>
      </c>
      <c r="CX96" s="62">
        <f t="shared" si="68"/>
        <v>798.62999596423424</v>
      </c>
      <c r="CY96" s="62">
        <f ca="1">AVERAGE(OFFSET($CX$3,0,0,'Données projet'!$E$13+1,1))-AVERAGE(OFFSET($H$3,0,0,'Données projet'!$E$13+1,1))</f>
        <v>327.81662150328646</v>
      </c>
      <c r="CZ96" s="62">
        <f t="shared" si="96"/>
        <v>320.24200483294322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0.5747427476860586</v>
      </c>
      <c r="DG96" s="23">
        <f>EXP(-LN(2)/25)*DG95+(1-EXP(-LN(2)/25))/(LN(2)/25)*Calculateur!DB96*Calculateur!DD96*VLOOKUP('Données projet'!$B$13,Paramètres!$A$1:$I$89,3,0)*0.475*44/12</f>
        <v>0</v>
      </c>
      <c r="DH96" s="23">
        <f>EXP(-LN(2)/2)*DH95+(1-EXP(-LN(2)/2))/(LN(2)/2)*DB96*DE96*VLOOKUP('Données projet'!$B$13,Paramètres!$A$1:$I$89,3,0)*0.475*44/12</f>
        <v>0</v>
      </c>
      <c r="DI96" s="24">
        <f t="shared" si="69"/>
        <v>0.5747427476860586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5.6843418860808015E-14</v>
      </c>
      <c r="DP96" s="18">
        <f>DO96*VLOOKUP('Données projet'!$B$14,Paramètres!$A$1:$I$89,3,0)*VLOOKUP('Données projet'!$B$14,Paramètres!$A$1:$I$89,5,0)</f>
        <v>3.7243808037601412E-14</v>
      </c>
      <c r="DQ96" s="14">
        <f t="shared" si="97"/>
        <v>6.2767589361185393E-13</v>
      </c>
      <c r="DR96" s="22">
        <f t="shared" si="70"/>
        <v>1.1580684803728015E-12</v>
      </c>
      <c r="DS96" s="62">
        <f t="shared" si="71"/>
        <v>293.33333333333445</v>
      </c>
      <c r="DT96" s="62">
        <f ca="1">AVERAGE(OFFSET($DS$3,0,0,'Données projet'!$E$14+1,1))-AVERAGE(OFFSET($H$3,0,0,'Données projet'!$E$14+1,1))</f>
        <v>210.08998695869161</v>
      </c>
      <c r="DU96" s="62">
        <f t="shared" si="98"/>
        <v>207.30911916430881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>
        <f>EXP(-LN(2)/35)*EA95+(1-EXP(-LN(2)/35))/(LN(2)/35)*DW96*DX96*VLOOKUP('Données projet'!$B$14,Paramètres!$A$1:$I$89,3,0)*0.475*44/12</f>
        <v>0.13206854627679629</v>
      </c>
      <c r="EB96" s="23">
        <f>EXP(-LN(2)/25)*EB95+(1-EXP(-LN(2)/25))/(LN(2)/25)*Calculateur!DW96*Calculateur!DY96*VLOOKUP('Données projet'!$B$14,Paramètres!$A$1:$I$89,3,0)*0.475*44/12</f>
        <v>0</v>
      </c>
      <c r="EC96" s="23">
        <f>EXP(-LN(2)/2)*EC95+(1-EXP(-LN(2)/2))/(LN(2)/2)*DW96*DZ96*VLOOKUP('Données projet'!$B$14,Paramètres!$A$1:$I$89,3,0)*0.475*44/12</f>
        <v>0</v>
      </c>
      <c r="ED96" s="24">
        <f t="shared" si="72"/>
        <v>0.13206854627679629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5.6843418860808015E-14</v>
      </c>
      <c r="EK96" s="18">
        <f>EJ96*VLOOKUP('Données projet'!$B$15,Paramètres!$A$1:$I$89,3,0)*VLOOKUP('Données projet'!$B$15,Paramètres!$A$1:$I$89,5,0)</f>
        <v>4.4337866711430253E-14</v>
      </c>
      <c r="EL96" s="14">
        <f t="shared" si="99"/>
        <v>7.3222115536967035E-13</v>
      </c>
      <c r="EM96" s="22">
        <f t="shared" si="73"/>
        <v>1.3525069634579169E-12</v>
      </c>
      <c r="EN96" s="62">
        <f t="shared" si="74"/>
        <v>293.33333333333468</v>
      </c>
      <c r="EO96" s="62">
        <f ca="1">AVERAGE(OFFSET($EN$3,0,0,'Données projet'!$E$15+1,1))-AVERAGE(OFFSET($H$3,0,0,'Données projet'!$E$15+1,1))</f>
        <v>288.82868507674738</v>
      </c>
      <c r="EP96" s="62">
        <f t="shared" si="100"/>
        <v>283.48738729114024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>
        <f>EXP(-LN(2)/35)*EV95+(1-EXP(-LN(2)/35))/(LN(2)/35)*ER96*ES96*VLOOKUP('Données projet'!$B$15,Paramètres!$A$1:$I$89,3,0)*0.475*44/12</f>
        <v>0.52076963225126949</v>
      </c>
      <c r="EW96" s="23">
        <f>EXP(-LN(2)/25)*EW95+(1-EXP(-LN(2)/25))/(LN(2)/25)*Calculateur!ER96*Calculateur!ET96*VLOOKUP('Données projet'!$B$15,Paramètres!$A$1:$I$89,3,0)*0.475*44/12</f>
        <v>0</v>
      </c>
      <c r="EX96" s="23">
        <f>EXP(-LN(2)/2)*EX95+(1-EXP(-LN(2)/2))/(LN(2)/2)*ER96*EU96*VLOOKUP('Données projet'!$B$15,Paramètres!$A$1:$I$89,3,0)*0.475*44/12</f>
        <v>0</v>
      </c>
      <c r="EY96" s="24">
        <f t="shared" si="75"/>
        <v>0.52076963225126949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>
        <f>VLOOKUP(A97,'Données projet'!$A$35:$I$55,2,0)</f>
        <v>525</v>
      </c>
      <c r="L97" s="13">
        <f>VLOOKUP(A97,'Données projet'!$A$35:$I$55,9,0)</f>
        <v>13</v>
      </c>
      <c r="M97" s="13">
        <f t="array" ref="M97">INDEX(L:L,MIN(IF(ISNUMBER(L97:L293),ROW(L97:L293),"")))</f>
        <v>13</v>
      </c>
      <c r="N97" s="14">
        <f>IF('Données projet'!$A$36&gt;35,N96+M97-V96,IF(A97&lt;'Données projet'!$A$36,$K$205^A97,IF(A97='Données projet'!$A$36,'Données projet'!$B$36,N96+M97-V96)))</f>
        <v>525.00000000000045</v>
      </c>
      <c r="O97" s="14">
        <f>N97*VLOOKUP('Données projet'!$B$9,Paramètres!$A$1:$I$89,3,0)*VLOOKUP('Données projet'!$B$9,Paramètres!$A$1:$I$89,5,0)</f>
        <v>245.70000000000022</v>
      </c>
      <c r="P97" s="14">
        <f t="shared" si="87"/>
        <v>59.66423287821754</v>
      </c>
      <c r="Q97" s="22">
        <f t="shared" si="54"/>
        <v>531.84270559622928</v>
      </c>
      <c r="R97" s="62">
        <f t="shared" si="55"/>
        <v>825.17603892956254</v>
      </c>
      <c r="S97" s="62">
        <f ca="1">AVERAGE(OFFSET($R$3,0,0,'Données projet'!$E$9+1,1))-AVERAGE(OFFSET($H$3,0,0,'Données projet'!$E$9+1,1))</f>
        <v>317.54276561627643</v>
      </c>
      <c r="T97" s="62">
        <f t="shared" si="88"/>
        <v>238.92443174298893</v>
      </c>
      <c r="U97" s="16">
        <f>IF(ISNA(VLOOKUP(A97,'Données projet'!$A$35:$I$55,3,0)),0,VLOOKUP(A97,'Données projet'!$A$35:$I$55,3,0))</f>
        <v>17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-1.1368683772161603E-13</v>
      </c>
      <c r="AJ97" s="14">
        <f>AI97*VLOOKUP('Données projet'!$B$10,Paramètres!$A$1:$I$89,3,0)*VLOOKUP('Données projet'!$B$10,Paramètres!$A$1:$I$89,5,0)</f>
        <v>-9.9316821433603781E-14</v>
      </c>
      <c r="AK97" s="14" t="e">
        <f t="shared" si="89"/>
        <v>#NUM!</v>
      </c>
      <c r="AL97" s="22" t="e">
        <f t="shared" si="58"/>
        <v>#NUM!</v>
      </c>
      <c r="AM97" s="62" t="e">
        <f t="shared" si="59"/>
        <v>#NUM!</v>
      </c>
      <c r="AN97" s="62">
        <f ca="1">AVERAGE(OFFSET($AM$3,0,0,'Données projet'!$E$10+1,1))-AVERAGE(OFFSET($H$3,0,0,'Données projet'!$E$10+1,1))</f>
        <v>327.826081588335</v>
      </c>
      <c r="AO97" s="62">
        <f t="shared" si="90"/>
        <v>348.84706693879735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1.7303543836031954</v>
      </c>
      <c r="AV97" s="23">
        <f>EXP(-LN(2)/25)*AV96+(1-EXP(-LN(2)/25))/(LN(2)/25)*Calculateur!AQ97*Calculateur!AS97*VLOOKUP('Données projet'!$B$10,Paramètres!$A$1:$I$89,3,0)*0.475*44/12</f>
        <v>2.3264901256785726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4.0568445092817678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6</v>
      </c>
      <c r="BD97" s="13">
        <f>IF('Données projet'!$A$88&gt;35,BD96+BC97-BL96,IF(A97&lt;'Données projet'!$A$88,$BA$205^A97,IF(A97='Données projet'!$A$88,'Données projet'!$B$88,BD96+BC97-BL96)))</f>
        <v>325.99999999999994</v>
      </c>
      <c r="BE97" s="14">
        <f>BD97*VLOOKUP('Données projet'!$B$11,Paramètres!$A$1:$I$89,3,0)*VLOOKUP('Données projet'!$B$11,Paramètres!$A$1:$I$89,5,0)</f>
        <v>330.56399999999996</v>
      </c>
      <c r="BF97" s="14">
        <f t="shared" si="91"/>
        <v>77.547227137682853</v>
      </c>
      <c r="BG97" s="22">
        <f t="shared" si="61"/>
        <v>710.79372059813079</v>
      </c>
      <c r="BH97" s="62">
        <f t="shared" si="62"/>
        <v>1004.1270539314642</v>
      </c>
      <c r="BI97" s="62">
        <f ca="1">AVERAGE(OFFSET($BH$3,0,0,'Données projet'!$E$11+1,1))-AVERAGE(OFFSET($H$3,0,0,'Données projet'!$E$11+1,1))</f>
        <v>487.04124684635974</v>
      </c>
      <c r="BJ97" s="62">
        <f t="shared" si="92"/>
        <v>306.61893266146666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0.75995293874464664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0.75995293874464664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6</v>
      </c>
      <c r="BY97" s="13">
        <f>IF('Données projet'!$A$114&gt;35,BY96+BX97-CG96,IF(A97&lt;'Données projet'!$A$114,$BV$205^A97,IF(A97='Données projet'!$A$114,'Données projet'!$B$114,BY96+BX97-CG96)))</f>
        <v>325.99999999999994</v>
      </c>
      <c r="BZ97" s="14">
        <f>BY97*VLOOKUP('Données projet'!$B$12,Paramètres!$A$1:$I$89,3,0)*VLOOKUP('Données projet'!$B$12,Paramètres!$A$1:$I$89,5,0)</f>
        <v>294.96479999999997</v>
      </c>
      <c r="CA97" s="14">
        <f t="shared" si="93"/>
        <v>70.119854541045001</v>
      </c>
      <c r="CB97" s="22">
        <f t="shared" si="64"/>
        <v>635.85577332565333</v>
      </c>
      <c r="CC97" s="62">
        <f t="shared" si="65"/>
        <v>929.1891066589867</v>
      </c>
      <c r="CD97" s="62">
        <f ca="1">AVERAGE(OFFSET($CC$3,0,0,'Données projet'!$E$12+1,1))-AVERAGE(OFFSET($H$3,0,0,'Données projet'!$E$12+1,1))</f>
        <v>439.06700232017681</v>
      </c>
      <c r="CE97" s="62">
        <f t="shared" si="94"/>
        <v>278.21741231699929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0.67811185303368449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0.67811185303368449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317.99999999999972</v>
      </c>
      <c r="CU97" s="18">
        <f>CT97*VLOOKUP('Données projet'!$B$13,Paramètres!$A$1:$I$89,3,0)*VLOOKUP('Données projet'!$B$13,Paramètres!$A$1:$I$89,5,0)</f>
        <v>233.1575999999998</v>
      </c>
      <c r="CV97" s="14">
        <f t="shared" si="95"/>
        <v>56.964885721091697</v>
      </c>
      <c r="CW97" s="22">
        <f t="shared" si="67"/>
        <v>505.29666263090093</v>
      </c>
      <c r="CX97" s="62">
        <f t="shared" si="68"/>
        <v>798.62999596423424</v>
      </c>
      <c r="CY97" s="62">
        <f ca="1">AVERAGE(OFFSET($CX$3,0,0,'Données projet'!$E$13+1,1))-AVERAGE(OFFSET($H$3,0,0,'Données projet'!$E$13+1,1))</f>
        <v>327.81662150328646</v>
      </c>
      <c r="CZ97" s="62">
        <f t="shared" si="96"/>
        <v>320.24200483294322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0.56347239296239626</v>
      </c>
      <c r="DG97" s="23">
        <f>EXP(-LN(2)/25)*DG96+(1-EXP(-LN(2)/25))/(LN(2)/25)*Calculateur!DB97*Calculateur!DD97*VLOOKUP('Données projet'!$B$13,Paramètres!$A$1:$I$89,3,0)*0.475*44/12</f>
        <v>0</v>
      </c>
      <c r="DH97" s="23">
        <f>EXP(-LN(2)/2)*DH96+(1-EXP(-LN(2)/2))/(LN(2)/2)*DB97*DE97*VLOOKUP('Données projet'!$B$13,Paramètres!$A$1:$I$89,3,0)*0.475*44/12</f>
        <v>0</v>
      </c>
      <c r="DI97" s="24">
        <f t="shared" si="69"/>
        <v>0.56347239296239626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5.6843418860808015E-14</v>
      </c>
      <c r="DP97" s="18">
        <f>DO97*VLOOKUP('Données projet'!$B$14,Paramètres!$A$1:$I$89,3,0)*VLOOKUP('Données projet'!$B$14,Paramètres!$A$1:$I$89,5,0)</f>
        <v>3.7243808037601412E-14</v>
      </c>
      <c r="DQ97" s="14">
        <f t="shared" si="97"/>
        <v>6.2767589361185393E-13</v>
      </c>
      <c r="DR97" s="22">
        <f t="shared" si="70"/>
        <v>1.1580684803728015E-12</v>
      </c>
      <c r="DS97" s="62">
        <f t="shared" si="71"/>
        <v>293.33333333333445</v>
      </c>
      <c r="DT97" s="62">
        <f ca="1">AVERAGE(OFFSET($DS$3,0,0,'Données projet'!$E$14+1,1))-AVERAGE(OFFSET($H$3,0,0,'Données projet'!$E$14+1,1))</f>
        <v>210.08998695869161</v>
      </c>
      <c r="DU97" s="62">
        <f t="shared" si="98"/>
        <v>207.30911916430881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>
        <f>EXP(-LN(2)/35)*EA96+(1-EXP(-LN(2)/35))/(LN(2)/35)*DW97*DX97*VLOOKUP('Données projet'!$B$14,Paramètres!$A$1:$I$89,3,0)*0.475*44/12</f>
        <v>0.12947876263816752</v>
      </c>
      <c r="EB97" s="23">
        <f>EXP(-LN(2)/25)*EB96+(1-EXP(-LN(2)/25))/(LN(2)/25)*Calculateur!DW97*Calculateur!DY97*VLOOKUP('Données projet'!$B$14,Paramètres!$A$1:$I$89,3,0)*0.475*44/12</f>
        <v>0</v>
      </c>
      <c r="EC97" s="23">
        <f>EXP(-LN(2)/2)*EC96+(1-EXP(-LN(2)/2))/(LN(2)/2)*DW97*DZ97*VLOOKUP('Données projet'!$B$14,Paramètres!$A$1:$I$89,3,0)*0.475*44/12</f>
        <v>0</v>
      </c>
      <c r="ED97" s="24">
        <f t="shared" si="72"/>
        <v>0.12947876263816752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5.6843418860808015E-14</v>
      </c>
      <c r="EK97" s="18">
        <f>EJ97*VLOOKUP('Données projet'!$B$15,Paramètres!$A$1:$I$89,3,0)*VLOOKUP('Données projet'!$B$15,Paramètres!$A$1:$I$89,5,0)</f>
        <v>4.4337866711430253E-14</v>
      </c>
      <c r="EL97" s="14">
        <f t="shared" si="99"/>
        <v>7.3222115536967035E-13</v>
      </c>
      <c r="EM97" s="22">
        <f t="shared" si="73"/>
        <v>1.3525069634579169E-12</v>
      </c>
      <c r="EN97" s="62">
        <f t="shared" si="74"/>
        <v>293.33333333333468</v>
      </c>
      <c r="EO97" s="62">
        <f ca="1">AVERAGE(OFFSET($EN$3,0,0,'Données projet'!$E$15+1,1))-AVERAGE(OFFSET($H$3,0,0,'Données projet'!$E$15+1,1))</f>
        <v>288.82868507674738</v>
      </c>
      <c r="EP97" s="62">
        <f t="shared" si="100"/>
        <v>283.48738729114024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>
        <f>EXP(-LN(2)/35)*EV96+(1-EXP(-LN(2)/35))/(LN(2)/35)*ER97*ES97*VLOOKUP('Données projet'!$B$15,Paramètres!$A$1:$I$89,3,0)*0.475*44/12</f>
        <v>0.51055765740093362</v>
      </c>
      <c r="EW97" s="23">
        <f>EXP(-LN(2)/25)*EW96+(1-EXP(-LN(2)/25))/(LN(2)/25)*Calculateur!ER97*Calculateur!ET97*VLOOKUP('Données projet'!$B$15,Paramètres!$A$1:$I$89,3,0)*0.475*44/12</f>
        <v>0</v>
      </c>
      <c r="EX97" s="23">
        <f>EXP(-LN(2)/2)*EX96+(1-EXP(-LN(2)/2))/(LN(2)/2)*ER97*EU97*VLOOKUP('Données projet'!$B$15,Paramètres!$A$1:$I$89,3,0)*0.475*44/12</f>
        <v>0</v>
      </c>
      <c r="EY97" s="24">
        <f t="shared" si="75"/>
        <v>0.51055765740093362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>
        <f>VLOOKUP(A98,'Données projet'!$A$35:$I$55,2,0)</f>
        <v>538</v>
      </c>
      <c r="L98" s="13">
        <f>VLOOKUP(A98,'Données projet'!$A$35:$I$55,9,0)</f>
        <v>13</v>
      </c>
      <c r="M98" s="13">
        <f t="array" ref="M98">INDEX(L:L,MIN(IF(ISNUMBER(L98:L294),ROW(L98:L294),"")))</f>
        <v>13</v>
      </c>
      <c r="N98" s="14">
        <f>IF('Données projet'!$A$36&gt;35,N97+M98-V97,IF(A98&lt;'Données projet'!$A$36,$K$205^A98,IF(A98='Données projet'!$A$36,'Données projet'!$B$36,N97+M98-V97)))</f>
        <v>538.00000000000045</v>
      </c>
      <c r="O98" s="14">
        <f>N98*VLOOKUP('Données projet'!$B$9,Paramètres!$A$1:$I$89,3,0)*VLOOKUP('Données projet'!$B$9,Paramètres!$A$1:$I$89,5,0)</f>
        <v>251.78400000000019</v>
      </c>
      <c r="P98" s="14">
        <f t="shared" si="87"/>
        <v>60.967799364357568</v>
      </c>
      <c r="Q98" s="22">
        <f t="shared" si="54"/>
        <v>544.70938389292303</v>
      </c>
      <c r="R98" s="62">
        <f t="shared" si="55"/>
        <v>838.0427172262564</v>
      </c>
      <c r="S98" s="62">
        <f ca="1">AVERAGE(OFFSET($R$3,0,0,'Données projet'!$E$9+1,1))-AVERAGE(OFFSET($H$3,0,0,'Données projet'!$E$9+1,1))</f>
        <v>317.54276561627643</v>
      </c>
      <c r="T98" s="62">
        <f t="shared" si="88"/>
        <v>238.92443174298893</v>
      </c>
      <c r="U98" s="16">
        <f>IF(ISNA(VLOOKUP(A98,'Données projet'!$A$35:$I$55,3,0)),0,VLOOKUP(A98,'Données projet'!$A$35:$I$55,3,0))</f>
        <v>18</v>
      </c>
      <c r="V98" s="16">
        <f>IF(ISNA(VLOOKUP(A98,'Données projet'!$A$35:$I$55,4,0)),0,VLOOKUP(A98,'Données projet'!$A$35:$I$55,4,0))</f>
        <v>269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-1.1368683772161603E-13</v>
      </c>
      <c r="AJ98" s="14">
        <f>AI98*VLOOKUP('Données projet'!$B$10,Paramètres!$A$1:$I$89,3,0)*VLOOKUP('Données projet'!$B$10,Paramètres!$A$1:$I$89,5,0)</f>
        <v>-9.9316821433603781E-14</v>
      </c>
      <c r="AK98" s="14" t="e">
        <f t="shared" si="89"/>
        <v>#NUM!</v>
      </c>
      <c r="AL98" s="22" t="e">
        <f t="shared" si="58"/>
        <v>#NUM!</v>
      </c>
      <c r="AM98" s="62" t="e">
        <f t="shared" si="59"/>
        <v>#NUM!</v>
      </c>
      <c r="AN98" s="62">
        <f ca="1">AVERAGE(OFFSET($AM$3,0,0,'Données projet'!$E$10+1,1))-AVERAGE(OFFSET($H$3,0,0,'Données projet'!$E$10+1,1))</f>
        <v>327.826081588335</v>
      </c>
      <c r="AO98" s="62">
        <f t="shared" si="90"/>
        <v>348.84706693879735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1.6964231895526973</v>
      </c>
      <c r="AV98" s="23">
        <f>EXP(-LN(2)/25)*AV97+(1-EXP(-LN(2)/25))/(LN(2)/25)*Calculateur!AQ98*Calculateur!AS98*VLOOKUP('Données projet'!$B$10,Paramètres!$A$1:$I$89,3,0)*0.475*44/12</f>
        <v>2.2628721308470934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3.9592953203997907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>
        <f>VLOOKUP(A98,'Données projet'!$A$87:$I$107,2,0)</f>
        <v>332</v>
      </c>
      <c r="BB98" s="13">
        <f>VLOOKUP(A98,'Données projet'!$A$87:$I$107,9,0)</f>
        <v>6</v>
      </c>
      <c r="BC98" s="13">
        <f t="array" ref="BC98">INDEX(BB:BB,MIN(IF(ISNUMBER(BB98:BB294),ROW(BB98:BB294),"")))</f>
        <v>6</v>
      </c>
      <c r="BD98" s="13">
        <f>IF('Données projet'!$A$88&gt;35,BD97+BC98-BL97,IF(A98&lt;'Données projet'!$A$88,$BA$205^A98,IF(A98='Données projet'!$A$88,'Données projet'!$B$88,BD97+BC98-BL97)))</f>
        <v>331.99999999999994</v>
      </c>
      <c r="BE98" s="14">
        <f>BD98*VLOOKUP('Données projet'!$B$11,Paramètres!$A$1:$I$89,3,0)*VLOOKUP('Données projet'!$B$11,Paramètres!$A$1:$I$89,5,0)</f>
        <v>336.64799999999997</v>
      </c>
      <c r="BF98" s="14">
        <f t="shared" si="91"/>
        <v>78.807003163010378</v>
      </c>
      <c r="BG98" s="22">
        <f t="shared" si="61"/>
        <v>723.58413050890977</v>
      </c>
      <c r="BH98" s="62">
        <f t="shared" si="62"/>
        <v>1016.917463842243</v>
      </c>
      <c r="BI98" s="62">
        <f ca="1">AVERAGE(OFFSET($BH$3,0,0,'Données projet'!$E$11+1,1))-AVERAGE(OFFSET($H$3,0,0,'Données projet'!$E$11+1,1))</f>
        <v>487.04124684635974</v>
      </c>
      <c r="BJ98" s="62">
        <f t="shared" si="92"/>
        <v>306.61893266146666</v>
      </c>
      <c r="BK98" s="16">
        <f>IF(ISNA(VLOOKUP(A98,'Données projet'!$A$87:$I$107,3,0)),0,VLOOKUP(A98,'Données projet'!$A$87:$I$107,3,0))</f>
        <v>16</v>
      </c>
      <c r="BL98" s="16">
        <f>IF(ISNA(VLOOKUP(A98,'Données projet'!$A$87:$I$107,4,0)),0,VLOOKUP(A98,'Données projet'!$A$87:$I$107,4,0))</f>
        <v>28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0.74505072514138737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0.74505072514138737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>
        <f>VLOOKUP(A98,'Données projet'!$A$113:$I$133,2,0)</f>
        <v>332</v>
      </c>
      <c r="BW98" s="13">
        <f>VLOOKUP(A98,'Données projet'!$A$113:$I$133,9,0)</f>
        <v>6</v>
      </c>
      <c r="BX98" s="13">
        <f t="array" ref="BX98">INDEX(BW:BW,MIN(IF(ISNUMBER(BW98:BW294),ROW(BW98:BW294),"")))</f>
        <v>6</v>
      </c>
      <c r="BY98" s="13">
        <f>IF('Données projet'!$A$114&gt;35,BY97+BX98-CG97,IF(A98&lt;'Données projet'!$A$114,$BV$205^A98,IF(A98='Données projet'!$A$114,'Données projet'!$B$114,BY97+BX98-CG97)))</f>
        <v>331.99999999999994</v>
      </c>
      <c r="BZ98" s="14">
        <f>BY98*VLOOKUP('Données projet'!$B$12,Paramètres!$A$1:$I$89,3,0)*VLOOKUP('Données projet'!$B$12,Paramètres!$A$1:$I$89,5,0)</f>
        <v>300.39359999999994</v>
      </c>
      <c r="CA98" s="14">
        <f t="shared" si="93"/>
        <v>71.258970856492667</v>
      </c>
      <c r="CB98" s="22">
        <f t="shared" si="64"/>
        <v>647.29489424172459</v>
      </c>
      <c r="CC98" s="62">
        <f t="shared" si="65"/>
        <v>940.62822757505796</v>
      </c>
      <c r="CD98" s="62">
        <f ca="1">AVERAGE(OFFSET($CC$3,0,0,'Données projet'!$E$12+1,1))-AVERAGE(OFFSET($H$3,0,0,'Données projet'!$E$12+1,1))</f>
        <v>439.06700232017681</v>
      </c>
      <c r="CE98" s="62">
        <f t="shared" si="94"/>
        <v>278.21741231699929</v>
      </c>
      <c r="CF98" s="16">
        <f>IF(ISNA(VLOOKUP(A98,'Données projet'!$A$113:$I$133,3,0)),0,VLOOKUP(A98,'Données projet'!$A$113:$I$133,3,0))</f>
        <v>16</v>
      </c>
      <c r="CG98" s="16">
        <f>IF(ISNA(VLOOKUP(A98,'Données projet'!$A$113:$I$133,4,0)),0,VLOOKUP(A98,'Données projet'!$A$113:$I$133,4,0))</f>
        <v>28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0.66481449320308394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0.66481449320308394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317.99999999999972</v>
      </c>
      <c r="CU98" s="18">
        <f>CT98*VLOOKUP('Données projet'!$B$13,Paramètres!$A$1:$I$89,3,0)*VLOOKUP('Données projet'!$B$13,Paramètres!$A$1:$I$89,5,0)</f>
        <v>233.1575999999998</v>
      </c>
      <c r="CV98" s="14">
        <f t="shared" si="95"/>
        <v>56.964885721091697</v>
      </c>
      <c r="CW98" s="22">
        <f t="shared" si="67"/>
        <v>505.29666263090093</v>
      </c>
      <c r="CX98" s="62">
        <f t="shared" si="68"/>
        <v>798.62999596423424</v>
      </c>
      <c r="CY98" s="62">
        <f ca="1">AVERAGE(OFFSET($CX$3,0,0,'Données projet'!$E$13+1,1))-AVERAGE(OFFSET($H$3,0,0,'Données projet'!$E$13+1,1))</f>
        <v>327.81662150328646</v>
      </c>
      <c r="CZ98" s="62">
        <f t="shared" si="96"/>
        <v>320.24200483294322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0.55242304302062739</v>
      </c>
      <c r="DG98" s="23">
        <f>EXP(-LN(2)/25)*DG97+(1-EXP(-LN(2)/25))/(LN(2)/25)*Calculateur!DB98*Calculateur!DD98*VLOOKUP('Données projet'!$B$13,Paramètres!$A$1:$I$89,3,0)*0.475*44/12</f>
        <v>0</v>
      </c>
      <c r="DH98" s="23">
        <f>EXP(-LN(2)/2)*DH97+(1-EXP(-LN(2)/2))/(LN(2)/2)*DB98*DE98*VLOOKUP('Données projet'!$B$13,Paramètres!$A$1:$I$89,3,0)*0.475*44/12</f>
        <v>0</v>
      </c>
      <c r="DI98" s="24">
        <f t="shared" si="69"/>
        <v>0.55242304302062739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5.6843418860808015E-14</v>
      </c>
      <c r="DP98" s="18">
        <f>DO98*VLOOKUP('Données projet'!$B$14,Paramètres!$A$1:$I$89,3,0)*VLOOKUP('Données projet'!$B$14,Paramètres!$A$1:$I$89,5,0)</f>
        <v>3.7243808037601412E-14</v>
      </c>
      <c r="DQ98" s="14">
        <f t="shared" si="97"/>
        <v>6.2767589361185393E-13</v>
      </c>
      <c r="DR98" s="22">
        <f t="shared" si="70"/>
        <v>1.1580684803728015E-12</v>
      </c>
      <c r="DS98" s="62">
        <f t="shared" si="71"/>
        <v>293.33333333333445</v>
      </c>
      <c r="DT98" s="62">
        <f ca="1">AVERAGE(OFFSET($DS$3,0,0,'Données projet'!$E$14+1,1))-AVERAGE(OFFSET($H$3,0,0,'Données projet'!$E$14+1,1))</f>
        <v>210.08998695869161</v>
      </c>
      <c r="DU98" s="62">
        <f t="shared" si="98"/>
        <v>207.30911916430881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>
        <f>EXP(-LN(2)/35)*EA97+(1-EXP(-LN(2)/35))/(LN(2)/35)*DW98*DX98*VLOOKUP('Données projet'!$B$14,Paramètres!$A$1:$I$89,3,0)*0.475*44/12</f>
        <v>0.12693976307708021</v>
      </c>
      <c r="EB98" s="23">
        <f>EXP(-LN(2)/25)*EB97+(1-EXP(-LN(2)/25))/(LN(2)/25)*Calculateur!DW98*Calculateur!DY98*VLOOKUP('Données projet'!$B$14,Paramètres!$A$1:$I$89,3,0)*0.475*44/12</f>
        <v>0</v>
      </c>
      <c r="EC98" s="23">
        <f>EXP(-LN(2)/2)*EC97+(1-EXP(-LN(2)/2))/(LN(2)/2)*DW98*DZ98*VLOOKUP('Données projet'!$B$14,Paramètres!$A$1:$I$89,3,0)*0.475*44/12</f>
        <v>0</v>
      </c>
      <c r="ED98" s="24">
        <f t="shared" si="72"/>
        <v>0.12693976307708021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5.6843418860808015E-14</v>
      </c>
      <c r="EK98" s="18">
        <f>EJ98*VLOOKUP('Données projet'!$B$15,Paramètres!$A$1:$I$89,3,0)*VLOOKUP('Données projet'!$B$15,Paramètres!$A$1:$I$89,5,0)</f>
        <v>4.4337866711430253E-14</v>
      </c>
      <c r="EL98" s="14">
        <f t="shared" si="99"/>
        <v>7.3222115536967035E-13</v>
      </c>
      <c r="EM98" s="22">
        <f t="shared" si="73"/>
        <v>1.3525069634579169E-12</v>
      </c>
      <c r="EN98" s="62">
        <f t="shared" si="74"/>
        <v>293.33333333333468</v>
      </c>
      <c r="EO98" s="62">
        <f ca="1">AVERAGE(OFFSET($EN$3,0,0,'Données projet'!$E$15+1,1))-AVERAGE(OFFSET($H$3,0,0,'Données projet'!$E$15+1,1))</f>
        <v>288.82868507674738</v>
      </c>
      <c r="EP98" s="62">
        <f t="shared" si="100"/>
        <v>283.48738729114024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>
        <f>EXP(-LN(2)/35)*EV97+(1-EXP(-LN(2)/35))/(LN(2)/35)*ER98*ES98*VLOOKUP('Données projet'!$B$15,Paramètres!$A$1:$I$89,3,0)*0.475*44/12</f>
        <v>0.5005459331487232</v>
      </c>
      <c r="EW98" s="23">
        <f>EXP(-LN(2)/25)*EW97+(1-EXP(-LN(2)/25))/(LN(2)/25)*Calculateur!ER98*Calculateur!ET98*VLOOKUP('Données projet'!$B$15,Paramètres!$A$1:$I$89,3,0)*0.475*44/12</f>
        <v>0</v>
      </c>
      <c r="EX98" s="23">
        <f>EXP(-LN(2)/2)*EX97+(1-EXP(-LN(2)/2))/(LN(2)/2)*ER98*EU98*VLOOKUP('Données projet'!$B$15,Paramètres!$A$1:$I$89,3,0)*0.475*44/12</f>
        <v>0</v>
      </c>
      <c r="EY98" s="24">
        <f t="shared" si="75"/>
        <v>0.5005459331487232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>
        <f>VLOOKUP(A99,'Données projet'!$A$35:$I$55,2,0)</f>
        <v>280</v>
      </c>
      <c r="L99" s="13">
        <f>VLOOKUP(A99,'Données projet'!$A$35:$I$55,9,0)</f>
        <v>11</v>
      </c>
      <c r="M99" s="13">
        <f t="array" ref="M99">INDEX(L:L,MIN(IF(ISNUMBER(L99:L295),ROW(L99:L295),"")))</f>
        <v>11</v>
      </c>
      <c r="N99" s="14">
        <f>IF('Données projet'!$A$36&gt;35,N98+M99-V98,IF(A99&lt;'Données projet'!$A$36,$K$205^A99,IF(A99='Données projet'!$A$36,'Données projet'!$B$36,N98+M99-V98)))</f>
        <v>280.00000000000045</v>
      </c>
      <c r="O99" s="14">
        <f>N99*VLOOKUP('Données projet'!$B$9,Paramètres!$A$1:$I$89,3,0)*VLOOKUP('Données projet'!$B$9,Paramètres!$A$1:$I$89,5,0)</f>
        <v>131.04000000000019</v>
      </c>
      <c r="P99" s="14">
        <f t="shared" si="87"/>
        <v>34.236561238949953</v>
      </c>
      <c r="Q99" s="22">
        <f t="shared" ref="Q99:Q130" si="107">(O99+P99)*0.475*44/12</f>
        <v>287.85667749117147</v>
      </c>
      <c r="R99" s="62">
        <f t="shared" si="55"/>
        <v>581.19001082450472</v>
      </c>
      <c r="S99" s="62">
        <f ca="1">AVERAGE(OFFSET($R$3,0,0,'Données projet'!$E$9+1,1))-AVERAGE(OFFSET($H$3,0,0,'Données projet'!$E$9+1,1))</f>
        <v>317.54276561627643</v>
      </c>
      <c r="T99" s="62">
        <f t="shared" si="88"/>
        <v>238.92443174298893</v>
      </c>
      <c r="U99" s="16">
        <f>IF(ISNA(VLOOKUP(A99,'Données projet'!$A$35:$I$55,3,0)),0,VLOOKUP(A99,'Données projet'!$A$35:$I$55,3,0))</f>
        <v>19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-1.1368683772161603E-13</v>
      </c>
      <c r="AJ99" s="14">
        <f>AI99*VLOOKUP('Données projet'!$B$10,Paramètres!$A$1:$I$89,3,0)*VLOOKUP('Données projet'!$B$10,Paramètres!$A$1:$I$89,5,0)</f>
        <v>-9.9316821433603781E-14</v>
      </c>
      <c r="AK99" s="14" t="e">
        <f t="shared" si="89"/>
        <v>#NUM!</v>
      </c>
      <c r="AL99" s="22" t="e">
        <f t="shared" si="58"/>
        <v>#NUM!</v>
      </c>
      <c r="AM99" s="62" t="e">
        <f t="shared" si="59"/>
        <v>#NUM!</v>
      </c>
      <c r="AN99" s="62">
        <f ca="1">AVERAGE(OFFSET($AM$3,0,0,'Données projet'!$E$10+1,1))-AVERAGE(OFFSET($H$3,0,0,'Données projet'!$E$10+1,1))</f>
        <v>327.826081588335</v>
      </c>
      <c r="AO99" s="62">
        <f t="shared" si="90"/>
        <v>348.84706693879735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1.6631573655215448</v>
      </c>
      <c r="AV99" s="23">
        <f>EXP(-LN(2)/25)*AV98+(1-EXP(-LN(2)/25))/(LN(2)/25)*Calculateur!AQ99*Calculateur!AS99*VLOOKUP('Données projet'!$B$10,Paramètres!$A$1:$I$89,3,0)*0.475*44/12</f>
        <v>2.200993773429806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3.8641511389513505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5.8</v>
      </c>
      <c r="BD99" s="13">
        <f>IF('Données projet'!$A$88&gt;35,BD98+BC99-BL98,IF(A99&lt;'Données projet'!$A$88,$BA$205^A99,IF(A99='Données projet'!$A$88,'Données projet'!$B$88,BD98+BC99-BL98)))</f>
        <v>309.79999999999995</v>
      </c>
      <c r="BE99" s="14">
        <f>BD99*VLOOKUP('Données projet'!$B$11,Paramètres!$A$1:$I$89,3,0)*VLOOKUP('Données projet'!$B$11,Paramètres!$A$1:$I$89,5,0)</f>
        <v>314.13719999999995</v>
      </c>
      <c r="BF99" s="14">
        <f t="shared" si="91"/>
        <v>74.132174405952824</v>
      </c>
      <c r="BG99" s="22">
        <f t="shared" si="61"/>
        <v>676.23582709036771</v>
      </c>
      <c r="BH99" s="62">
        <f t="shared" si="62"/>
        <v>969.56916042370108</v>
      </c>
      <c r="BI99" s="62">
        <f ca="1">AVERAGE(OFFSET($BH$3,0,0,'Données projet'!$E$11+1,1))-AVERAGE(OFFSET($H$3,0,0,'Données projet'!$E$11+1,1))</f>
        <v>487.04124684635974</v>
      </c>
      <c r="BJ99" s="62">
        <f t="shared" si="92"/>
        <v>306.61893266146666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0.73044073485743521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0.73044073485743521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5.8</v>
      </c>
      <c r="BY99" s="13">
        <f>IF('Données projet'!$A$114&gt;35,BY98+BX99-CG98,IF(A99&lt;'Données projet'!$A$114,$BV$205^A99,IF(A99='Données projet'!$A$114,'Données projet'!$B$114,BY98+BX99-CG98)))</f>
        <v>309.79999999999995</v>
      </c>
      <c r="BZ99" s="14">
        <f>BY99*VLOOKUP('Données projet'!$B$12,Paramètres!$A$1:$I$89,3,0)*VLOOKUP('Données projet'!$B$12,Paramètres!$A$1:$I$89,5,0)</f>
        <v>280.30703999999997</v>
      </c>
      <c r="CA99" s="14">
        <f t="shared" si="93"/>
        <v>67.03189112007388</v>
      </c>
      <c r="CB99" s="22">
        <f t="shared" si="64"/>
        <v>604.94863836746197</v>
      </c>
      <c r="CC99" s="62">
        <f t="shared" si="65"/>
        <v>898.28197170079534</v>
      </c>
      <c r="CD99" s="62">
        <f ca="1">AVERAGE(OFFSET($CC$3,0,0,'Données projet'!$E$12+1,1))-AVERAGE(OFFSET($H$3,0,0,'Données projet'!$E$12+1,1))</f>
        <v>439.06700232017681</v>
      </c>
      <c r="CE99" s="62">
        <f t="shared" si="94"/>
        <v>278.21741231699929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0.65177788648817281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0.65177788648817281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317.99999999999972</v>
      </c>
      <c r="CU99" s="18">
        <f>CT99*VLOOKUP('Données projet'!$B$13,Paramètres!$A$1:$I$89,3,0)*VLOOKUP('Données projet'!$B$13,Paramètres!$A$1:$I$89,5,0)</f>
        <v>233.1575999999998</v>
      </c>
      <c r="CV99" s="14">
        <f t="shared" si="95"/>
        <v>56.964885721091697</v>
      </c>
      <c r="CW99" s="22">
        <f t="shared" si="67"/>
        <v>505.29666263090093</v>
      </c>
      <c r="CX99" s="62">
        <f t="shared" si="68"/>
        <v>798.62999596423424</v>
      </c>
      <c r="CY99" s="62">
        <f ca="1">AVERAGE(OFFSET($CX$3,0,0,'Données projet'!$E$13+1,1))-AVERAGE(OFFSET($H$3,0,0,'Données projet'!$E$13+1,1))</f>
        <v>327.81662150328646</v>
      </c>
      <c r="CZ99" s="62">
        <f t="shared" si="96"/>
        <v>320.24200483294322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0.54159036409177863</v>
      </c>
      <c r="DG99" s="23">
        <f>EXP(-LN(2)/25)*DG98+(1-EXP(-LN(2)/25))/(LN(2)/25)*Calculateur!DB99*Calculateur!DD99*VLOOKUP('Données projet'!$B$13,Paramètres!$A$1:$I$89,3,0)*0.475*44/12</f>
        <v>0</v>
      </c>
      <c r="DH99" s="23">
        <f>EXP(-LN(2)/2)*DH98+(1-EXP(-LN(2)/2))/(LN(2)/2)*DB99*DE99*VLOOKUP('Données projet'!$B$13,Paramètres!$A$1:$I$89,3,0)*0.475*44/12</f>
        <v>0</v>
      </c>
      <c r="DI99" s="24">
        <f t="shared" si="69"/>
        <v>0.54159036409177863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5.6843418860808015E-14</v>
      </c>
      <c r="DP99" s="18">
        <f>DO99*VLOOKUP('Données projet'!$B$14,Paramètres!$A$1:$I$89,3,0)*VLOOKUP('Données projet'!$B$14,Paramètres!$A$1:$I$89,5,0)</f>
        <v>3.7243808037601412E-14</v>
      </c>
      <c r="DQ99" s="14">
        <f t="shared" si="97"/>
        <v>6.2767589361185393E-13</v>
      </c>
      <c r="DR99" s="22">
        <f t="shared" si="70"/>
        <v>1.1580684803728015E-12</v>
      </c>
      <c r="DS99" s="62">
        <f t="shared" si="71"/>
        <v>293.33333333333445</v>
      </c>
      <c r="DT99" s="62">
        <f ca="1">AVERAGE(OFFSET($DS$3,0,0,'Données projet'!$E$14+1,1))-AVERAGE(OFFSET($H$3,0,0,'Données projet'!$E$14+1,1))</f>
        <v>210.08998695869161</v>
      </c>
      <c r="DU99" s="62">
        <f t="shared" si="98"/>
        <v>207.30911916430881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>
        <f>EXP(-LN(2)/35)*EA98+(1-EXP(-LN(2)/35))/(LN(2)/35)*DW99*DX99*VLOOKUP('Données projet'!$B$14,Paramètres!$A$1:$I$89,3,0)*0.475*44/12</f>
        <v>0.124450551748749</v>
      </c>
      <c r="EB99" s="23">
        <f>EXP(-LN(2)/25)*EB98+(1-EXP(-LN(2)/25))/(LN(2)/25)*Calculateur!DW99*Calculateur!DY99*VLOOKUP('Données projet'!$B$14,Paramètres!$A$1:$I$89,3,0)*0.475*44/12</f>
        <v>0</v>
      </c>
      <c r="EC99" s="23">
        <f>EXP(-LN(2)/2)*EC98+(1-EXP(-LN(2)/2))/(LN(2)/2)*DW99*DZ99*VLOOKUP('Données projet'!$B$14,Paramètres!$A$1:$I$89,3,0)*0.475*44/12</f>
        <v>0</v>
      </c>
      <c r="ED99" s="24">
        <f t="shared" si="72"/>
        <v>0.124450551748749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5.6843418860808015E-14</v>
      </c>
      <c r="EK99" s="18">
        <f>EJ99*VLOOKUP('Données projet'!$B$15,Paramètres!$A$1:$I$89,3,0)*VLOOKUP('Données projet'!$B$15,Paramètres!$A$1:$I$89,5,0)</f>
        <v>4.4337866711430253E-14</v>
      </c>
      <c r="EL99" s="14">
        <f t="shared" si="99"/>
        <v>7.3222115536967035E-13</v>
      </c>
      <c r="EM99" s="22">
        <f t="shared" si="73"/>
        <v>1.3525069634579169E-12</v>
      </c>
      <c r="EN99" s="62">
        <f t="shared" si="74"/>
        <v>293.33333333333468</v>
      </c>
      <c r="EO99" s="62">
        <f ca="1">AVERAGE(OFFSET($EN$3,0,0,'Données projet'!$E$15+1,1))-AVERAGE(OFFSET($H$3,0,0,'Données projet'!$E$15+1,1))</f>
        <v>288.82868507674738</v>
      </c>
      <c r="EP99" s="62">
        <f t="shared" si="100"/>
        <v>283.48738729114024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>
        <f>EXP(-LN(2)/35)*EV98+(1-EXP(-LN(2)/35))/(LN(2)/35)*ER99*ES99*VLOOKUP('Données projet'!$B$15,Paramètres!$A$1:$I$89,3,0)*0.475*44/12</f>
        <v>0.49073053270254979</v>
      </c>
      <c r="EW99" s="23">
        <f>EXP(-LN(2)/25)*EW98+(1-EXP(-LN(2)/25))/(LN(2)/25)*Calculateur!ER99*Calculateur!ET99*VLOOKUP('Données projet'!$B$15,Paramètres!$A$1:$I$89,3,0)*0.475*44/12</f>
        <v>0</v>
      </c>
      <c r="EX99" s="23">
        <f>EXP(-LN(2)/2)*EX98+(1-EXP(-LN(2)/2))/(LN(2)/2)*ER99*EU99*VLOOKUP('Données projet'!$B$15,Paramètres!$A$1:$I$89,3,0)*0.475*44/12</f>
        <v>0</v>
      </c>
      <c r="EY99" s="24">
        <f t="shared" si="75"/>
        <v>0.49073053270254979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8.5555555555555554</v>
      </c>
      <c r="N100" s="14">
        <f>IF('Données projet'!$A$36&gt;35,N99+M100-V99,IF(A100&lt;'Données projet'!$A$36,$K$205^A100,IF(A100='Données projet'!$A$36,'Données projet'!$B$36,N99+M100-V99)))</f>
        <v>288.555555555556</v>
      </c>
      <c r="O100" s="14">
        <f>N100*VLOOKUP('Données projet'!$B$9,Paramètres!$A$1:$I$89,3,0)*VLOOKUP('Données projet'!$B$9,Paramètres!$A$1:$I$89,5,0)</f>
        <v>135.04400000000021</v>
      </c>
      <c r="P100" s="14">
        <f t="shared" si="87"/>
        <v>35.159284945629004</v>
      </c>
      <c r="Q100" s="22">
        <f t="shared" si="107"/>
        <v>296.43738794697089</v>
      </c>
      <c r="R100" s="62">
        <f t="shared" si="55"/>
        <v>589.7707212803042</v>
      </c>
      <c r="S100" s="62">
        <f ca="1">AVERAGE(OFFSET($R$3,0,0,'Données projet'!$E$9+1,1))-AVERAGE(OFFSET($H$3,0,0,'Données projet'!$E$9+1,1))</f>
        <v>317.54276561627643</v>
      </c>
      <c r="T100" s="62">
        <f t="shared" si="88"/>
        <v>238.92443174298893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-1.1368683772161603E-13</v>
      </c>
      <c r="AJ100" s="14">
        <f>AI100*VLOOKUP('Données projet'!$B$10,Paramètres!$A$1:$I$89,3,0)*VLOOKUP('Données projet'!$B$10,Paramètres!$A$1:$I$89,5,0)</f>
        <v>-9.9316821433603781E-14</v>
      </c>
      <c r="AK100" s="14" t="e">
        <f t="shared" si="89"/>
        <v>#NUM!</v>
      </c>
      <c r="AL100" s="22" t="e">
        <f t="shared" si="58"/>
        <v>#NUM!</v>
      </c>
      <c r="AM100" s="62" t="e">
        <f t="shared" si="59"/>
        <v>#NUM!</v>
      </c>
      <c r="AN100" s="62">
        <f ca="1">AVERAGE(OFFSET($AM$3,0,0,'Données projet'!$E$10+1,1))-AVERAGE(OFFSET($H$3,0,0,'Données projet'!$E$10+1,1))</f>
        <v>327.826081588335</v>
      </c>
      <c r="AO100" s="62">
        <f t="shared" si="90"/>
        <v>348.84706693879735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1.630543864009494</v>
      </c>
      <c r="AV100" s="23">
        <f>EXP(-LN(2)/25)*AV99+(1-EXP(-LN(2)/25))/(LN(2)/25)*Calculateur!AQ100*Calculateur!AS100*VLOOKUP('Données projet'!$B$10,Paramètres!$A$1:$I$89,3,0)*0.475*44/12</f>
        <v>2.140807482950136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3.77135134695963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5.8</v>
      </c>
      <c r="BD100" s="13">
        <f>IF('Données projet'!$A$88&gt;35,BD99+BC100-BL99,IF(A100&lt;'Données projet'!$A$88,$BA$205^A100,IF(A100='Données projet'!$A$88,'Données projet'!$B$88,BD99+BC100-BL99)))</f>
        <v>315.59999999999997</v>
      </c>
      <c r="BE100" s="14">
        <f>BD100*VLOOKUP('Données projet'!$B$11,Paramètres!$A$1:$I$89,3,0)*VLOOKUP('Données projet'!$B$11,Paramètres!$A$1:$I$89,5,0)</f>
        <v>320.01839999999999</v>
      </c>
      <c r="BF100" s="14">
        <f t="shared" si="91"/>
        <v>75.357182127856944</v>
      </c>
      <c r="BG100" s="22">
        <f t="shared" si="61"/>
        <v>688.61247220601751</v>
      </c>
      <c r="BH100" s="62">
        <f t="shared" si="62"/>
        <v>981.94580553935089</v>
      </c>
      <c r="BI100" s="62">
        <f ca="1">AVERAGE(OFFSET($BH$3,0,0,'Données projet'!$E$11+1,1))-AVERAGE(OFFSET($H$3,0,0,'Données projet'!$E$11+1,1))</f>
        <v>487.04124684635974</v>
      </c>
      <c r="BJ100" s="62">
        <f t="shared" si="92"/>
        <v>306.61893266146666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0.71611723757173729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0.71611723757173729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5.8</v>
      </c>
      <c r="BY100" s="13">
        <f>IF('Données projet'!$A$114&gt;35,BY99+BX100-CG99,IF(A100&lt;'Données projet'!$A$114,$BV$205^A100,IF(A100='Données projet'!$A$114,'Données projet'!$B$114,BY99+BX100-CG99)))</f>
        <v>315.59999999999997</v>
      </c>
      <c r="BZ100" s="14">
        <f>BY100*VLOOKUP('Données projet'!$B$12,Paramètres!$A$1:$I$89,3,0)*VLOOKUP('Données projet'!$B$12,Paramètres!$A$1:$I$89,5,0)</f>
        <v>285.55487999999997</v>
      </c>
      <c r="CA100" s="14">
        <f t="shared" si="93"/>
        <v>68.139569194998018</v>
      </c>
      <c r="CB100" s="22">
        <f t="shared" si="64"/>
        <v>616.01783234795482</v>
      </c>
      <c r="CC100" s="62">
        <f t="shared" si="65"/>
        <v>909.35116568128819</v>
      </c>
      <c r="CD100" s="62">
        <f ca="1">AVERAGE(OFFSET($CC$3,0,0,'Données projet'!$E$12+1,1))-AVERAGE(OFFSET($H$3,0,0,'Données projet'!$E$12+1,1))</f>
        <v>439.06700232017681</v>
      </c>
      <c r="CE100" s="62">
        <f t="shared" si="94"/>
        <v>278.21741231699929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0.6389969196793962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0.6389969196793962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317.99999999999972</v>
      </c>
      <c r="CU100" s="18">
        <f>CT100*VLOOKUP('Données projet'!$B$13,Paramètres!$A$1:$I$89,3,0)*VLOOKUP('Données projet'!$B$13,Paramètres!$A$1:$I$89,5,0)</f>
        <v>233.1575999999998</v>
      </c>
      <c r="CV100" s="14">
        <f t="shared" si="95"/>
        <v>56.964885721091697</v>
      </c>
      <c r="CW100" s="22">
        <f t="shared" si="67"/>
        <v>505.29666263090093</v>
      </c>
      <c r="CX100" s="62">
        <f t="shared" si="68"/>
        <v>798.62999596423424</v>
      </c>
      <c r="CY100" s="62">
        <f ca="1">AVERAGE(OFFSET($CX$3,0,0,'Données projet'!$E$13+1,1))-AVERAGE(OFFSET($H$3,0,0,'Données projet'!$E$13+1,1))</f>
        <v>327.81662150328646</v>
      </c>
      <c r="CZ100" s="62">
        <f t="shared" si="96"/>
        <v>320.24200483294322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0.53097010738944284</v>
      </c>
      <c r="DG100" s="23">
        <f>EXP(-LN(2)/25)*DG99+(1-EXP(-LN(2)/25))/(LN(2)/25)*Calculateur!DB100*Calculateur!DD100*VLOOKUP('Données projet'!$B$13,Paramètres!$A$1:$I$89,3,0)*0.475*44/12</f>
        <v>0</v>
      </c>
      <c r="DH100" s="23">
        <f>EXP(-LN(2)/2)*DH99+(1-EXP(-LN(2)/2))/(LN(2)/2)*DB100*DE100*VLOOKUP('Données projet'!$B$13,Paramètres!$A$1:$I$89,3,0)*0.475*44/12</f>
        <v>0</v>
      </c>
      <c r="DI100" s="24">
        <f t="shared" si="69"/>
        <v>0.53097010738944284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5.6843418860808015E-14</v>
      </c>
      <c r="DP100" s="18">
        <f>DO100*VLOOKUP('Données projet'!$B$14,Paramètres!$A$1:$I$89,3,0)*VLOOKUP('Données projet'!$B$14,Paramètres!$A$1:$I$89,5,0)</f>
        <v>3.7243808037601412E-14</v>
      </c>
      <c r="DQ100" s="14">
        <f t="shared" si="97"/>
        <v>6.2767589361185393E-13</v>
      </c>
      <c r="DR100" s="22">
        <f t="shared" si="70"/>
        <v>1.1580684803728015E-12</v>
      </c>
      <c r="DS100" s="62">
        <f t="shared" si="71"/>
        <v>293.33333333333445</v>
      </c>
      <c r="DT100" s="62">
        <f ca="1">AVERAGE(OFFSET($DS$3,0,0,'Données projet'!$E$14+1,1))-AVERAGE(OFFSET($H$3,0,0,'Données projet'!$E$14+1,1))</f>
        <v>210.08998695869161</v>
      </c>
      <c r="DU100" s="62">
        <f t="shared" si="98"/>
        <v>207.30911916430881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>
        <f>EXP(-LN(2)/35)*EA99+(1-EXP(-LN(2)/35))/(LN(2)/35)*DW100*DX100*VLOOKUP('Données projet'!$B$14,Paramètres!$A$1:$I$89,3,0)*0.475*44/12</f>
        <v>0.12201015233629738</v>
      </c>
      <c r="EB100" s="23">
        <f>EXP(-LN(2)/25)*EB99+(1-EXP(-LN(2)/25))/(LN(2)/25)*Calculateur!DW100*Calculateur!DY100*VLOOKUP('Données projet'!$B$14,Paramètres!$A$1:$I$89,3,0)*0.475*44/12</f>
        <v>0</v>
      </c>
      <c r="EC100" s="23">
        <f>EXP(-LN(2)/2)*EC99+(1-EXP(-LN(2)/2))/(LN(2)/2)*DW100*DZ100*VLOOKUP('Données projet'!$B$14,Paramètres!$A$1:$I$89,3,0)*0.475*44/12</f>
        <v>0</v>
      </c>
      <c r="ED100" s="24">
        <f t="shared" si="72"/>
        <v>0.12201015233629738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5.6843418860808015E-14</v>
      </c>
      <c r="EK100" s="18">
        <f>EJ100*VLOOKUP('Données projet'!$B$15,Paramètres!$A$1:$I$89,3,0)*VLOOKUP('Données projet'!$B$15,Paramètres!$A$1:$I$89,5,0)</f>
        <v>4.4337866711430253E-14</v>
      </c>
      <c r="EL100" s="14">
        <f t="shared" si="99"/>
        <v>7.3222115536967035E-13</v>
      </c>
      <c r="EM100" s="22">
        <f t="shared" si="73"/>
        <v>1.3525069634579169E-12</v>
      </c>
      <c r="EN100" s="62">
        <f t="shared" si="74"/>
        <v>293.33333333333468</v>
      </c>
      <c r="EO100" s="62">
        <f ca="1">AVERAGE(OFFSET($EN$3,0,0,'Données projet'!$E$15+1,1))-AVERAGE(OFFSET($H$3,0,0,'Données projet'!$E$15+1,1))</f>
        <v>288.82868507674738</v>
      </c>
      <c r="EP100" s="62">
        <f t="shared" si="100"/>
        <v>283.48738729114024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>
        <f>EXP(-LN(2)/35)*EV99+(1-EXP(-LN(2)/35))/(LN(2)/35)*ER100*ES100*VLOOKUP('Données projet'!$B$15,Paramètres!$A$1:$I$89,3,0)*0.475*44/12</f>
        <v>0.48110760627232274</v>
      </c>
      <c r="EW100" s="23">
        <f>EXP(-LN(2)/25)*EW99+(1-EXP(-LN(2)/25))/(LN(2)/25)*Calculateur!ER100*Calculateur!ET100*VLOOKUP('Données projet'!$B$15,Paramètres!$A$1:$I$89,3,0)*0.475*44/12</f>
        <v>0</v>
      </c>
      <c r="EX100" s="23">
        <f>EXP(-LN(2)/2)*EX99+(1-EXP(-LN(2)/2))/(LN(2)/2)*ER100*EU100*VLOOKUP('Données projet'!$B$15,Paramètres!$A$1:$I$89,3,0)*0.475*44/12</f>
        <v>0</v>
      </c>
      <c r="EY100" s="24">
        <f t="shared" si="75"/>
        <v>0.48110760627232274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8.5555555555555554</v>
      </c>
      <c r="N101" s="14">
        <f>IF('Données projet'!$A$36&gt;35,N100+M101-V100,IF(A101&lt;'Données projet'!$A$36,$K$205^A101,IF(A101='Données projet'!$A$36,'Données projet'!$B$36,N100+M101-V100)))</f>
        <v>297.11111111111154</v>
      </c>
      <c r="O101" s="14">
        <f>N101*VLOOKUP('Données projet'!$B$9,Paramètres!$A$1:$I$89,3,0)*VLOOKUP('Données projet'!$B$9,Paramètres!$A$1:$I$89,5,0)</f>
        <v>139.0480000000002</v>
      </c>
      <c r="P101" s="14">
        <f t="shared" si="87"/>
        <v>36.078829132999324</v>
      </c>
      <c r="Q101" s="22">
        <f t="shared" si="107"/>
        <v>305.01256073997416</v>
      </c>
      <c r="R101" s="62">
        <f t="shared" si="55"/>
        <v>598.34589407330748</v>
      </c>
      <c r="S101" s="62">
        <f ca="1">AVERAGE(OFFSET($R$3,0,0,'Données projet'!$E$9+1,1))-AVERAGE(OFFSET($H$3,0,0,'Données projet'!$E$9+1,1))</f>
        <v>317.54276561627643</v>
      </c>
      <c r="T101" s="62">
        <f t="shared" si="88"/>
        <v>238.92443174298893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-1.1368683772161603E-13</v>
      </c>
      <c r="AJ101" s="14">
        <f>AI101*VLOOKUP('Données projet'!$B$10,Paramètres!$A$1:$I$89,3,0)*VLOOKUP('Données projet'!$B$10,Paramètres!$A$1:$I$89,5,0)</f>
        <v>-9.9316821433603781E-14</v>
      </c>
      <c r="AK101" s="14" t="e">
        <f t="shared" si="89"/>
        <v>#NUM!</v>
      </c>
      <c r="AL101" s="22" t="e">
        <f t="shared" si="58"/>
        <v>#NUM!</v>
      </c>
      <c r="AM101" s="62" t="e">
        <f t="shared" si="59"/>
        <v>#NUM!</v>
      </c>
      <c r="AN101" s="62">
        <f ca="1">AVERAGE(OFFSET($AM$3,0,0,'Données projet'!$E$10+1,1))-AVERAGE(OFFSET($H$3,0,0,'Données projet'!$E$10+1,1))</f>
        <v>327.826081588335</v>
      </c>
      <c r="AO101" s="62">
        <f t="shared" si="90"/>
        <v>348.84706693879735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1.5985698933698229</v>
      </c>
      <c r="AV101" s="23">
        <f>EXP(-LN(2)/25)*AV100+(1-EXP(-LN(2)/25))/(LN(2)/25)*Calculateur!AQ101*Calculateur!AS101*VLOOKUP('Données projet'!$B$10,Paramètres!$A$1:$I$89,3,0)*0.475*44/12</f>
        <v>2.0822669897486921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3.680836883118515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5.8</v>
      </c>
      <c r="BD101" s="13">
        <f>IF('Données projet'!$A$88&gt;35,BD100+BC101-BL100,IF(A101&lt;'Données projet'!$A$88,$BA$205^A101,IF(A101='Données projet'!$A$88,'Données projet'!$B$88,BD100+BC101-BL100)))</f>
        <v>321.39999999999998</v>
      </c>
      <c r="BE101" s="14">
        <f>BD101*VLOOKUP('Données projet'!$B$11,Paramètres!$A$1:$I$89,3,0)*VLOOKUP('Données projet'!$B$11,Paramètres!$A$1:$I$89,5,0)</f>
        <v>325.89960000000002</v>
      </c>
      <c r="BF101" s="14">
        <f t="shared" si="91"/>
        <v>76.579572003009503</v>
      </c>
      <c r="BG101" s="22">
        <f t="shared" si="61"/>
        <v>700.98455790524156</v>
      </c>
      <c r="BH101" s="62">
        <f t="shared" si="62"/>
        <v>994.31789123857493</v>
      </c>
      <c r="BI101" s="62">
        <f ca="1">AVERAGE(OFFSET($BH$3,0,0,'Données projet'!$E$11+1,1))-AVERAGE(OFFSET($H$3,0,0,'Données projet'!$E$11+1,1))</f>
        <v>487.04124684635974</v>
      </c>
      <c r="BJ101" s="62">
        <f t="shared" si="92"/>
        <v>306.61893266146666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0.70207461533134119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0.70207461533134119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5.8</v>
      </c>
      <c r="BY101" s="13">
        <f>IF('Données projet'!$A$114&gt;35,BY100+BX101-CG100,IF(A101&lt;'Données projet'!$A$114,$BV$205^A101,IF(A101='Données projet'!$A$114,'Données projet'!$B$114,BY100+BX101-CG100)))</f>
        <v>321.39999999999998</v>
      </c>
      <c r="BZ101" s="14">
        <f>BY101*VLOOKUP('Données projet'!$B$12,Paramètres!$A$1:$I$89,3,0)*VLOOKUP('Données projet'!$B$12,Paramètres!$A$1:$I$89,5,0)</f>
        <v>290.80271999999997</v>
      </c>
      <c r="CA101" s="14">
        <f t="shared" si="93"/>
        <v>69.244880157128961</v>
      </c>
      <c r="CB101" s="22">
        <f t="shared" si="64"/>
        <v>627.08290360699959</v>
      </c>
      <c r="CC101" s="62">
        <f t="shared" si="65"/>
        <v>920.41623694033296</v>
      </c>
      <c r="CD101" s="62">
        <f ca="1">AVERAGE(OFFSET($CC$3,0,0,'Données projet'!$E$12+1,1))-AVERAGE(OFFSET($H$3,0,0,'Données projet'!$E$12+1,1))</f>
        <v>439.06700232017681</v>
      </c>
      <c r="CE101" s="62">
        <f t="shared" si="94"/>
        <v>278.21741231699929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0.62646657983411969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0.62646657983411969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317.99999999999972</v>
      </c>
      <c r="CU101" s="18">
        <f>CT101*VLOOKUP('Données projet'!$B$13,Paramètres!$A$1:$I$89,3,0)*VLOOKUP('Données projet'!$B$13,Paramètres!$A$1:$I$89,5,0)</f>
        <v>233.1575999999998</v>
      </c>
      <c r="CV101" s="14">
        <f t="shared" si="95"/>
        <v>56.964885721091697</v>
      </c>
      <c r="CW101" s="22">
        <f t="shared" si="67"/>
        <v>505.29666263090093</v>
      </c>
      <c r="CX101" s="62">
        <f t="shared" si="68"/>
        <v>798.62999596423424</v>
      </c>
      <c r="CY101" s="62">
        <f ca="1">AVERAGE(OFFSET($CX$3,0,0,'Données projet'!$E$13+1,1))-AVERAGE(OFFSET($H$3,0,0,'Données projet'!$E$13+1,1))</f>
        <v>327.81662150328646</v>
      </c>
      <c r="CZ101" s="62">
        <f t="shared" si="96"/>
        <v>320.24200483294322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0.52055810744332287</v>
      </c>
      <c r="DG101" s="23">
        <f>EXP(-LN(2)/25)*DG100+(1-EXP(-LN(2)/25))/(LN(2)/25)*Calculateur!DB101*Calculateur!DD101*VLOOKUP('Données projet'!$B$13,Paramètres!$A$1:$I$89,3,0)*0.475*44/12</f>
        <v>0</v>
      </c>
      <c r="DH101" s="23">
        <f>EXP(-LN(2)/2)*DH100+(1-EXP(-LN(2)/2))/(LN(2)/2)*DB101*DE101*VLOOKUP('Données projet'!$B$13,Paramètres!$A$1:$I$89,3,0)*0.475*44/12</f>
        <v>0</v>
      </c>
      <c r="DI101" s="24">
        <f t="shared" si="69"/>
        <v>0.52055810744332287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5.6843418860808015E-14</v>
      </c>
      <c r="DP101" s="18">
        <f>DO101*VLOOKUP('Données projet'!$B$14,Paramètres!$A$1:$I$89,3,0)*VLOOKUP('Données projet'!$B$14,Paramètres!$A$1:$I$89,5,0)</f>
        <v>3.7243808037601412E-14</v>
      </c>
      <c r="DQ101" s="14">
        <f t="shared" si="97"/>
        <v>6.2767589361185393E-13</v>
      </c>
      <c r="DR101" s="22">
        <f t="shared" si="70"/>
        <v>1.1580684803728015E-12</v>
      </c>
      <c r="DS101" s="62">
        <f t="shared" si="71"/>
        <v>293.33333333333445</v>
      </c>
      <c r="DT101" s="62">
        <f ca="1">AVERAGE(OFFSET($DS$3,0,0,'Données projet'!$E$14+1,1))-AVERAGE(OFFSET($H$3,0,0,'Données projet'!$E$14+1,1))</f>
        <v>210.08998695869161</v>
      </c>
      <c r="DU101" s="62">
        <f t="shared" si="98"/>
        <v>207.30911916430881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>
        <f>EXP(-LN(2)/35)*EA100+(1-EXP(-LN(2)/35))/(LN(2)/35)*DW101*DX101*VLOOKUP('Données projet'!$B$14,Paramètres!$A$1:$I$89,3,0)*0.475*44/12</f>
        <v>0.11961760766782725</v>
      </c>
      <c r="EB101" s="23">
        <f>EXP(-LN(2)/25)*EB100+(1-EXP(-LN(2)/25))/(LN(2)/25)*Calculateur!DW101*Calculateur!DY101*VLOOKUP('Données projet'!$B$14,Paramètres!$A$1:$I$89,3,0)*0.475*44/12</f>
        <v>0</v>
      </c>
      <c r="EC101" s="23">
        <f>EXP(-LN(2)/2)*EC100+(1-EXP(-LN(2)/2))/(LN(2)/2)*DW101*DZ101*VLOOKUP('Données projet'!$B$14,Paramètres!$A$1:$I$89,3,0)*0.475*44/12</f>
        <v>0</v>
      </c>
      <c r="ED101" s="24">
        <f t="shared" si="72"/>
        <v>0.11961760766782725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5.6843418860808015E-14</v>
      </c>
      <c r="EK101" s="18">
        <f>EJ101*VLOOKUP('Données projet'!$B$15,Paramètres!$A$1:$I$89,3,0)*VLOOKUP('Données projet'!$B$15,Paramètres!$A$1:$I$89,5,0)</f>
        <v>4.4337866711430253E-14</v>
      </c>
      <c r="EL101" s="14">
        <f t="shared" si="99"/>
        <v>7.3222115536967035E-13</v>
      </c>
      <c r="EM101" s="22">
        <f t="shared" si="73"/>
        <v>1.3525069634579169E-12</v>
      </c>
      <c r="EN101" s="62">
        <f t="shared" si="74"/>
        <v>293.33333333333468</v>
      </c>
      <c r="EO101" s="62">
        <f ca="1">AVERAGE(OFFSET($EN$3,0,0,'Données projet'!$E$15+1,1))-AVERAGE(OFFSET($H$3,0,0,'Données projet'!$E$15+1,1))</f>
        <v>288.82868507674738</v>
      </c>
      <c r="EP101" s="62">
        <f t="shared" si="100"/>
        <v>283.48738729114024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>
        <f>EXP(-LN(2)/35)*EV100+(1-EXP(-LN(2)/35))/(LN(2)/35)*ER101*ES101*VLOOKUP('Données projet'!$B$15,Paramètres!$A$1:$I$89,3,0)*0.475*44/12</f>
        <v>0.47167337955998689</v>
      </c>
      <c r="EW101" s="23">
        <f>EXP(-LN(2)/25)*EW100+(1-EXP(-LN(2)/25))/(LN(2)/25)*Calculateur!ER101*Calculateur!ET101*VLOOKUP('Données projet'!$B$15,Paramètres!$A$1:$I$89,3,0)*0.475*44/12</f>
        <v>0</v>
      </c>
      <c r="EX101" s="23">
        <f>EXP(-LN(2)/2)*EX100+(1-EXP(-LN(2)/2))/(LN(2)/2)*ER101*EU101*VLOOKUP('Données projet'!$B$15,Paramètres!$A$1:$I$89,3,0)*0.475*44/12</f>
        <v>0</v>
      </c>
      <c r="EY101" s="24">
        <f t="shared" si="75"/>
        <v>0.47167337955998689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8.5555555555555554</v>
      </c>
      <c r="N102" s="14">
        <f>IF('Données projet'!$A$36&gt;35,N101+M102-V101,IF(A102&lt;'Données projet'!$A$36,$K$205^A102,IF(A102='Données projet'!$A$36,'Données projet'!$B$36,N101+M102-V101)))</f>
        <v>305.66666666666708</v>
      </c>
      <c r="O102" s="14">
        <f>N102*VLOOKUP('Données projet'!$B$9,Paramètres!$A$1:$I$89,3,0)*VLOOKUP('Données projet'!$B$9,Paramètres!$A$1:$I$89,5,0)</f>
        <v>143.05200000000019</v>
      </c>
      <c r="P102" s="14">
        <f t="shared" si="87"/>
        <v>36.995295872593921</v>
      </c>
      <c r="Q102" s="22">
        <f t="shared" si="107"/>
        <v>313.58237364476804</v>
      </c>
      <c r="R102" s="62">
        <f t="shared" si="55"/>
        <v>606.9157069781013</v>
      </c>
      <c r="S102" s="62">
        <f ca="1">AVERAGE(OFFSET($R$3,0,0,'Données projet'!$E$9+1,1))-AVERAGE(OFFSET($H$3,0,0,'Données projet'!$E$9+1,1))</f>
        <v>317.54276561627643</v>
      </c>
      <c r="T102" s="62">
        <f t="shared" si="88"/>
        <v>238.92443174298893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-1.1368683772161603E-13</v>
      </c>
      <c r="AJ102" s="14">
        <f>AI102*VLOOKUP('Données projet'!$B$10,Paramètres!$A$1:$I$89,3,0)*VLOOKUP('Données projet'!$B$10,Paramètres!$A$1:$I$89,5,0)</f>
        <v>-9.9316821433603781E-14</v>
      </c>
      <c r="AK102" s="14" t="e">
        <f t="shared" si="89"/>
        <v>#NUM!</v>
      </c>
      <c r="AL102" s="22" t="e">
        <f t="shared" si="58"/>
        <v>#NUM!</v>
      </c>
      <c r="AM102" s="62" t="e">
        <f t="shared" si="59"/>
        <v>#NUM!</v>
      </c>
      <c r="AN102" s="62">
        <f ca="1">AVERAGE(OFFSET($AM$3,0,0,'Données projet'!$E$10+1,1))-AVERAGE(OFFSET($H$3,0,0,'Données projet'!$E$10+1,1))</f>
        <v>327.826081588335</v>
      </c>
      <c r="AO102" s="62">
        <f t="shared" si="90"/>
        <v>348.84706693879735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1.5672229127921993</v>
      </c>
      <c r="AV102" s="23">
        <f>EXP(-LN(2)/25)*AV101+(1-EXP(-LN(2)/25))/(LN(2)/25)*Calculateur!AQ102*Calculateur!AS102*VLOOKUP('Données projet'!$B$10,Paramètres!$A$1:$I$89,3,0)*0.475*44/12</f>
        <v>2.0253272894123522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3.5925502022045515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5.8</v>
      </c>
      <c r="BD102" s="13">
        <f>IF('Données projet'!$A$88&gt;35,BD101+BC102-BL101,IF(A102&lt;'Données projet'!$A$88,$BA$205^A102,IF(A102='Données projet'!$A$88,'Données projet'!$B$88,BD101+BC102-BL101)))</f>
        <v>327.2</v>
      </c>
      <c r="BE102" s="14">
        <f>BD102*VLOOKUP('Données projet'!$B$11,Paramètres!$A$1:$I$89,3,0)*VLOOKUP('Données projet'!$B$11,Paramètres!$A$1:$I$89,5,0)</f>
        <v>331.7808</v>
      </c>
      <c r="BF102" s="14">
        <f t="shared" si="91"/>
        <v>77.799396722557162</v>
      </c>
      <c r="BG102" s="22">
        <f t="shared" si="61"/>
        <v>713.3521759584537</v>
      </c>
      <c r="BH102" s="62">
        <f t="shared" si="62"/>
        <v>1006.685509291787</v>
      </c>
      <c r="BI102" s="62">
        <f ca="1">AVERAGE(OFFSET($BH$3,0,0,'Données projet'!$E$11+1,1))-AVERAGE(OFFSET($H$3,0,0,'Données projet'!$E$11+1,1))</f>
        <v>487.04124684635974</v>
      </c>
      <c r="BJ102" s="62">
        <f t="shared" si="92"/>
        <v>306.61893266146666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0.68830736034792539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0.68830736034792539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5.8</v>
      </c>
      <c r="BY102" s="13">
        <f>IF('Données projet'!$A$114&gt;35,BY101+BX102-CG101,IF(A102&lt;'Données projet'!$A$114,$BV$205^A102,IF(A102='Données projet'!$A$114,'Données projet'!$B$114,BY101+BX102-CG101)))</f>
        <v>327.2</v>
      </c>
      <c r="BZ102" s="14">
        <f>BY102*VLOOKUP('Données projet'!$B$12,Paramètres!$A$1:$I$89,3,0)*VLOOKUP('Données projet'!$B$12,Paramètres!$A$1:$I$89,5,0)</f>
        <v>296.05055999999996</v>
      </c>
      <c r="CA102" s="14">
        <f t="shared" si="93"/>
        <v>70.34787165092402</v>
      </c>
      <c r="CB102" s="22">
        <f t="shared" si="64"/>
        <v>638.14393512535923</v>
      </c>
      <c r="CC102" s="62">
        <f t="shared" si="65"/>
        <v>931.47726845869261</v>
      </c>
      <c r="CD102" s="62">
        <f ca="1">AVERAGE(OFFSET($CC$3,0,0,'Données projet'!$E$12+1,1))-AVERAGE(OFFSET($H$3,0,0,'Données projet'!$E$12+1,1))</f>
        <v>439.06700232017681</v>
      </c>
      <c r="CE102" s="62">
        <f t="shared" si="94"/>
        <v>278.21741231699929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0.61418195231045636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0.61418195231045636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317.99999999999972</v>
      </c>
      <c r="CU102" s="18">
        <f>CT102*VLOOKUP('Données projet'!$B$13,Paramètres!$A$1:$I$89,3,0)*VLOOKUP('Données projet'!$B$13,Paramètres!$A$1:$I$89,5,0)</f>
        <v>233.1575999999998</v>
      </c>
      <c r="CV102" s="14">
        <f t="shared" si="95"/>
        <v>56.964885721091697</v>
      </c>
      <c r="CW102" s="22">
        <f t="shared" si="67"/>
        <v>505.29666263090093</v>
      </c>
      <c r="CX102" s="62">
        <f t="shared" si="68"/>
        <v>798.62999596423424</v>
      </c>
      <c r="CY102" s="62">
        <f ca="1">AVERAGE(OFFSET($CX$3,0,0,'Données projet'!$E$13+1,1))-AVERAGE(OFFSET($H$3,0,0,'Données projet'!$E$13+1,1))</f>
        <v>327.81662150328646</v>
      </c>
      <c r="CZ102" s="62">
        <f t="shared" si="96"/>
        <v>320.24200483294322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0.51035028046545339</v>
      </c>
      <c r="DG102" s="23">
        <f>EXP(-LN(2)/25)*DG101+(1-EXP(-LN(2)/25))/(LN(2)/25)*Calculateur!DB102*Calculateur!DD102*VLOOKUP('Données projet'!$B$13,Paramètres!$A$1:$I$89,3,0)*0.475*44/12</f>
        <v>0</v>
      </c>
      <c r="DH102" s="23">
        <f>EXP(-LN(2)/2)*DH101+(1-EXP(-LN(2)/2))/(LN(2)/2)*DB102*DE102*VLOOKUP('Données projet'!$B$13,Paramètres!$A$1:$I$89,3,0)*0.475*44/12</f>
        <v>0</v>
      </c>
      <c r="DI102" s="24">
        <f t="shared" si="69"/>
        <v>0.51035028046545339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5.6843418860808015E-14</v>
      </c>
      <c r="DP102" s="18">
        <f>DO102*VLOOKUP('Données projet'!$B$14,Paramètres!$A$1:$I$89,3,0)*VLOOKUP('Données projet'!$B$14,Paramètres!$A$1:$I$89,5,0)</f>
        <v>3.7243808037601412E-14</v>
      </c>
      <c r="DQ102" s="14">
        <f t="shared" si="97"/>
        <v>6.2767589361185393E-13</v>
      </c>
      <c r="DR102" s="22">
        <f t="shared" si="70"/>
        <v>1.1580684803728015E-12</v>
      </c>
      <c r="DS102" s="62">
        <f t="shared" si="71"/>
        <v>293.33333333333445</v>
      </c>
      <c r="DT102" s="62">
        <f ca="1">AVERAGE(OFFSET($DS$3,0,0,'Données projet'!$E$14+1,1))-AVERAGE(OFFSET($H$3,0,0,'Données projet'!$E$14+1,1))</f>
        <v>210.08998695869161</v>
      </c>
      <c r="DU102" s="62">
        <f t="shared" si="98"/>
        <v>207.30911916430881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>
        <f>EXP(-LN(2)/35)*EA101+(1-EXP(-LN(2)/35))/(LN(2)/35)*DW102*DX102*VLOOKUP('Données projet'!$B$14,Paramètres!$A$1:$I$89,3,0)*0.475*44/12</f>
        <v>0.11727197934099769</v>
      </c>
      <c r="EB102" s="23">
        <f>EXP(-LN(2)/25)*EB101+(1-EXP(-LN(2)/25))/(LN(2)/25)*Calculateur!DW102*Calculateur!DY102*VLOOKUP('Données projet'!$B$14,Paramètres!$A$1:$I$89,3,0)*0.475*44/12</f>
        <v>0</v>
      </c>
      <c r="EC102" s="23">
        <f>EXP(-LN(2)/2)*EC101+(1-EXP(-LN(2)/2))/(LN(2)/2)*DW102*DZ102*VLOOKUP('Données projet'!$B$14,Paramètres!$A$1:$I$89,3,0)*0.475*44/12</f>
        <v>0</v>
      </c>
      <c r="ED102" s="24">
        <f t="shared" si="72"/>
        <v>0.11727197934099769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5.6843418860808015E-14</v>
      </c>
      <c r="EK102" s="18">
        <f>EJ102*VLOOKUP('Données projet'!$B$15,Paramètres!$A$1:$I$89,3,0)*VLOOKUP('Données projet'!$B$15,Paramètres!$A$1:$I$89,5,0)</f>
        <v>4.4337866711430253E-14</v>
      </c>
      <c r="EL102" s="14">
        <f t="shared" si="99"/>
        <v>7.3222115536967035E-13</v>
      </c>
      <c r="EM102" s="22">
        <f t="shared" si="73"/>
        <v>1.3525069634579169E-12</v>
      </c>
      <c r="EN102" s="62">
        <f t="shared" si="74"/>
        <v>293.33333333333468</v>
      </c>
      <c r="EO102" s="62">
        <f ca="1">AVERAGE(OFFSET($EN$3,0,0,'Données projet'!$E$15+1,1))-AVERAGE(OFFSET($H$3,0,0,'Données projet'!$E$15+1,1))</f>
        <v>288.82868507674738</v>
      </c>
      <c r="EP102" s="62">
        <f t="shared" si="100"/>
        <v>283.48738729114024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>
        <f>EXP(-LN(2)/35)*EV101+(1-EXP(-LN(2)/35))/(LN(2)/35)*ER102*ES102*VLOOKUP('Données projet'!$B$15,Paramètres!$A$1:$I$89,3,0)*0.475*44/12</f>
        <v>0.46242415227916983</v>
      </c>
      <c r="EW102" s="23">
        <f>EXP(-LN(2)/25)*EW101+(1-EXP(-LN(2)/25))/(LN(2)/25)*Calculateur!ER102*Calculateur!ET102*VLOOKUP('Données projet'!$B$15,Paramètres!$A$1:$I$89,3,0)*0.475*44/12</f>
        <v>0</v>
      </c>
      <c r="EX102" s="23">
        <f>EXP(-LN(2)/2)*EX101+(1-EXP(-LN(2)/2))/(LN(2)/2)*ER102*EU102*VLOOKUP('Données projet'!$B$15,Paramètres!$A$1:$I$89,3,0)*0.475*44/12</f>
        <v>0</v>
      </c>
      <c r="EY102" s="24">
        <f t="shared" si="75"/>
        <v>0.46242415227916983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8.5555555555555554</v>
      </c>
      <c r="N103" s="14">
        <f>IF('Données projet'!$A$36&gt;35,N102+M103-V102,IF(A103&lt;'Données projet'!$A$36,$K$205^A103,IF(A103='Données projet'!$A$36,'Données projet'!$B$36,N102+M103-V102)))</f>
        <v>314.22222222222263</v>
      </c>
      <c r="O103" s="14">
        <f>N103*VLOOKUP('Données projet'!$B$9,Paramètres!$A$1:$I$89,3,0)*VLOOKUP('Données projet'!$B$9,Paramètres!$A$1:$I$89,5,0)</f>
        <v>147.05600000000018</v>
      </c>
      <c r="P103" s="14">
        <f t="shared" si="87"/>
        <v>37.908781196921652</v>
      </c>
      <c r="Q103" s="22">
        <f t="shared" si="107"/>
        <v>322.14699391797217</v>
      </c>
      <c r="R103" s="62">
        <f t="shared" si="55"/>
        <v>615.48032725130543</v>
      </c>
      <c r="S103" s="62">
        <f ca="1">AVERAGE(OFFSET($R$3,0,0,'Données projet'!$E$9+1,1))-AVERAGE(OFFSET($H$3,0,0,'Données projet'!$E$9+1,1))</f>
        <v>317.54276561627643</v>
      </c>
      <c r="T103" s="62">
        <f t="shared" si="88"/>
        <v>238.92443174298893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-1.1368683772161603E-13</v>
      </c>
      <c r="AJ103" s="14">
        <f>AI103*VLOOKUP('Données projet'!$B$10,Paramètres!$A$1:$I$89,3,0)*VLOOKUP('Données projet'!$B$10,Paramètres!$A$1:$I$89,5,0)</f>
        <v>-9.9316821433603781E-14</v>
      </c>
      <c r="AK103" s="14" t="e">
        <f t="shared" si="89"/>
        <v>#NUM!</v>
      </c>
      <c r="AL103" s="22" t="e">
        <f t="shared" si="58"/>
        <v>#NUM!</v>
      </c>
      <c r="AM103" s="62" t="e">
        <f t="shared" si="59"/>
        <v>#NUM!</v>
      </c>
      <c r="AN103" s="62">
        <f ca="1">AVERAGE(OFFSET($AM$3,0,0,'Données projet'!$E$10+1,1))-AVERAGE(OFFSET($H$3,0,0,'Données projet'!$E$10+1,1))</f>
        <v>327.826081588335</v>
      </c>
      <c r="AO103" s="62">
        <f t="shared" si="90"/>
        <v>348.84706693879735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1.5364906273839327</v>
      </c>
      <c r="AV103" s="23">
        <f>EXP(-LN(2)/25)*AV102+(1-EXP(-LN(2)/25))/(LN(2)/25)*Calculateur!AQ103*Calculateur!AS103*VLOOKUP('Données projet'!$B$10,Paramètres!$A$1:$I$89,3,0)*0.475*44/12</f>
        <v>1.9699446081760381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3.5064352355599708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>
        <f>VLOOKUP(A103,'Données projet'!$A$87:$I$107,2,0)</f>
        <v>333</v>
      </c>
      <c r="BB103" s="13">
        <f>VLOOKUP(A103,'Données projet'!$A$87:$I$107,9,0)</f>
        <v>5.8</v>
      </c>
      <c r="BC103" s="13">
        <f t="array" ref="BC103">INDEX(BB:BB,MIN(IF(ISNUMBER(BB103:BB299),ROW(BB103:BB299),"")))</f>
        <v>5.8</v>
      </c>
      <c r="BD103" s="13">
        <f>IF('Données projet'!$A$88&gt;35,BD102+BC103-BL102,IF(A103&lt;'Données projet'!$A$88,$BA$205^A103,IF(A103='Données projet'!$A$88,'Données projet'!$B$88,BD102+BC103-BL102)))</f>
        <v>333</v>
      </c>
      <c r="BE103" s="14">
        <f>BD103*VLOOKUP('Données projet'!$B$11,Paramètres!$A$1:$I$89,3,0)*VLOOKUP('Données projet'!$B$11,Paramètres!$A$1:$I$89,5,0)</f>
        <v>337.66200000000003</v>
      </c>
      <c r="BF103" s="14">
        <f t="shared" si="91"/>
        <v>79.016707002632685</v>
      </c>
      <c r="BG103" s="22">
        <f t="shared" si="61"/>
        <v>725.71541469625208</v>
      </c>
      <c r="BH103" s="62">
        <f t="shared" si="62"/>
        <v>1019.0487480295853</v>
      </c>
      <c r="BI103" s="62">
        <f ca="1">AVERAGE(OFFSET($BH$3,0,0,'Données projet'!$E$11+1,1))-AVERAGE(OFFSET($H$3,0,0,'Données projet'!$E$11+1,1))</f>
        <v>487.04124684635974</v>
      </c>
      <c r="BJ103" s="62">
        <f t="shared" si="92"/>
        <v>306.61893266146666</v>
      </c>
      <c r="BK103" s="16">
        <f>IF(ISNA(VLOOKUP(A103,'Données projet'!$A$87:$I$107,3,0)),0,VLOOKUP(A103,'Données projet'!$A$87:$I$107,3,0))</f>
        <v>17</v>
      </c>
      <c r="BL103" s="16">
        <f>IF(ISNA(VLOOKUP(A103,'Données projet'!$A$87:$I$107,4,0)),0,VLOOKUP(A103,'Données projet'!$A$87:$I$107,4,0))</f>
        <v>27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0.67481007283753802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0.67481007283753802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>
        <f>VLOOKUP(A103,'Données projet'!$A$113:$I$133,2,0)</f>
        <v>333</v>
      </c>
      <c r="BW103" s="13">
        <f>VLOOKUP(A103,'Données projet'!$A$113:$I$133,9,0)</f>
        <v>5.8</v>
      </c>
      <c r="BX103" s="13">
        <f t="array" ref="BX103">INDEX(BW:BW,MIN(IF(ISNUMBER(BW103:BW299),ROW(BW103:BW299),"")))</f>
        <v>5.8</v>
      </c>
      <c r="BY103" s="13">
        <f>IF('Données projet'!$A$114&gt;35,BY102+BX103-CG102,IF(A103&lt;'Données projet'!$A$114,$BV$205^A103,IF(A103='Données projet'!$A$114,'Données projet'!$B$114,BY102+BX103-CG102)))</f>
        <v>333</v>
      </c>
      <c r="BZ103" s="14">
        <f>BY103*VLOOKUP('Données projet'!$B$12,Paramètres!$A$1:$I$89,3,0)*VLOOKUP('Données projet'!$B$12,Paramètres!$A$1:$I$89,5,0)</f>
        <v>301.29840000000002</v>
      </c>
      <c r="CA103" s="14">
        <f t="shared" si="93"/>
        <v>71.448589534990518</v>
      </c>
      <c r="CB103" s="22">
        <f t="shared" si="64"/>
        <v>649.2010067734418</v>
      </c>
      <c r="CC103" s="62">
        <f t="shared" si="65"/>
        <v>942.53434010677506</v>
      </c>
      <c r="CD103" s="62">
        <f ca="1">AVERAGE(OFFSET($CC$3,0,0,'Données projet'!$E$12+1,1))-AVERAGE(OFFSET($H$3,0,0,'Données projet'!$E$12+1,1))</f>
        <v>439.06700232017681</v>
      </c>
      <c r="CE103" s="62">
        <f t="shared" si="94"/>
        <v>278.21741231699929</v>
      </c>
      <c r="CF103" s="16">
        <f>IF(ISNA(VLOOKUP(A103,'Données projet'!$A$113:$I$133,3,0)),0,VLOOKUP(A103,'Données projet'!$A$113:$I$133,3,0))</f>
        <v>17</v>
      </c>
      <c r="CG103" s="16">
        <f>IF(ISNA(VLOOKUP(A103,'Données projet'!$A$113:$I$133,4,0)),0,VLOOKUP(A103,'Données projet'!$A$113:$I$133,4,0))</f>
        <v>27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0.60213821883964913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0.60213821883964913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317.99999999999972</v>
      </c>
      <c r="CU103" s="18">
        <f>CT103*VLOOKUP('Données projet'!$B$13,Paramètres!$A$1:$I$89,3,0)*VLOOKUP('Données projet'!$B$13,Paramètres!$A$1:$I$89,5,0)</f>
        <v>233.1575999999998</v>
      </c>
      <c r="CV103" s="14">
        <f t="shared" si="95"/>
        <v>56.964885721091697</v>
      </c>
      <c r="CW103" s="22">
        <f t="shared" si="67"/>
        <v>505.29666263090093</v>
      </c>
      <c r="CX103" s="62">
        <f t="shared" si="68"/>
        <v>798.62999596423424</v>
      </c>
      <c r="CY103" s="62">
        <f ca="1">AVERAGE(OFFSET($CX$3,0,0,'Données projet'!$E$13+1,1))-AVERAGE(OFFSET($H$3,0,0,'Données projet'!$E$13+1,1))</f>
        <v>327.81662150328646</v>
      </c>
      <c r="CZ103" s="62">
        <f t="shared" si="96"/>
        <v>320.24200483294322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0.50034262274846031</v>
      </c>
      <c r="DG103" s="23">
        <f>EXP(-LN(2)/25)*DG102+(1-EXP(-LN(2)/25))/(LN(2)/25)*Calculateur!DB103*Calculateur!DD103*VLOOKUP('Données projet'!$B$13,Paramètres!$A$1:$I$89,3,0)*0.475*44/12</f>
        <v>0</v>
      </c>
      <c r="DH103" s="23">
        <f>EXP(-LN(2)/2)*DH102+(1-EXP(-LN(2)/2))/(LN(2)/2)*DB103*DE103*VLOOKUP('Données projet'!$B$13,Paramètres!$A$1:$I$89,3,0)*0.475*44/12</f>
        <v>0</v>
      </c>
      <c r="DI103" s="24">
        <f t="shared" si="69"/>
        <v>0.50034262274846031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5.6843418860808015E-14</v>
      </c>
      <c r="DP103" s="18">
        <f>DO103*VLOOKUP('Données projet'!$B$14,Paramètres!$A$1:$I$89,3,0)*VLOOKUP('Données projet'!$B$14,Paramètres!$A$1:$I$89,5,0)</f>
        <v>3.7243808037601412E-14</v>
      </c>
      <c r="DQ103" s="14">
        <f t="shared" si="97"/>
        <v>6.2767589361185393E-13</v>
      </c>
      <c r="DR103" s="22">
        <f t="shared" si="70"/>
        <v>1.1580684803728015E-12</v>
      </c>
      <c r="DS103" s="62">
        <f t="shared" si="71"/>
        <v>293.33333333333445</v>
      </c>
      <c r="DT103" s="62">
        <f ca="1">AVERAGE(OFFSET($DS$3,0,0,'Données projet'!$E$14+1,1))-AVERAGE(OFFSET($H$3,0,0,'Données projet'!$E$14+1,1))</f>
        <v>210.08998695869161</v>
      </c>
      <c r="DU103" s="62">
        <f t="shared" si="98"/>
        <v>207.30911916430881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>
        <f>EXP(-LN(2)/35)*EA102+(1-EXP(-LN(2)/35))/(LN(2)/35)*DW103*DX103*VLOOKUP('Données projet'!$B$14,Paramètres!$A$1:$I$89,3,0)*0.475*44/12</f>
        <v>0.11497234735496524</v>
      </c>
      <c r="EB103" s="23">
        <f>EXP(-LN(2)/25)*EB102+(1-EXP(-LN(2)/25))/(LN(2)/25)*Calculateur!DW103*Calculateur!DY103*VLOOKUP('Données projet'!$B$14,Paramètres!$A$1:$I$89,3,0)*0.475*44/12</f>
        <v>0</v>
      </c>
      <c r="EC103" s="23">
        <f>EXP(-LN(2)/2)*EC102+(1-EXP(-LN(2)/2))/(LN(2)/2)*DW103*DZ103*VLOOKUP('Données projet'!$B$14,Paramètres!$A$1:$I$89,3,0)*0.475*44/12</f>
        <v>0</v>
      </c>
      <c r="ED103" s="24">
        <f t="shared" si="72"/>
        <v>0.11497234735496524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5.6843418860808015E-14</v>
      </c>
      <c r="EK103" s="18">
        <f>EJ103*VLOOKUP('Données projet'!$B$15,Paramètres!$A$1:$I$89,3,0)*VLOOKUP('Données projet'!$B$15,Paramètres!$A$1:$I$89,5,0)</f>
        <v>4.4337866711430253E-14</v>
      </c>
      <c r="EL103" s="14">
        <f t="shared" si="99"/>
        <v>7.3222115536967035E-13</v>
      </c>
      <c r="EM103" s="22">
        <f t="shared" si="73"/>
        <v>1.3525069634579169E-12</v>
      </c>
      <c r="EN103" s="62">
        <f t="shared" si="74"/>
        <v>293.33333333333468</v>
      </c>
      <c r="EO103" s="62">
        <f ca="1">AVERAGE(OFFSET($EN$3,0,0,'Données projet'!$E$15+1,1))-AVERAGE(OFFSET($H$3,0,0,'Données projet'!$E$15+1,1))</f>
        <v>288.82868507674738</v>
      </c>
      <c r="EP103" s="62">
        <f t="shared" si="100"/>
        <v>283.48738729114024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>
        <f>EXP(-LN(2)/35)*EV102+(1-EXP(-LN(2)/35))/(LN(2)/35)*ER103*ES103*VLOOKUP('Données projet'!$B$15,Paramètres!$A$1:$I$89,3,0)*0.475*44/12</f>
        <v>0.45335629670385796</v>
      </c>
      <c r="EW103" s="23">
        <f>EXP(-LN(2)/25)*EW102+(1-EXP(-LN(2)/25))/(LN(2)/25)*Calculateur!ER103*Calculateur!ET103*VLOOKUP('Données projet'!$B$15,Paramètres!$A$1:$I$89,3,0)*0.475*44/12</f>
        <v>0</v>
      </c>
      <c r="EX103" s="23">
        <f>EXP(-LN(2)/2)*EX102+(1-EXP(-LN(2)/2))/(LN(2)/2)*ER103*EU103*VLOOKUP('Données projet'!$B$15,Paramètres!$A$1:$I$89,3,0)*0.475*44/12</f>
        <v>0</v>
      </c>
      <c r="EY103" s="24">
        <f t="shared" si="75"/>
        <v>0.45335629670385796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8.5555555555555554</v>
      </c>
      <c r="N104" s="14">
        <f>IF('Données projet'!$A$36&gt;35,N103+M104-V103,IF(A104&lt;'Données projet'!$A$36,$K$205^A104,IF(A104='Données projet'!$A$36,'Données projet'!$B$36,N103+M104-V103)))</f>
        <v>322.77777777777817</v>
      </c>
      <c r="O104" s="14">
        <f>N104*VLOOKUP('Données projet'!$B$9,Paramètres!$A$1:$I$89,3,0)*VLOOKUP('Données projet'!$B$9,Paramètres!$A$1:$I$89,5,0)</f>
        <v>151.06000000000017</v>
      </c>
      <c r="P104" s="14">
        <f t="shared" si="87"/>
        <v>38.819375611338231</v>
      </c>
      <c r="Q104" s="22">
        <f t="shared" si="107"/>
        <v>330.70657918974769</v>
      </c>
      <c r="R104" s="62">
        <f t="shared" si="55"/>
        <v>624.03991252308106</v>
      </c>
      <c r="S104" s="62">
        <f ca="1">AVERAGE(OFFSET($R$3,0,0,'Données projet'!$E$9+1,1))-AVERAGE(OFFSET($H$3,0,0,'Données projet'!$E$9+1,1))</f>
        <v>317.54276561627643</v>
      </c>
      <c r="T104" s="62">
        <f t="shared" si="88"/>
        <v>238.92443174298893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-1.1368683772161603E-13</v>
      </c>
      <c r="AJ104" s="14">
        <f>AI104*VLOOKUP('Données projet'!$B$10,Paramètres!$A$1:$I$89,3,0)*VLOOKUP('Données projet'!$B$10,Paramètres!$A$1:$I$89,5,0)</f>
        <v>-9.9316821433603781E-14</v>
      </c>
      <c r="AK104" s="14" t="e">
        <f t="shared" si="89"/>
        <v>#NUM!</v>
      </c>
      <c r="AL104" s="22" t="e">
        <f t="shared" si="58"/>
        <v>#NUM!</v>
      </c>
      <c r="AM104" s="62" t="e">
        <f t="shared" si="59"/>
        <v>#NUM!</v>
      </c>
      <c r="AN104" s="62">
        <f ca="1">AVERAGE(OFFSET($AM$3,0,0,'Données projet'!$E$10+1,1))-AVERAGE(OFFSET($H$3,0,0,'Données projet'!$E$10+1,1))</f>
        <v>327.826081588335</v>
      </c>
      <c r="AO104" s="62">
        <f t="shared" si="90"/>
        <v>348.84706693879735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1.506360983347679</v>
      </c>
      <c r="AV104" s="23">
        <f>EXP(-LN(2)/25)*AV103+(1-EXP(-LN(2)/25))/(LN(2)/25)*Calculateur!AQ104*Calculateur!AS104*VLOOKUP('Données projet'!$B$10,Paramètres!$A$1:$I$89,3,0)*0.475*44/12</f>
        <v>1.9160763692705798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3.4224373526182585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5.4</v>
      </c>
      <c r="BD104" s="13">
        <f>IF('Données projet'!$A$88&gt;35,BD103+BC104-BL103,IF(A104&lt;'Données projet'!$A$88,$BA$205^A104,IF(A104='Données projet'!$A$88,'Données projet'!$B$88,BD103+BC104-BL103)))</f>
        <v>311.39999999999998</v>
      </c>
      <c r="BE104" s="14">
        <f>BD104*VLOOKUP('Données projet'!$B$11,Paramètres!$A$1:$I$89,3,0)*VLOOKUP('Données projet'!$B$11,Paramètres!$A$1:$I$89,5,0)</f>
        <v>315.75959999999998</v>
      </c>
      <c r="BF104" s="14">
        <f t="shared" si="91"/>
        <v>74.470372149154613</v>
      </c>
      <c r="BG104" s="22">
        <f t="shared" si="61"/>
        <v>679.6505348264443</v>
      </c>
      <c r="BH104" s="62">
        <f t="shared" si="62"/>
        <v>972.98386815977756</v>
      </c>
      <c r="BI104" s="62">
        <f ca="1">AVERAGE(OFFSET($BH$3,0,0,'Données projet'!$E$11+1,1))-AVERAGE(OFFSET($H$3,0,0,'Données projet'!$E$11+1,1))</f>
        <v>487.04124684635974</v>
      </c>
      <c r="BJ104" s="62">
        <f t="shared" si="92"/>
        <v>306.61893266146666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0.66157745890269681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0.66157745890269681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5.4</v>
      </c>
      <c r="BY104" s="13">
        <f>IF('Données projet'!$A$114&gt;35,BY103+BX104-CG103,IF(A104&lt;'Données projet'!$A$114,$BV$205^A104,IF(A104='Données projet'!$A$114,'Données projet'!$B$114,BY103+BX104-CG103)))</f>
        <v>311.39999999999998</v>
      </c>
      <c r="BZ104" s="14">
        <f>BY104*VLOOKUP('Données projet'!$B$12,Paramètres!$A$1:$I$89,3,0)*VLOOKUP('Données projet'!$B$12,Paramètres!$A$1:$I$89,5,0)</f>
        <v>281.75471999999996</v>
      </c>
      <c r="CA104" s="14">
        <f t="shared" si="93"/>
        <v>67.337696723120317</v>
      </c>
      <c r="CB104" s="22">
        <f t="shared" si="64"/>
        <v>608.00262579276773</v>
      </c>
      <c r="CC104" s="62">
        <f t="shared" si="65"/>
        <v>901.33595912610099</v>
      </c>
      <c r="CD104" s="62">
        <f ca="1">AVERAGE(OFFSET($CC$3,0,0,'Données projet'!$E$12+1,1))-AVERAGE(OFFSET($H$3,0,0,'Données projet'!$E$12+1,1))</f>
        <v>439.06700232017681</v>
      </c>
      <c r="CE104" s="62">
        <f t="shared" si="94"/>
        <v>278.21741231699929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0.59033065563625242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0.59033065563625242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317.99999999999972</v>
      </c>
      <c r="CU104" s="18">
        <f>CT104*VLOOKUP('Données projet'!$B$13,Paramètres!$A$1:$I$89,3,0)*VLOOKUP('Données projet'!$B$13,Paramètres!$A$1:$I$89,5,0)</f>
        <v>233.1575999999998</v>
      </c>
      <c r="CV104" s="14">
        <f t="shared" si="95"/>
        <v>56.964885721091697</v>
      </c>
      <c r="CW104" s="22">
        <f t="shared" si="67"/>
        <v>505.29666263090093</v>
      </c>
      <c r="CX104" s="62">
        <f t="shared" si="68"/>
        <v>798.62999596423424</v>
      </c>
      <c r="CY104" s="62">
        <f ca="1">AVERAGE(OFFSET($CX$3,0,0,'Données projet'!$E$13+1,1))-AVERAGE(OFFSET($H$3,0,0,'Données projet'!$E$13+1,1))</f>
        <v>327.81662150328646</v>
      </c>
      <c r="CZ104" s="62">
        <f t="shared" si="96"/>
        <v>320.24200483294322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0.49053120909522896</v>
      </c>
      <c r="DG104" s="23">
        <f>EXP(-LN(2)/25)*DG103+(1-EXP(-LN(2)/25))/(LN(2)/25)*Calculateur!DB104*Calculateur!DD104*VLOOKUP('Données projet'!$B$13,Paramètres!$A$1:$I$89,3,0)*0.475*44/12</f>
        <v>0</v>
      </c>
      <c r="DH104" s="23">
        <f>EXP(-LN(2)/2)*DH103+(1-EXP(-LN(2)/2))/(LN(2)/2)*DB104*DE104*VLOOKUP('Données projet'!$B$13,Paramètres!$A$1:$I$89,3,0)*0.475*44/12</f>
        <v>0</v>
      </c>
      <c r="DI104" s="24">
        <f t="shared" si="69"/>
        <v>0.49053120909522896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5.6843418860808015E-14</v>
      </c>
      <c r="DP104" s="18">
        <f>DO104*VLOOKUP('Données projet'!$B$14,Paramètres!$A$1:$I$89,3,0)*VLOOKUP('Données projet'!$B$14,Paramètres!$A$1:$I$89,5,0)</f>
        <v>3.7243808037601412E-14</v>
      </c>
      <c r="DQ104" s="14">
        <f t="shared" si="97"/>
        <v>6.2767589361185393E-13</v>
      </c>
      <c r="DR104" s="22">
        <f t="shared" si="70"/>
        <v>1.1580684803728015E-12</v>
      </c>
      <c r="DS104" s="62">
        <f t="shared" si="71"/>
        <v>293.33333333333445</v>
      </c>
      <c r="DT104" s="62">
        <f ca="1">AVERAGE(OFFSET($DS$3,0,0,'Données projet'!$E$14+1,1))-AVERAGE(OFFSET($H$3,0,0,'Données projet'!$E$14+1,1))</f>
        <v>210.08998695869161</v>
      </c>
      <c r="DU104" s="62">
        <f t="shared" si="98"/>
        <v>207.30911916430881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>
        <f>EXP(-LN(2)/35)*EA103+(1-EXP(-LN(2)/35))/(LN(2)/35)*DW104*DX104*VLOOKUP('Données projet'!$B$14,Paramètres!$A$1:$I$89,3,0)*0.475*44/12</f>
        <v>0.11271780974954188</v>
      </c>
      <c r="EB104" s="23">
        <f>EXP(-LN(2)/25)*EB103+(1-EXP(-LN(2)/25))/(LN(2)/25)*Calculateur!DW104*Calculateur!DY104*VLOOKUP('Données projet'!$B$14,Paramètres!$A$1:$I$89,3,0)*0.475*44/12</f>
        <v>0</v>
      </c>
      <c r="EC104" s="23">
        <f>EXP(-LN(2)/2)*EC103+(1-EXP(-LN(2)/2))/(LN(2)/2)*DW104*DZ104*VLOOKUP('Données projet'!$B$14,Paramètres!$A$1:$I$89,3,0)*0.475*44/12</f>
        <v>0</v>
      </c>
      <c r="ED104" s="24">
        <f t="shared" si="72"/>
        <v>0.11271780974954188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5.6843418860808015E-14</v>
      </c>
      <c r="EK104" s="18">
        <f>EJ104*VLOOKUP('Données projet'!$B$15,Paramètres!$A$1:$I$89,3,0)*VLOOKUP('Données projet'!$B$15,Paramètres!$A$1:$I$89,5,0)</f>
        <v>4.4337866711430253E-14</v>
      </c>
      <c r="EL104" s="14">
        <f t="shared" si="99"/>
        <v>7.3222115536967035E-13</v>
      </c>
      <c r="EM104" s="22">
        <f t="shared" si="73"/>
        <v>1.3525069634579169E-12</v>
      </c>
      <c r="EN104" s="62">
        <f t="shared" si="74"/>
        <v>293.33333333333468</v>
      </c>
      <c r="EO104" s="62">
        <f ca="1">AVERAGE(OFFSET($EN$3,0,0,'Données projet'!$E$15+1,1))-AVERAGE(OFFSET($H$3,0,0,'Données projet'!$E$15+1,1))</f>
        <v>288.82868507674738</v>
      </c>
      <c r="EP104" s="62">
        <f t="shared" si="100"/>
        <v>283.48738729114024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>
        <f>EXP(-LN(2)/35)*EV103+(1-EXP(-LN(2)/35))/(LN(2)/35)*ER104*ES104*VLOOKUP('Données projet'!$B$15,Paramètres!$A$1:$I$89,3,0)*0.475*44/12</f>
        <v>0.44446625624553221</v>
      </c>
      <c r="EW104" s="23">
        <f>EXP(-LN(2)/25)*EW103+(1-EXP(-LN(2)/25))/(LN(2)/25)*Calculateur!ER104*Calculateur!ET104*VLOOKUP('Données projet'!$B$15,Paramètres!$A$1:$I$89,3,0)*0.475*44/12</f>
        <v>0</v>
      </c>
      <c r="EX104" s="23">
        <f>EXP(-LN(2)/2)*EX103+(1-EXP(-LN(2)/2))/(LN(2)/2)*ER104*EU104*VLOOKUP('Données projet'!$B$15,Paramètres!$A$1:$I$89,3,0)*0.475*44/12</f>
        <v>0</v>
      </c>
      <c r="EY104" s="24">
        <f t="shared" si="75"/>
        <v>0.44446625624553221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8.5555555555555554</v>
      </c>
      <c r="N105" s="14">
        <f>IF('Données projet'!$A$36&gt;35,N104+M105-V104,IF(A105&lt;'Données projet'!$A$36,$K$205^A105,IF(A105='Données projet'!$A$36,'Données projet'!$B$36,N104+M105-V104)))</f>
        <v>331.33333333333371</v>
      </c>
      <c r="O105" s="14">
        <f>N105*VLOOKUP('Données projet'!$B$9,Paramètres!$A$1:$I$89,3,0)*VLOOKUP('Données projet'!$B$9,Paramètres!$A$1:$I$89,5,0)</f>
        <v>155.06400000000016</v>
      </c>
      <c r="P105" s="14">
        <f t="shared" si="87"/>
        <v>39.727164550120129</v>
      </c>
      <c r="Q105" s="22">
        <f t="shared" si="107"/>
        <v>339.2612782581262</v>
      </c>
      <c r="R105" s="62">
        <f t="shared" si="55"/>
        <v>632.59461159145951</v>
      </c>
      <c r="S105" s="62">
        <f ca="1">AVERAGE(OFFSET($R$3,0,0,'Données projet'!$E$9+1,1))-AVERAGE(OFFSET($H$3,0,0,'Données projet'!$E$9+1,1))</f>
        <v>317.54276561627643</v>
      </c>
      <c r="T105" s="62">
        <f t="shared" si="88"/>
        <v>238.92443174298893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-1.1368683772161603E-13</v>
      </c>
      <c r="AJ105" s="14">
        <f>AI105*VLOOKUP('Données projet'!$B$10,Paramètres!$A$1:$I$89,3,0)*VLOOKUP('Données projet'!$B$10,Paramètres!$A$1:$I$89,5,0)</f>
        <v>-9.9316821433603781E-14</v>
      </c>
      <c r="AK105" s="14" t="e">
        <f t="shared" si="89"/>
        <v>#NUM!</v>
      </c>
      <c r="AL105" s="22" t="e">
        <f t="shared" si="58"/>
        <v>#NUM!</v>
      </c>
      <c r="AM105" s="62" t="e">
        <f t="shared" si="59"/>
        <v>#NUM!</v>
      </c>
      <c r="AN105" s="62">
        <f ca="1">AVERAGE(OFFSET($AM$3,0,0,'Données projet'!$E$10+1,1))-AVERAGE(OFFSET($H$3,0,0,'Données projet'!$E$10+1,1))</f>
        <v>327.826081588335</v>
      </c>
      <c r="AO105" s="62">
        <f t="shared" si="90"/>
        <v>348.84706693879735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1.476822163253708</v>
      </c>
      <c r="AV105" s="23">
        <f>EXP(-LN(2)/25)*AV104+(1-EXP(-LN(2)/25))/(LN(2)/25)*Calculateur!AQ105*Calculateur!AS105*VLOOKUP('Données projet'!$B$10,Paramètres!$A$1:$I$89,3,0)*0.475*44/12</f>
        <v>1.8636811601907988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3.3405033234445067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5.4</v>
      </c>
      <c r="BD105" s="13">
        <f>IF('Données projet'!$A$88&gt;35,BD104+BC105-BL104,IF(A105&lt;'Données projet'!$A$88,$BA$205^A105,IF(A105='Données projet'!$A$88,'Données projet'!$B$88,BD104+BC105-BL104)))</f>
        <v>316.79999999999995</v>
      </c>
      <c r="BE105" s="14">
        <f>BD105*VLOOKUP('Données projet'!$B$11,Paramètres!$A$1:$I$89,3,0)*VLOOKUP('Données projet'!$B$11,Paramètres!$A$1:$I$89,5,0)</f>
        <v>321.23519999999996</v>
      </c>
      <c r="BF105" s="14">
        <f t="shared" si="91"/>
        <v>75.610303390297929</v>
      </c>
      <c r="BG105" s="22">
        <f t="shared" si="61"/>
        <v>691.17258507143549</v>
      </c>
      <c r="BH105" s="62">
        <f t="shared" si="62"/>
        <v>984.50591840476886</v>
      </c>
      <c r="BI105" s="62">
        <f ca="1">AVERAGE(OFFSET($BH$3,0,0,'Données projet'!$E$11+1,1))-AVERAGE(OFFSET($H$3,0,0,'Données projet'!$E$11+1,1))</f>
        <v>487.04124684635974</v>
      </c>
      <c r="BJ105" s="62">
        <f t="shared" si="92"/>
        <v>306.61893266146666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0.64860432845602034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0.64860432845602034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5.4</v>
      </c>
      <c r="BY105" s="13">
        <f>IF('Données projet'!$A$114&gt;35,BY104+BX105-CG104,IF(A105&lt;'Données projet'!$A$114,$BV$205^A105,IF(A105='Données projet'!$A$114,'Données projet'!$B$114,BY104+BX105-CG104)))</f>
        <v>316.79999999999995</v>
      </c>
      <c r="BZ105" s="14">
        <f>BY105*VLOOKUP('Données projet'!$B$12,Paramètres!$A$1:$I$89,3,0)*VLOOKUP('Données projet'!$B$12,Paramètres!$A$1:$I$89,5,0)</f>
        <v>286.64063999999996</v>
      </c>
      <c r="CA105" s="14">
        <f t="shared" si="93"/>
        <v>68.368446832003599</v>
      </c>
      <c r="CB105" s="22">
        <f t="shared" si="64"/>
        <v>618.30749289907283</v>
      </c>
      <c r="CC105" s="62">
        <f t="shared" si="65"/>
        <v>911.6408262324062</v>
      </c>
      <c r="CD105" s="62">
        <f ca="1">AVERAGE(OFFSET($CC$3,0,0,'Données projet'!$E$12+1,1))-AVERAGE(OFFSET($H$3,0,0,'Données projet'!$E$12+1,1))</f>
        <v>439.06700232017681</v>
      </c>
      <c r="CE105" s="62">
        <f t="shared" si="94"/>
        <v>278.21741231699929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0.57875463154537188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0.57875463154537188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317.99999999999972</v>
      </c>
      <c r="CU105" s="18">
        <f>CT105*VLOOKUP('Données projet'!$B$13,Paramètres!$A$1:$I$89,3,0)*VLOOKUP('Données projet'!$B$13,Paramètres!$A$1:$I$89,5,0)</f>
        <v>233.1575999999998</v>
      </c>
      <c r="CV105" s="14">
        <f t="shared" si="95"/>
        <v>56.964885721091697</v>
      </c>
      <c r="CW105" s="22">
        <f t="shared" si="67"/>
        <v>505.29666263090093</v>
      </c>
      <c r="CX105" s="62">
        <f t="shared" si="68"/>
        <v>798.62999596423424</v>
      </c>
      <c r="CY105" s="62">
        <f ca="1">AVERAGE(OFFSET($CX$3,0,0,'Données projet'!$E$13+1,1))-AVERAGE(OFFSET($H$3,0,0,'Données projet'!$E$13+1,1))</f>
        <v>327.81662150328646</v>
      </c>
      <c r="CZ105" s="62">
        <f t="shared" si="96"/>
        <v>320.24200483294322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0.48091219127936607</v>
      </c>
      <c r="DG105" s="23">
        <f>EXP(-LN(2)/25)*DG104+(1-EXP(-LN(2)/25))/(LN(2)/25)*Calculateur!DB105*Calculateur!DD105*VLOOKUP('Données projet'!$B$13,Paramètres!$A$1:$I$89,3,0)*0.475*44/12</f>
        <v>0</v>
      </c>
      <c r="DH105" s="23">
        <f>EXP(-LN(2)/2)*DH104+(1-EXP(-LN(2)/2))/(LN(2)/2)*DB105*DE105*VLOOKUP('Données projet'!$B$13,Paramètres!$A$1:$I$89,3,0)*0.475*44/12</f>
        <v>0</v>
      </c>
      <c r="DI105" s="24">
        <f t="shared" si="69"/>
        <v>0.48091219127936607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5.6843418860808015E-14</v>
      </c>
      <c r="DP105" s="18">
        <f>DO105*VLOOKUP('Données projet'!$B$14,Paramètres!$A$1:$I$89,3,0)*VLOOKUP('Données projet'!$B$14,Paramètres!$A$1:$I$89,5,0)</f>
        <v>3.7243808037601412E-14</v>
      </c>
      <c r="DQ105" s="14">
        <f t="shared" si="97"/>
        <v>6.2767589361185393E-13</v>
      </c>
      <c r="DR105" s="22">
        <f t="shared" si="70"/>
        <v>1.1580684803728015E-12</v>
      </c>
      <c r="DS105" s="62">
        <f t="shared" si="71"/>
        <v>293.33333333333445</v>
      </c>
      <c r="DT105" s="62">
        <f ca="1">AVERAGE(OFFSET($DS$3,0,0,'Données projet'!$E$14+1,1))-AVERAGE(OFFSET($H$3,0,0,'Données projet'!$E$14+1,1))</f>
        <v>210.08998695869161</v>
      </c>
      <c r="DU105" s="62">
        <f t="shared" si="98"/>
        <v>207.30911916430881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>
        <f>EXP(-LN(2)/35)*EA104+(1-EXP(-LN(2)/35))/(LN(2)/35)*DW105*DX105*VLOOKUP('Données projet'!$B$14,Paramètres!$A$1:$I$89,3,0)*0.475*44/12</f>
        <v>0.1105074822514287</v>
      </c>
      <c r="EB105" s="23">
        <f>EXP(-LN(2)/25)*EB104+(1-EXP(-LN(2)/25))/(LN(2)/25)*Calculateur!DW105*Calculateur!DY105*VLOOKUP('Données projet'!$B$14,Paramètres!$A$1:$I$89,3,0)*0.475*44/12</f>
        <v>0</v>
      </c>
      <c r="EC105" s="23">
        <f>EXP(-LN(2)/2)*EC104+(1-EXP(-LN(2)/2))/(LN(2)/2)*DW105*DZ105*VLOOKUP('Données projet'!$B$14,Paramètres!$A$1:$I$89,3,0)*0.475*44/12</f>
        <v>0</v>
      </c>
      <c r="ED105" s="24">
        <f t="shared" si="72"/>
        <v>0.1105074822514287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5.6843418860808015E-14</v>
      </c>
      <c r="EK105" s="18">
        <f>EJ105*VLOOKUP('Données projet'!$B$15,Paramètres!$A$1:$I$89,3,0)*VLOOKUP('Données projet'!$B$15,Paramètres!$A$1:$I$89,5,0)</f>
        <v>4.4337866711430253E-14</v>
      </c>
      <c r="EL105" s="14">
        <f t="shared" si="99"/>
        <v>7.3222115536967035E-13</v>
      </c>
      <c r="EM105" s="22">
        <f t="shared" si="73"/>
        <v>1.3525069634579169E-12</v>
      </c>
      <c r="EN105" s="62">
        <f t="shared" si="74"/>
        <v>293.33333333333468</v>
      </c>
      <c r="EO105" s="62">
        <f ca="1">AVERAGE(OFFSET($EN$3,0,0,'Données projet'!$E$15+1,1))-AVERAGE(OFFSET($H$3,0,0,'Données projet'!$E$15+1,1))</f>
        <v>288.82868507674738</v>
      </c>
      <c r="EP105" s="62">
        <f t="shared" si="100"/>
        <v>283.48738729114024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>
        <f>EXP(-LN(2)/35)*EV104+(1-EXP(-LN(2)/35))/(LN(2)/35)*ER105*ES105*VLOOKUP('Données projet'!$B$15,Paramètres!$A$1:$I$89,3,0)*0.475*44/12</f>
        <v>0.43575054405820496</v>
      </c>
      <c r="EW105" s="23">
        <f>EXP(-LN(2)/25)*EW104+(1-EXP(-LN(2)/25))/(LN(2)/25)*Calculateur!ER105*Calculateur!ET105*VLOOKUP('Données projet'!$B$15,Paramètres!$A$1:$I$89,3,0)*0.475*44/12</f>
        <v>0</v>
      </c>
      <c r="EX105" s="23">
        <f>EXP(-LN(2)/2)*EX104+(1-EXP(-LN(2)/2))/(LN(2)/2)*ER105*EU105*VLOOKUP('Données projet'!$B$15,Paramètres!$A$1:$I$89,3,0)*0.475*44/12</f>
        <v>0</v>
      </c>
      <c r="EY105" s="24">
        <f t="shared" si="75"/>
        <v>0.43575054405820496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8.5555555555555554</v>
      </c>
      <c r="N106" s="14">
        <f>IF('Données projet'!$A$36&gt;35,N105+M106-V105,IF(A106&lt;'Données projet'!$A$36,$K$205^A106,IF(A106='Données projet'!$A$36,'Données projet'!$B$36,N105+M106-V105)))</f>
        <v>339.88888888888926</v>
      </c>
      <c r="O106" s="14">
        <f>N106*VLOOKUP('Données projet'!$B$9,Paramètres!$A$1:$I$89,3,0)*VLOOKUP('Données projet'!$B$9,Paramètres!$A$1:$I$89,5,0)</f>
        <v>159.06800000000018</v>
      </c>
      <c r="P106" s="14">
        <f t="shared" si="87"/>
        <v>40.632228784106786</v>
      </c>
      <c r="Q106" s="22">
        <f t="shared" si="107"/>
        <v>347.81123179898628</v>
      </c>
      <c r="R106" s="62">
        <f t="shared" si="55"/>
        <v>641.1445651323196</v>
      </c>
      <c r="S106" s="62">
        <f ca="1">AVERAGE(OFFSET($R$3,0,0,'Données projet'!$E$9+1,1))-AVERAGE(OFFSET($H$3,0,0,'Données projet'!$E$9+1,1))</f>
        <v>317.54276561627643</v>
      </c>
      <c r="T106" s="62">
        <f t="shared" si="88"/>
        <v>238.92443174298893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-1.1368683772161603E-13</v>
      </c>
      <c r="AJ106" s="14">
        <f>AI106*VLOOKUP('Données projet'!$B$10,Paramètres!$A$1:$I$89,3,0)*VLOOKUP('Données projet'!$B$10,Paramètres!$A$1:$I$89,5,0)</f>
        <v>-9.9316821433603781E-14</v>
      </c>
      <c r="AK106" s="14" t="e">
        <f t="shared" si="89"/>
        <v>#NUM!</v>
      </c>
      <c r="AL106" s="22" t="e">
        <f t="shared" si="58"/>
        <v>#NUM!</v>
      </c>
      <c r="AM106" s="62" t="e">
        <f t="shared" si="59"/>
        <v>#NUM!</v>
      </c>
      <c r="AN106" s="62">
        <f ca="1">AVERAGE(OFFSET($AM$3,0,0,'Données projet'!$E$10+1,1))-AVERAGE(OFFSET($H$3,0,0,'Données projet'!$E$10+1,1))</f>
        <v>327.826081588335</v>
      </c>
      <c r="AO106" s="62">
        <f t="shared" si="90"/>
        <v>348.84706693879735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1.4478625814048784</v>
      </c>
      <c r="AV106" s="23">
        <f>EXP(-LN(2)/25)*AV105+(1-EXP(-LN(2)/25))/(LN(2)/25)*Calculateur!AQ106*Calculateur!AS106*VLOOKUP('Données projet'!$B$10,Paramètres!$A$1:$I$89,3,0)*0.475*44/12</f>
        <v>1.8127187008586487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3.2605812822635274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5.4</v>
      </c>
      <c r="BD106" s="13">
        <f>IF('Données projet'!$A$88&gt;35,BD105+BC106-BL105,IF(A106&lt;'Données projet'!$A$88,$BA$205^A106,IF(A106='Données projet'!$A$88,'Données projet'!$B$88,BD105+BC106-BL105)))</f>
        <v>322.19999999999993</v>
      </c>
      <c r="BE106" s="14">
        <f>BD106*VLOOKUP('Données projet'!$B$11,Paramètres!$A$1:$I$89,3,0)*VLOOKUP('Données projet'!$B$11,Paramètres!$A$1:$I$89,5,0)</f>
        <v>326.71079999999995</v>
      </c>
      <c r="BF106" s="14">
        <f t="shared" si="91"/>
        <v>76.747975030799893</v>
      </c>
      <c r="BG106" s="22">
        <f t="shared" si="61"/>
        <v>702.69069984530972</v>
      </c>
      <c r="BH106" s="62">
        <f t="shared" si="62"/>
        <v>996.02403317864309</v>
      </c>
      <c r="BI106" s="62">
        <f ca="1">AVERAGE(OFFSET($BH$3,0,0,'Données projet'!$E$11+1,1))-AVERAGE(OFFSET($H$3,0,0,'Données projet'!$E$11+1,1))</f>
        <v>487.04124684635974</v>
      </c>
      <c r="BJ106" s="62">
        <f t="shared" si="92"/>
        <v>306.61893266146666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0.63588559318457494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0.63588559318457494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5.4</v>
      </c>
      <c r="BY106" s="13">
        <f>IF('Données projet'!$A$114&gt;35,BY105+BX106-CG105,IF(A106&lt;'Données projet'!$A$114,$BV$205^A106,IF(A106='Données projet'!$A$114,'Données projet'!$B$114,BY105+BX106-CG105)))</f>
        <v>322.19999999999993</v>
      </c>
      <c r="BZ106" s="14">
        <f>BY106*VLOOKUP('Données projet'!$B$12,Paramètres!$A$1:$I$89,3,0)*VLOOKUP('Données projet'!$B$12,Paramètres!$A$1:$I$89,5,0)</f>
        <v>291.5265599999999</v>
      </c>
      <c r="CA106" s="14">
        <f t="shared" si="93"/>
        <v>69.397153761857183</v>
      </c>
      <c r="CB106" s="22">
        <f t="shared" si="64"/>
        <v>628.60880146856778</v>
      </c>
      <c r="CC106" s="62">
        <f t="shared" si="65"/>
        <v>921.94213480190115</v>
      </c>
      <c r="CD106" s="62">
        <f ca="1">AVERAGE(OFFSET($CC$3,0,0,'Données projet'!$E$12+1,1))-AVERAGE(OFFSET($H$3,0,0,'Données projet'!$E$12+1,1))</f>
        <v>439.06700232017681</v>
      </c>
      <c r="CE106" s="62">
        <f t="shared" si="94"/>
        <v>278.21741231699929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0.56740560622623604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0.56740560622623604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317.99999999999972</v>
      </c>
      <c r="CU106" s="18">
        <f>CT106*VLOOKUP('Données projet'!$B$13,Paramètres!$A$1:$I$89,3,0)*VLOOKUP('Données projet'!$B$13,Paramètres!$A$1:$I$89,5,0)</f>
        <v>233.1575999999998</v>
      </c>
      <c r="CV106" s="14">
        <f t="shared" si="95"/>
        <v>56.964885721091697</v>
      </c>
      <c r="CW106" s="22">
        <f t="shared" si="67"/>
        <v>505.29666263090093</v>
      </c>
      <c r="CX106" s="62">
        <f t="shared" si="68"/>
        <v>798.62999596423424</v>
      </c>
      <c r="CY106" s="62">
        <f ca="1">AVERAGE(OFFSET($CX$3,0,0,'Données projet'!$E$13+1,1))-AVERAGE(OFFSET($H$3,0,0,'Données projet'!$E$13+1,1))</f>
        <v>327.81662150328646</v>
      </c>
      <c r="CZ106" s="62">
        <f t="shared" si="96"/>
        <v>320.24200483294322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0.47148179653585071</v>
      </c>
      <c r="DG106" s="23">
        <f>EXP(-LN(2)/25)*DG105+(1-EXP(-LN(2)/25))/(LN(2)/25)*Calculateur!DB106*Calculateur!DD106*VLOOKUP('Données projet'!$B$13,Paramètres!$A$1:$I$89,3,0)*0.475*44/12</f>
        <v>0</v>
      </c>
      <c r="DH106" s="23">
        <f>EXP(-LN(2)/2)*DH105+(1-EXP(-LN(2)/2))/(LN(2)/2)*DB106*DE106*VLOOKUP('Données projet'!$B$13,Paramètres!$A$1:$I$89,3,0)*0.475*44/12</f>
        <v>0</v>
      </c>
      <c r="DI106" s="24">
        <f t="shared" si="69"/>
        <v>0.47148179653585071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5.6843418860808015E-14</v>
      </c>
      <c r="DP106" s="18">
        <f>DO106*VLOOKUP('Données projet'!$B$14,Paramètres!$A$1:$I$89,3,0)*VLOOKUP('Données projet'!$B$14,Paramètres!$A$1:$I$89,5,0)</f>
        <v>3.7243808037601412E-14</v>
      </c>
      <c r="DQ106" s="14">
        <f t="shared" si="97"/>
        <v>6.2767589361185393E-13</v>
      </c>
      <c r="DR106" s="22">
        <f t="shared" si="70"/>
        <v>1.1580684803728015E-12</v>
      </c>
      <c r="DS106" s="62">
        <f t="shared" si="71"/>
        <v>293.33333333333445</v>
      </c>
      <c r="DT106" s="62">
        <f ca="1">AVERAGE(OFFSET($DS$3,0,0,'Données projet'!$E$14+1,1))-AVERAGE(OFFSET($H$3,0,0,'Données projet'!$E$14+1,1))</f>
        <v>210.08998695869161</v>
      </c>
      <c r="DU106" s="62">
        <f t="shared" si="98"/>
        <v>207.30911916430881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>
        <f>EXP(-LN(2)/35)*EA105+(1-EXP(-LN(2)/35))/(LN(2)/35)*DW106*DX106*VLOOKUP('Données projet'!$B$14,Paramètres!$A$1:$I$89,3,0)*0.475*44/12</f>
        <v>0.10834049792738687</v>
      </c>
      <c r="EB106" s="23">
        <f>EXP(-LN(2)/25)*EB105+(1-EXP(-LN(2)/25))/(LN(2)/25)*Calculateur!DW106*Calculateur!DY106*VLOOKUP('Données projet'!$B$14,Paramètres!$A$1:$I$89,3,0)*0.475*44/12</f>
        <v>0</v>
      </c>
      <c r="EC106" s="23">
        <f>EXP(-LN(2)/2)*EC105+(1-EXP(-LN(2)/2))/(LN(2)/2)*DW106*DZ106*VLOOKUP('Données projet'!$B$14,Paramètres!$A$1:$I$89,3,0)*0.475*44/12</f>
        <v>0</v>
      </c>
      <c r="ED106" s="24">
        <f t="shared" si="72"/>
        <v>0.10834049792738687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5.6843418860808015E-14</v>
      </c>
      <c r="EK106" s="18">
        <f>EJ106*VLOOKUP('Données projet'!$B$15,Paramètres!$A$1:$I$89,3,0)*VLOOKUP('Données projet'!$B$15,Paramètres!$A$1:$I$89,5,0)</f>
        <v>4.4337866711430253E-14</v>
      </c>
      <c r="EL106" s="14">
        <f t="shared" si="99"/>
        <v>7.3222115536967035E-13</v>
      </c>
      <c r="EM106" s="22">
        <f t="shared" si="73"/>
        <v>1.3525069634579169E-12</v>
      </c>
      <c r="EN106" s="62">
        <f t="shared" si="74"/>
        <v>293.33333333333468</v>
      </c>
      <c r="EO106" s="62">
        <f ca="1">AVERAGE(OFFSET($EN$3,0,0,'Données projet'!$E$15+1,1))-AVERAGE(OFFSET($H$3,0,0,'Données projet'!$E$15+1,1))</f>
        <v>288.82868507674738</v>
      </c>
      <c r="EP106" s="62">
        <f t="shared" si="100"/>
        <v>283.48738729114024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>
        <f>EXP(-LN(2)/35)*EV105+(1-EXP(-LN(2)/35))/(LN(2)/35)*ER106*ES106*VLOOKUP('Données projet'!$B$15,Paramètres!$A$1:$I$89,3,0)*0.475*44/12</f>
        <v>0.42720574167081166</v>
      </c>
      <c r="EW106" s="23">
        <f>EXP(-LN(2)/25)*EW105+(1-EXP(-LN(2)/25))/(LN(2)/25)*Calculateur!ER106*Calculateur!ET106*VLOOKUP('Données projet'!$B$15,Paramètres!$A$1:$I$89,3,0)*0.475*44/12</f>
        <v>0</v>
      </c>
      <c r="EX106" s="23">
        <f>EXP(-LN(2)/2)*EX105+(1-EXP(-LN(2)/2))/(LN(2)/2)*ER106*EU106*VLOOKUP('Données projet'!$B$15,Paramètres!$A$1:$I$89,3,0)*0.475*44/12</f>
        <v>0</v>
      </c>
      <c r="EY106" s="24">
        <f t="shared" si="75"/>
        <v>0.42720574167081166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8.5555555555555554</v>
      </c>
      <c r="N107" s="14">
        <f>IF('Données projet'!$A$36&gt;35,N106+M107-V106,IF(A107&lt;'Données projet'!$A$36,$K$205^A107,IF(A107='Données projet'!$A$36,'Données projet'!$B$36,N106+M107-V106)))</f>
        <v>348.4444444444448</v>
      </c>
      <c r="O107" s="14">
        <f>N107*VLOOKUP('Données projet'!$B$9,Paramètres!$A$1:$I$89,3,0)*VLOOKUP('Données projet'!$B$9,Paramètres!$A$1:$I$89,5,0)</f>
        <v>163.07200000000017</v>
      </c>
      <c r="P107" s="14">
        <f t="shared" si="87"/>
        <v>41.53464478614341</v>
      </c>
      <c r="Q107" s="22">
        <f t="shared" si="107"/>
        <v>356.35657300253342</v>
      </c>
      <c r="R107" s="62">
        <f t="shared" si="55"/>
        <v>649.68990633586668</v>
      </c>
      <c r="S107" s="62">
        <f ca="1">AVERAGE(OFFSET($R$3,0,0,'Données projet'!$E$9+1,1))-AVERAGE(OFFSET($H$3,0,0,'Données projet'!$E$9+1,1))</f>
        <v>317.54276561627643</v>
      </c>
      <c r="T107" s="62">
        <f t="shared" si="88"/>
        <v>238.92443174298893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-1.1368683772161603E-13</v>
      </c>
      <c r="AJ107" s="14">
        <f>AI107*VLOOKUP('Données projet'!$B$10,Paramètres!$A$1:$I$89,3,0)*VLOOKUP('Données projet'!$B$10,Paramètres!$A$1:$I$89,5,0)</f>
        <v>-9.9316821433603781E-14</v>
      </c>
      <c r="AK107" s="14" t="e">
        <f t="shared" si="89"/>
        <v>#NUM!</v>
      </c>
      <c r="AL107" s="22" t="e">
        <f t="shared" si="58"/>
        <v>#NUM!</v>
      </c>
      <c r="AM107" s="62" t="e">
        <f t="shared" si="59"/>
        <v>#NUM!</v>
      </c>
      <c r="AN107" s="62">
        <f ca="1">AVERAGE(OFFSET($AM$3,0,0,'Données projet'!$E$10+1,1))-AVERAGE(OFFSET($H$3,0,0,'Données projet'!$E$10+1,1))</f>
        <v>327.826081588335</v>
      </c>
      <c r="AO107" s="62">
        <f t="shared" si="90"/>
        <v>348.84706693879735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1.4194708792925037</v>
      </c>
      <c r="AV107" s="23">
        <f>EXP(-LN(2)/25)*AV106+(1-EXP(-LN(2)/25))/(LN(2)/25)*Calculateur!AQ107*Calculateur!AS107*VLOOKUP('Données projet'!$B$10,Paramètres!$A$1:$I$89,3,0)*0.475*44/12</f>
        <v>1.7631498126569356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3.1826206919494391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5.4</v>
      </c>
      <c r="BD107" s="13">
        <f>IF('Données projet'!$A$88&gt;35,BD106+BC107-BL106,IF(A107&lt;'Données projet'!$A$88,$BA$205^A107,IF(A107='Données projet'!$A$88,'Données projet'!$B$88,BD106+BC107-BL106)))</f>
        <v>327.59999999999991</v>
      </c>
      <c r="BE107" s="14">
        <f>BD107*VLOOKUP('Données projet'!$B$11,Paramètres!$A$1:$I$89,3,0)*VLOOKUP('Données projet'!$B$11,Paramètres!$A$1:$I$89,5,0)</f>
        <v>332.18639999999994</v>
      </c>
      <c r="BF107" s="14">
        <f t="shared" si="91"/>
        <v>77.88342931194974</v>
      </c>
      <c r="BG107" s="22">
        <f t="shared" si="61"/>
        <v>714.20495271831226</v>
      </c>
      <c r="BH107" s="62">
        <f t="shared" si="62"/>
        <v>1007.5382860516456</v>
      </c>
      <c r="BI107" s="62">
        <f ca="1">AVERAGE(OFFSET($BH$3,0,0,'Données projet'!$E$11+1,1))-AVERAGE(OFFSET($H$3,0,0,'Données projet'!$E$11+1,1))</f>
        <v>487.04124684635974</v>
      </c>
      <c r="BJ107" s="62">
        <f t="shared" si="92"/>
        <v>306.61893266146666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0.62341626455414012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0.62341626455414012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5.4</v>
      </c>
      <c r="BY107" s="13">
        <f>IF('Données projet'!$A$114&gt;35,BY106+BX107-CG106,IF(A107&lt;'Données projet'!$A$114,$BV$205^A107,IF(A107='Données projet'!$A$114,'Données projet'!$B$114,BY106+BX107-CG106)))</f>
        <v>327.59999999999991</v>
      </c>
      <c r="BZ107" s="14">
        <f>BY107*VLOOKUP('Données projet'!$B$12,Paramètres!$A$1:$I$89,3,0)*VLOOKUP('Données projet'!$B$12,Paramètres!$A$1:$I$89,5,0)</f>
        <v>296.4124799999999</v>
      </c>
      <c r="CA107" s="14">
        <f t="shared" si="93"/>
        <v>70.423855708154704</v>
      </c>
      <c r="CB107" s="22">
        <f t="shared" si="64"/>
        <v>638.90661802503598</v>
      </c>
      <c r="CC107" s="62">
        <f t="shared" si="65"/>
        <v>932.23995135836935</v>
      </c>
      <c r="CD107" s="62">
        <f ca="1">AVERAGE(OFFSET($CC$3,0,0,'Données projet'!$E$12+1,1))-AVERAGE(OFFSET($H$3,0,0,'Données projet'!$E$12+1,1))</f>
        <v>439.06700232017681</v>
      </c>
      <c r="CE107" s="62">
        <f t="shared" si="94"/>
        <v>278.21741231699929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0.55627912837138649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0.55627912837138649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317.99999999999972</v>
      </c>
      <c r="CU107" s="18">
        <f>CT107*VLOOKUP('Données projet'!$B$13,Paramètres!$A$1:$I$89,3,0)*VLOOKUP('Données projet'!$B$13,Paramètres!$A$1:$I$89,5,0)</f>
        <v>233.1575999999998</v>
      </c>
      <c r="CV107" s="14">
        <f t="shared" si="95"/>
        <v>56.964885721091697</v>
      </c>
      <c r="CW107" s="22">
        <f t="shared" si="67"/>
        <v>505.29666263090093</v>
      </c>
      <c r="CX107" s="62">
        <f t="shared" si="68"/>
        <v>798.62999596423424</v>
      </c>
      <c r="CY107" s="62">
        <f ca="1">AVERAGE(OFFSET($CX$3,0,0,'Données projet'!$E$13+1,1))-AVERAGE(OFFSET($H$3,0,0,'Données projet'!$E$13+1,1))</f>
        <v>327.81662150328646</v>
      </c>
      <c r="CZ107" s="62">
        <f t="shared" si="96"/>
        <v>320.24200483294322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0.46223632608128284</v>
      </c>
      <c r="DG107" s="23">
        <f>EXP(-LN(2)/25)*DG106+(1-EXP(-LN(2)/25))/(LN(2)/25)*Calculateur!DB107*Calculateur!DD107*VLOOKUP('Données projet'!$B$13,Paramètres!$A$1:$I$89,3,0)*0.475*44/12</f>
        <v>0</v>
      </c>
      <c r="DH107" s="23">
        <f>EXP(-LN(2)/2)*DH106+(1-EXP(-LN(2)/2))/(LN(2)/2)*DB107*DE107*VLOOKUP('Données projet'!$B$13,Paramètres!$A$1:$I$89,3,0)*0.475*44/12</f>
        <v>0</v>
      </c>
      <c r="DI107" s="24">
        <f t="shared" si="69"/>
        <v>0.46223632608128284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5.6843418860808015E-14</v>
      </c>
      <c r="DP107" s="18">
        <f>DO107*VLOOKUP('Données projet'!$B$14,Paramètres!$A$1:$I$89,3,0)*VLOOKUP('Données projet'!$B$14,Paramètres!$A$1:$I$89,5,0)</f>
        <v>3.7243808037601412E-14</v>
      </c>
      <c r="DQ107" s="14">
        <f t="shared" si="97"/>
        <v>6.2767589361185393E-13</v>
      </c>
      <c r="DR107" s="22">
        <f t="shared" si="70"/>
        <v>1.1580684803728015E-12</v>
      </c>
      <c r="DS107" s="62">
        <f t="shared" si="71"/>
        <v>293.33333333333445</v>
      </c>
      <c r="DT107" s="62">
        <f ca="1">AVERAGE(OFFSET($DS$3,0,0,'Données projet'!$E$14+1,1))-AVERAGE(OFFSET($H$3,0,0,'Données projet'!$E$14+1,1))</f>
        <v>210.08998695869161</v>
      </c>
      <c r="DU107" s="62">
        <f t="shared" si="98"/>
        <v>207.30911916430881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>
        <f>EXP(-LN(2)/35)*EA106+(1-EXP(-LN(2)/35))/(LN(2)/35)*DW107*DX107*VLOOKUP('Données projet'!$B$14,Paramètres!$A$1:$I$89,3,0)*0.475*44/12</f>
        <v>0.10621600684420958</v>
      </c>
      <c r="EB107" s="23">
        <f>EXP(-LN(2)/25)*EB106+(1-EXP(-LN(2)/25))/(LN(2)/25)*Calculateur!DW107*Calculateur!DY107*VLOOKUP('Données projet'!$B$14,Paramètres!$A$1:$I$89,3,0)*0.475*44/12</f>
        <v>0</v>
      </c>
      <c r="EC107" s="23">
        <f>EXP(-LN(2)/2)*EC106+(1-EXP(-LN(2)/2))/(LN(2)/2)*DW107*DZ107*VLOOKUP('Données projet'!$B$14,Paramètres!$A$1:$I$89,3,0)*0.475*44/12</f>
        <v>0</v>
      </c>
      <c r="ED107" s="24">
        <f t="shared" si="72"/>
        <v>0.10621600684420958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5.6843418860808015E-14</v>
      </c>
      <c r="EK107" s="18">
        <f>EJ107*VLOOKUP('Données projet'!$B$15,Paramètres!$A$1:$I$89,3,0)*VLOOKUP('Données projet'!$B$15,Paramètres!$A$1:$I$89,5,0)</f>
        <v>4.4337866711430253E-14</v>
      </c>
      <c r="EL107" s="14">
        <f t="shared" si="99"/>
        <v>7.3222115536967035E-13</v>
      </c>
      <c r="EM107" s="22">
        <f t="shared" si="73"/>
        <v>1.3525069634579169E-12</v>
      </c>
      <c r="EN107" s="62">
        <f t="shared" si="74"/>
        <v>293.33333333333468</v>
      </c>
      <c r="EO107" s="62">
        <f ca="1">AVERAGE(OFFSET($EN$3,0,0,'Données projet'!$E$15+1,1))-AVERAGE(OFFSET($H$3,0,0,'Données projet'!$E$15+1,1))</f>
        <v>288.82868507674738</v>
      </c>
      <c r="EP107" s="62">
        <f t="shared" si="100"/>
        <v>283.48738729114024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>
        <f>EXP(-LN(2)/35)*EV106+(1-EXP(-LN(2)/35))/(LN(2)/35)*ER107*ES107*VLOOKUP('Données projet'!$B$15,Paramètres!$A$1:$I$89,3,0)*0.475*44/12</f>
        <v>0.41882849764642033</v>
      </c>
      <c r="EW107" s="23">
        <f>EXP(-LN(2)/25)*EW106+(1-EXP(-LN(2)/25))/(LN(2)/25)*Calculateur!ER107*Calculateur!ET107*VLOOKUP('Données projet'!$B$15,Paramètres!$A$1:$I$89,3,0)*0.475*44/12</f>
        <v>0</v>
      </c>
      <c r="EX107" s="23">
        <f>EXP(-LN(2)/2)*EX106+(1-EXP(-LN(2)/2))/(LN(2)/2)*ER107*EU107*VLOOKUP('Données projet'!$B$15,Paramètres!$A$1:$I$89,3,0)*0.475*44/12</f>
        <v>0</v>
      </c>
      <c r="EY107" s="24">
        <f t="shared" si="75"/>
        <v>0.41882849764642033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>
        <f>VLOOKUP(A108,'Données projet'!$A$35:$I$55,2,0)</f>
        <v>357</v>
      </c>
      <c r="L108" s="13">
        <f>VLOOKUP(A108,'Données projet'!$A$35:$I$55,9,0)</f>
        <v>8.5555555555555554</v>
      </c>
      <c r="M108" s="13">
        <f t="array" ref="M108">INDEX(L:L,MIN(IF(ISNUMBER(L108:L304),ROW(L108:L304),"")))</f>
        <v>8.5555555555555554</v>
      </c>
      <c r="N108" s="14">
        <f>IF('Données projet'!$A$36&gt;35,N107+M108-V107,IF(A108&lt;'Données projet'!$A$36,$K$205^A108,IF(A108='Données projet'!$A$36,'Données projet'!$B$36,N107+M108-V107)))</f>
        <v>357.00000000000034</v>
      </c>
      <c r="O108" s="14">
        <f>N108*VLOOKUP('Données projet'!$B$9,Paramètres!$A$1:$I$89,3,0)*VLOOKUP('Données projet'!$B$9,Paramètres!$A$1:$I$89,5,0)</f>
        <v>167.07600000000016</v>
      </c>
      <c r="P108" s="14">
        <f t="shared" si="87"/>
        <v>42.434485059621714</v>
      </c>
      <c r="Q108" s="22">
        <f t="shared" si="107"/>
        <v>364.89742814550806</v>
      </c>
      <c r="R108" s="62">
        <f t="shared" si="55"/>
        <v>658.23076147884137</v>
      </c>
      <c r="S108" s="62">
        <f ca="1">AVERAGE(OFFSET($R$3,0,0,'Données projet'!$E$9+1,1))-AVERAGE(OFFSET($H$3,0,0,'Données projet'!$E$9+1,1))</f>
        <v>317.54276561627643</v>
      </c>
      <c r="T108" s="62">
        <f t="shared" si="88"/>
        <v>238.92443174298893</v>
      </c>
      <c r="U108" s="16">
        <f>IF(ISNA(VLOOKUP(A108,'Données projet'!$A$35:$I$55,3,0)),0,VLOOKUP(A108,'Données projet'!$A$35:$I$55,3,0))</f>
        <v>20</v>
      </c>
      <c r="V108" s="16">
        <f>IF(ISNA(VLOOKUP(A108,'Données projet'!$A$35:$I$55,4,0)),0,VLOOKUP(A108,'Données projet'!$A$35:$I$55,4,0))</f>
        <v>357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-1.1368683772161603E-13</v>
      </c>
      <c r="AJ108" s="14">
        <f>AI108*VLOOKUP('Données projet'!$B$10,Paramètres!$A$1:$I$89,3,0)*VLOOKUP('Données projet'!$B$10,Paramètres!$A$1:$I$89,5,0)</f>
        <v>-9.9316821433603781E-14</v>
      </c>
      <c r="AK108" s="14" t="e">
        <f t="shared" si="89"/>
        <v>#NUM!</v>
      </c>
      <c r="AL108" s="22" t="e">
        <f t="shared" si="58"/>
        <v>#NUM!</v>
      </c>
      <c r="AM108" s="62" t="e">
        <f t="shared" si="59"/>
        <v>#NUM!</v>
      </c>
      <c r="AN108" s="62">
        <f ca="1">AVERAGE(OFFSET($AM$3,0,0,'Données projet'!$E$10+1,1))-AVERAGE(OFFSET($H$3,0,0,'Données projet'!$E$10+1,1))</f>
        <v>327.826081588335</v>
      </c>
      <c r="AO108" s="62">
        <f t="shared" si="90"/>
        <v>348.84706693879735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1.3916359211413243</v>
      </c>
      <c r="AV108" s="23">
        <f>EXP(-LN(2)/25)*AV107+(1-EXP(-LN(2)/25))/(LN(2)/25)*Calculateur!AQ108*Calculateur!AS108*VLOOKUP('Données projet'!$B$10,Paramètres!$A$1:$I$89,3,0)*0.475*44/12</f>
        <v>1.7149363883098128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3.106572309451137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>
        <f>VLOOKUP(A108,'Données projet'!$A$87:$I$107,2,0)</f>
        <v>333</v>
      </c>
      <c r="BB108" s="13">
        <f>VLOOKUP(A108,'Données projet'!$A$87:$I$107,9,0)</f>
        <v>5.4</v>
      </c>
      <c r="BC108" s="13">
        <f t="array" ref="BC108">INDEX(BB:BB,MIN(IF(ISNUMBER(BB108:BB304),ROW(BB108:BB304),"")))</f>
        <v>5.4</v>
      </c>
      <c r="BD108" s="13">
        <f>IF('Données projet'!$A$88&gt;35,BD107+BC108-BL107,IF(A108&lt;'Données projet'!$A$88,$BA$205^A108,IF(A108='Données projet'!$A$88,'Données projet'!$B$88,BD107+BC108-BL107)))</f>
        <v>332.99999999999989</v>
      </c>
      <c r="BE108" s="14">
        <f>BD108*VLOOKUP('Données projet'!$B$11,Paramètres!$A$1:$I$89,3,0)*VLOOKUP('Données projet'!$B$11,Paramètres!$A$1:$I$89,5,0)</f>
        <v>337.66199999999992</v>
      </c>
      <c r="BF108" s="14">
        <f t="shared" si="91"/>
        <v>79.016707002632685</v>
      </c>
      <c r="BG108" s="22">
        <f t="shared" si="61"/>
        <v>725.71541469625174</v>
      </c>
      <c r="BH108" s="62">
        <f t="shared" si="62"/>
        <v>1019.0487480295851</v>
      </c>
      <c r="BI108" s="62">
        <f ca="1">AVERAGE(OFFSET($BH$3,0,0,'Données projet'!$E$11+1,1))-AVERAGE(OFFSET($H$3,0,0,'Données projet'!$E$11+1,1))</f>
        <v>487.04124684635974</v>
      </c>
      <c r="BJ108" s="62">
        <f t="shared" si="92"/>
        <v>306.61893266146666</v>
      </c>
      <c r="BK108" s="16">
        <f>IF(ISNA(VLOOKUP(A108,'Données projet'!$A$87:$I$107,3,0)),0,VLOOKUP(A108,'Données projet'!$A$87:$I$107,3,0))</f>
        <v>18</v>
      </c>
      <c r="BL108" s="16">
        <f>IF(ISNA(VLOOKUP(A108,'Données projet'!$A$87:$I$107,4,0)),0,VLOOKUP(A108,'Données projet'!$A$87:$I$107,4,0))</f>
        <v>26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0.61119145185260859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0.61119145185260859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>
        <f>VLOOKUP(A108,'Données projet'!$A$113:$I$133,2,0)</f>
        <v>333</v>
      </c>
      <c r="BW108" s="13">
        <f>VLOOKUP(A108,'Données projet'!$A$113:$I$133,9,0)</f>
        <v>5.4</v>
      </c>
      <c r="BX108" s="13">
        <f t="array" ref="BX108">INDEX(BW:BW,MIN(IF(ISNUMBER(BW108:BW304),ROW(BW108:BW304),"")))</f>
        <v>5.4</v>
      </c>
      <c r="BY108" s="13">
        <f>IF('Données projet'!$A$114&gt;35,BY107+BX108-CG107,IF(A108&lt;'Données projet'!$A$114,$BV$205^A108,IF(A108='Données projet'!$A$114,'Données projet'!$B$114,BY107+BX108-CG107)))</f>
        <v>332.99999999999989</v>
      </c>
      <c r="BZ108" s="14">
        <f>BY108*VLOOKUP('Données projet'!$B$12,Paramètres!$A$1:$I$89,3,0)*VLOOKUP('Données projet'!$B$12,Paramètres!$A$1:$I$89,5,0)</f>
        <v>301.2983999999999</v>
      </c>
      <c r="CA108" s="14">
        <f t="shared" si="93"/>
        <v>71.448589534990518</v>
      </c>
      <c r="CB108" s="22">
        <f t="shared" si="64"/>
        <v>649.20100677344158</v>
      </c>
      <c r="CC108" s="62">
        <f t="shared" si="65"/>
        <v>942.53434010677483</v>
      </c>
      <c r="CD108" s="62">
        <f ca="1">AVERAGE(OFFSET($CC$3,0,0,'Données projet'!$E$12+1,1))-AVERAGE(OFFSET($H$3,0,0,'Données projet'!$E$12+1,1))</f>
        <v>439.06700232017681</v>
      </c>
      <c r="CE108" s="62">
        <f t="shared" si="94"/>
        <v>278.21741231699929</v>
      </c>
      <c r="CF108" s="16">
        <f>IF(ISNA(VLOOKUP(A108,'Données projet'!$A$113:$I$133,3,0)),0,VLOOKUP(A108,'Données projet'!$A$113:$I$133,3,0))</f>
        <v>18</v>
      </c>
      <c r="CG108" s="16">
        <f>IF(ISNA(VLOOKUP(A108,'Données projet'!$A$113:$I$133,4,0)),0,VLOOKUP(A108,'Données projet'!$A$113:$I$133,4,0))</f>
        <v>26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0.54537083396078911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0.54537083396078911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317.99999999999972</v>
      </c>
      <c r="CU108" s="18">
        <f>CT108*VLOOKUP('Données projet'!$B$13,Paramètres!$A$1:$I$89,3,0)*VLOOKUP('Données projet'!$B$13,Paramètres!$A$1:$I$89,5,0)</f>
        <v>233.1575999999998</v>
      </c>
      <c r="CV108" s="14">
        <f t="shared" si="95"/>
        <v>56.964885721091697</v>
      </c>
      <c r="CW108" s="22">
        <f t="shared" si="67"/>
        <v>505.29666263090093</v>
      </c>
      <c r="CX108" s="62">
        <f t="shared" si="68"/>
        <v>798.62999596423424</v>
      </c>
      <c r="CY108" s="62">
        <f ca="1">AVERAGE(OFFSET($CX$3,0,0,'Données projet'!$E$13+1,1))-AVERAGE(OFFSET($H$3,0,0,'Données projet'!$E$13+1,1))</f>
        <v>327.81662150328646</v>
      </c>
      <c r="CZ108" s="62">
        <f t="shared" si="96"/>
        <v>320.24200483294322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0.45317215366314889</v>
      </c>
      <c r="DG108" s="23">
        <f>EXP(-LN(2)/25)*DG107+(1-EXP(-LN(2)/25))/(LN(2)/25)*Calculateur!DB108*Calculateur!DD108*VLOOKUP('Données projet'!$B$13,Paramètres!$A$1:$I$89,3,0)*0.475*44/12</f>
        <v>0</v>
      </c>
      <c r="DH108" s="23">
        <f>EXP(-LN(2)/2)*DH107+(1-EXP(-LN(2)/2))/(LN(2)/2)*DB108*DE108*VLOOKUP('Données projet'!$B$13,Paramètres!$A$1:$I$89,3,0)*0.475*44/12</f>
        <v>0</v>
      </c>
      <c r="DI108" s="24">
        <f t="shared" si="69"/>
        <v>0.45317215366314889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5.6843418860808015E-14</v>
      </c>
      <c r="DP108" s="18">
        <f>DO108*VLOOKUP('Données projet'!$B$14,Paramètres!$A$1:$I$89,3,0)*VLOOKUP('Données projet'!$B$14,Paramètres!$A$1:$I$89,5,0)</f>
        <v>3.7243808037601412E-14</v>
      </c>
      <c r="DQ108" s="14">
        <f t="shared" si="97"/>
        <v>6.2767589361185393E-13</v>
      </c>
      <c r="DR108" s="22">
        <f t="shared" si="70"/>
        <v>1.1580684803728015E-12</v>
      </c>
      <c r="DS108" s="62">
        <f t="shared" si="71"/>
        <v>293.33333333333445</v>
      </c>
      <c r="DT108" s="62">
        <f ca="1">AVERAGE(OFFSET($DS$3,0,0,'Données projet'!$E$14+1,1))-AVERAGE(OFFSET($H$3,0,0,'Données projet'!$E$14+1,1))</f>
        <v>210.08998695869161</v>
      </c>
      <c r="DU108" s="62">
        <f t="shared" si="98"/>
        <v>207.30911916430881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>
        <f>EXP(-LN(2)/35)*EA107+(1-EXP(-LN(2)/35))/(LN(2)/35)*DW108*DX108*VLOOKUP('Données projet'!$B$14,Paramètres!$A$1:$I$89,3,0)*0.475*44/12</f>
        <v>0.10413317573536178</v>
      </c>
      <c r="EB108" s="23">
        <f>EXP(-LN(2)/25)*EB107+(1-EXP(-LN(2)/25))/(LN(2)/25)*Calculateur!DW108*Calculateur!DY108*VLOOKUP('Données projet'!$B$14,Paramètres!$A$1:$I$89,3,0)*0.475*44/12</f>
        <v>0</v>
      </c>
      <c r="EC108" s="23">
        <f>EXP(-LN(2)/2)*EC107+(1-EXP(-LN(2)/2))/(LN(2)/2)*DW108*DZ108*VLOOKUP('Données projet'!$B$14,Paramètres!$A$1:$I$89,3,0)*0.475*44/12</f>
        <v>0</v>
      </c>
      <c r="ED108" s="24">
        <f t="shared" si="72"/>
        <v>0.10413317573536178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5.6843418860808015E-14</v>
      </c>
      <c r="EK108" s="18">
        <f>EJ108*VLOOKUP('Données projet'!$B$15,Paramètres!$A$1:$I$89,3,0)*VLOOKUP('Données projet'!$B$15,Paramètres!$A$1:$I$89,5,0)</f>
        <v>4.4337866711430253E-14</v>
      </c>
      <c r="EL108" s="14">
        <f t="shared" si="99"/>
        <v>7.3222115536967035E-13</v>
      </c>
      <c r="EM108" s="22">
        <f t="shared" si="73"/>
        <v>1.3525069634579169E-12</v>
      </c>
      <c r="EN108" s="62">
        <f t="shared" si="74"/>
        <v>293.33333333333468</v>
      </c>
      <c r="EO108" s="62">
        <f ca="1">AVERAGE(OFFSET($EN$3,0,0,'Données projet'!$E$15+1,1))-AVERAGE(OFFSET($H$3,0,0,'Données projet'!$E$15+1,1))</f>
        <v>288.82868507674738</v>
      </c>
      <c r="EP108" s="62">
        <f t="shared" si="100"/>
        <v>283.48738729114024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>
        <f>EXP(-LN(2)/35)*EV107+(1-EXP(-LN(2)/35))/(LN(2)/35)*ER108*ES108*VLOOKUP('Données projet'!$B$15,Paramètres!$A$1:$I$89,3,0)*0.475*44/12</f>
        <v>0.41061552626773301</v>
      </c>
      <c r="EW108" s="23">
        <f>EXP(-LN(2)/25)*EW107+(1-EXP(-LN(2)/25))/(LN(2)/25)*Calculateur!ER108*Calculateur!ET108*VLOOKUP('Données projet'!$B$15,Paramètres!$A$1:$I$89,3,0)*0.475*44/12</f>
        <v>0</v>
      </c>
      <c r="EX108" s="23">
        <f>EXP(-LN(2)/2)*EX107+(1-EXP(-LN(2)/2))/(LN(2)/2)*ER108*EU108*VLOOKUP('Données projet'!$B$15,Paramètres!$A$1:$I$89,3,0)*0.475*44/12</f>
        <v>0</v>
      </c>
      <c r="EY108" s="24">
        <f t="shared" si="75"/>
        <v>0.41061552626773301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3.4106051316484809E-13</v>
      </c>
      <c r="O109" s="14">
        <f>N109*VLOOKUP('Données projet'!$B$9,Paramètres!$A$1:$I$89,3,0)*VLOOKUP('Données projet'!$B$9,Paramètres!$A$1:$I$89,5,0)</f>
        <v>1.5961632016114892E-13</v>
      </c>
      <c r="P109" s="14">
        <f t="shared" si="87"/>
        <v>2.2708641912150958E-12</v>
      </c>
      <c r="Q109" s="22">
        <f t="shared" si="107"/>
        <v>4.2330868906469593E-12</v>
      </c>
      <c r="R109" s="62">
        <f t="shared" si="55"/>
        <v>293.33333333333752</v>
      </c>
      <c r="S109" s="62">
        <f ca="1">AVERAGE(OFFSET($R$3,0,0,'Données projet'!$E$9+1,1))-AVERAGE(OFFSET($H$3,0,0,'Données projet'!$E$9+1,1))</f>
        <v>317.54276561627643</v>
      </c>
      <c r="T109" s="62">
        <f t="shared" si="88"/>
        <v>238.92443174298893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-1.1368683772161603E-13</v>
      </c>
      <c r="AJ109" s="14">
        <f>AI109*VLOOKUP('Données projet'!$B$10,Paramètres!$A$1:$I$89,3,0)*VLOOKUP('Données projet'!$B$10,Paramètres!$A$1:$I$89,5,0)</f>
        <v>-9.9316821433603781E-14</v>
      </c>
      <c r="AK109" s="14" t="e">
        <f t="shared" si="89"/>
        <v>#NUM!</v>
      </c>
      <c r="AL109" s="22" t="e">
        <f t="shared" si="58"/>
        <v>#NUM!</v>
      </c>
      <c r="AM109" s="62" t="e">
        <f t="shared" si="59"/>
        <v>#NUM!</v>
      </c>
      <c r="AN109" s="62">
        <f ca="1">AVERAGE(OFFSET($AM$3,0,0,'Données projet'!$E$10+1,1))-AVERAGE(OFFSET($H$3,0,0,'Données projet'!$E$10+1,1))</f>
        <v>327.826081588335</v>
      </c>
      <c r="AO109" s="62">
        <f t="shared" si="90"/>
        <v>348.84706693879735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1.3643467895418413</v>
      </c>
      <c r="AV109" s="23">
        <f>EXP(-LN(2)/25)*AV108+(1-EXP(-LN(2)/25))/(LN(2)/25)*Calculateur!AQ109*Calculateur!AS109*VLOOKUP('Données projet'!$B$10,Paramètres!$A$1:$I$89,3,0)*0.475*44/12</f>
        <v>1.6680413625868957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3.0323881521287372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5</v>
      </c>
      <c r="BD109" s="13">
        <f>IF('Données projet'!$A$88&gt;35,BD108+BC109-BL108,IF(A109&lt;'Données projet'!$A$88,$BA$205^A109,IF(A109='Données projet'!$A$88,'Données projet'!$B$88,BD108+BC109-BL108)))</f>
        <v>311.99999999999989</v>
      </c>
      <c r="BE109" s="14">
        <f>BD109*VLOOKUP('Données projet'!$B$11,Paramètres!$A$1:$I$89,3,0)*VLOOKUP('Données projet'!$B$11,Paramètres!$A$1:$I$89,5,0)</f>
        <v>316.36799999999988</v>
      </c>
      <c r="BF109" s="14">
        <f t="shared" si="91"/>
        <v>74.597144109003438</v>
      </c>
      <c r="BG109" s="22">
        <f t="shared" si="61"/>
        <v>680.93095932318067</v>
      </c>
      <c r="BH109" s="62">
        <f t="shared" si="62"/>
        <v>974.26429265651404</v>
      </c>
      <c r="BI109" s="62">
        <f ca="1">AVERAGE(OFFSET($BH$3,0,0,'Données projet'!$E$11+1,1))-AVERAGE(OFFSET($H$3,0,0,'Données projet'!$E$11+1,1))</f>
        <v>487.04124684635974</v>
      </c>
      <c r="BJ109" s="62">
        <f t="shared" si="92"/>
        <v>306.61893266146666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0.59920636027175467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0.59920636027175467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5</v>
      </c>
      <c r="BY109" s="13">
        <f>IF('Données projet'!$A$114&gt;35,BY108+BX109-CG108,IF(A109&lt;'Données projet'!$A$114,$BV$205^A109,IF(A109='Données projet'!$A$114,'Données projet'!$B$114,BY108+BX109-CG108)))</f>
        <v>311.99999999999989</v>
      </c>
      <c r="BZ109" s="14">
        <f>BY109*VLOOKUP('Données projet'!$B$12,Paramètres!$A$1:$I$89,3,0)*VLOOKUP('Données projet'!$B$12,Paramètres!$A$1:$I$89,5,0)</f>
        <v>282.29759999999987</v>
      </c>
      <c r="CA109" s="14">
        <f t="shared" si="93"/>
        <v>67.452326629470178</v>
      </c>
      <c r="CB109" s="22">
        <f t="shared" si="64"/>
        <v>609.14778887966042</v>
      </c>
      <c r="CC109" s="62">
        <f t="shared" si="65"/>
        <v>902.4811222129938</v>
      </c>
      <c r="CD109" s="62">
        <f ca="1">AVERAGE(OFFSET($CC$3,0,0,'Données projet'!$E$12+1,1))-AVERAGE(OFFSET($H$3,0,0,'Données projet'!$E$12+1,1))</f>
        <v>439.06700232017681</v>
      </c>
      <c r="CE109" s="62">
        <f t="shared" si="94"/>
        <v>278.21741231699929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0.53467644455018093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0.53467644455018093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317.99999999999972</v>
      </c>
      <c r="CU109" s="18">
        <f>CT109*VLOOKUP('Données projet'!$B$13,Paramètres!$A$1:$I$89,3,0)*VLOOKUP('Données projet'!$B$13,Paramètres!$A$1:$I$89,5,0)</f>
        <v>233.1575999999998</v>
      </c>
      <c r="CV109" s="14">
        <f t="shared" si="95"/>
        <v>56.964885721091697</v>
      </c>
      <c r="CW109" s="22">
        <f t="shared" si="67"/>
        <v>505.29666263090093</v>
      </c>
      <c r="CX109" s="62">
        <f t="shared" si="68"/>
        <v>798.62999596423424</v>
      </c>
      <c r="CY109" s="62">
        <f ca="1">AVERAGE(OFFSET($CX$3,0,0,'Données projet'!$E$13+1,1))-AVERAGE(OFFSET($H$3,0,0,'Données projet'!$E$13+1,1))</f>
        <v>327.81662150328646</v>
      </c>
      <c r="CZ109" s="62">
        <f t="shared" si="96"/>
        <v>320.24200483294322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0.44428572413753525</v>
      </c>
      <c r="DG109" s="23">
        <f>EXP(-LN(2)/25)*DG108+(1-EXP(-LN(2)/25))/(LN(2)/25)*Calculateur!DB109*Calculateur!DD109*VLOOKUP('Données projet'!$B$13,Paramètres!$A$1:$I$89,3,0)*0.475*44/12</f>
        <v>0</v>
      </c>
      <c r="DH109" s="23">
        <f>EXP(-LN(2)/2)*DH108+(1-EXP(-LN(2)/2))/(LN(2)/2)*DB109*DE109*VLOOKUP('Données projet'!$B$13,Paramètres!$A$1:$I$89,3,0)*0.475*44/12</f>
        <v>0</v>
      </c>
      <c r="DI109" s="24">
        <f t="shared" si="69"/>
        <v>0.44428572413753525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5.6843418860808015E-14</v>
      </c>
      <c r="DP109" s="18">
        <f>DO109*VLOOKUP('Données projet'!$B$14,Paramètres!$A$1:$I$89,3,0)*VLOOKUP('Données projet'!$B$14,Paramètres!$A$1:$I$89,5,0)</f>
        <v>3.7243808037601412E-14</v>
      </c>
      <c r="DQ109" s="14">
        <f t="shared" si="97"/>
        <v>6.2767589361185393E-13</v>
      </c>
      <c r="DR109" s="22">
        <f t="shared" si="70"/>
        <v>1.1580684803728015E-12</v>
      </c>
      <c r="DS109" s="62">
        <f t="shared" si="71"/>
        <v>293.33333333333445</v>
      </c>
      <c r="DT109" s="62">
        <f ca="1">AVERAGE(OFFSET($DS$3,0,0,'Données projet'!$E$14+1,1))-AVERAGE(OFFSET($H$3,0,0,'Données projet'!$E$14+1,1))</f>
        <v>210.08998695869161</v>
      </c>
      <c r="DU109" s="62">
        <f t="shared" si="98"/>
        <v>207.30911916430881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>
        <f>EXP(-LN(2)/35)*EA108+(1-EXP(-LN(2)/35))/(LN(2)/35)*DW109*DX109*VLOOKUP('Données projet'!$B$14,Paramètres!$A$1:$I$89,3,0)*0.475*44/12</f>
        <v>0.10209118767415695</v>
      </c>
      <c r="EB109" s="23">
        <f>EXP(-LN(2)/25)*EB108+(1-EXP(-LN(2)/25))/(LN(2)/25)*Calculateur!DW109*Calculateur!DY109*VLOOKUP('Données projet'!$B$14,Paramètres!$A$1:$I$89,3,0)*0.475*44/12</f>
        <v>0</v>
      </c>
      <c r="EC109" s="23">
        <f>EXP(-LN(2)/2)*EC108+(1-EXP(-LN(2)/2))/(LN(2)/2)*DW109*DZ109*VLOOKUP('Données projet'!$B$14,Paramètres!$A$1:$I$89,3,0)*0.475*44/12</f>
        <v>0</v>
      </c>
      <c r="ED109" s="24">
        <f t="shared" si="72"/>
        <v>0.10209118767415695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5.6843418860808015E-14</v>
      </c>
      <c r="EK109" s="18">
        <f>EJ109*VLOOKUP('Données projet'!$B$15,Paramètres!$A$1:$I$89,3,0)*VLOOKUP('Données projet'!$B$15,Paramètres!$A$1:$I$89,5,0)</f>
        <v>4.4337866711430253E-14</v>
      </c>
      <c r="EL109" s="14">
        <f t="shared" si="99"/>
        <v>7.3222115536967035E-13</v>
      </c>
      <c r="EM109" s="22">
        <f t="shared" si="73"/>
        <v>1.3525069634579169E-12</v>
      </c>
      <c r="EN109" s="62">
        <f t="shared" si="74"/>
        <v>293.33333333333468</v>
      </c>
      <c r="EO109" s="62">
        <f ca="1">AVERAGE(OFFSET($EN$3,0,0,'Données projet'!$E$15+1,1))-AVERAGE(OFFSET($H$3,0,0,'Données projet'!$E$15+1,1))</f>
        <v>288.82868507674738</v>
      </c>
      <c r="EP109" s="62">
        <f t="shared" si="100"/>
        <v>283.48738729114024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>
        <f>EXP(-LN(2)/35)*EV108+(1-EXP(-LN(2)/35))/(LN(2)/35)*ER109*ES109*VLOOKUP('Données projet'!$B$15,Paramètres!$A$1:$I$89,3,0)*0.475*44/12</f>
        <v>0.40256360624836385</v>
      </c>
      <c r="EW109" s="23">
        <f>EXP(-LN(2)/25)*EW108+(1-EXP(-LN(2)/25))/(LN(2)/25)*Calculateur!ER109*Calculateur!ET109*VLOOKUP('Données projet'!$B$15,Paramètres!$A$1:$I$89,3,0)*0.475*44/12</f>
        <v>0</v>
      </c>
      <c r="EX109" s="23">
        <f>EXP(-LN(2)/2)*EX108+(1-EXP(-LN(2)/2))/(LN(2)/2)*ER109*EU109*VLOOKUP('Données projet'!$B$15,Paramètres!$A$1:$I$89,3,0)*0.475*44/12</f>
        <v>0</v>
      </c>
      <c r="EY109" s="24">
        <f t="shared" si="75"/>
        <v>0.40256360624836385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3.4106051316484809E-13</v>
      </c>
      <c r="O110" s="14">
        <f>N110*VLOOKUP('Données projet'!$B$9,Paramètres!$A$1:$I$89,3,0)*VLOOKUP('Données projet'!$B$9,Paramètres!$A$1:$I$89,5,0)</f>
        <v>1.5961632016114892E-13</v>
      </c>
      <c r="P110" s="14">
        <f t="shared" si="87"/>
        <v>2.2708641912150958E-12</v>
      </c>
      <c r="Q110" s="22">
        <f t="shared" si="107"/>
        <v>4.2330868906469593E-12</v>
      </c>
      <c r="R110" s="62">
        <f t="shared" si="55"/>
        <v>293.33333333333752</v>
      </c>
      <c r="S110" s="62">
        <f ca="1">AVERAGE(OFFSET($R$3,0,0,'Données projet'!$E$9+1,1))-AVERAGE(OFFSET($H$3,0,0,'Données projet'!$E$9+1,1))</f>
        <v>317.54276561627643</v>
      </c>
      <c r="T110" s="62">
        <f t="shared" si="88"/>
        <v>238.92443174298893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-1.1368683772161603E-13</v>
      </c>
      <c r="AJ110" s="14">
        <f>AI110*VLOOKUP('Données projet'!$B$10,Paramètres!$A$1:$I$89,3,0)*VLOOKUP('Données projet'!$B$10,Paramètres!$A$1:$I$89,5,0)</f>
        <v>-9.9316821433603781E-14</v>
      </c>
      <c r="AK110" s="14" t="e">
        <f t="shared" si="89"/>
        <v>#NUM!</v>
      </c>
      <c r="AL110" s="22" t="e">
        <f t="shared" si="58"/>
        <v>#NUM!</v>
      </c>
      <c r="AM110" s="62" t="e">
        <f t="shared" si="59"/>
        <v>#NUM!</v>
      </c>
      <c r="AN110" s="62">
        <f ca="1">AVERAGE(OFFSET($AM$3,0,0,'Données projet'!$E$10+1,1))-AVERAGE(OFFSET($H$3,0,0,'Données projet'!$E$10+1,1))</f>
        <v>327.826081588335</v>
      </c>
      <c r="AO110" s="62">
        <f t="shared" si="90"/>
        <v>348.84706693879735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1.3375927811682975</v>
      </c>
      <c r="AV110" s="23">
        <f>EXP(-LN(2)/25)*AV109+(1-EXP(-LN(2)/25))/(LN(2)/25)*Calculateur!AQ110*Calculateur!AS110*VLOOKUP('Données projet'!$B$10,Paramètres!$A$1:$I$89,3,0)*0.475*44/12</f>
        <v>1.6224286838084743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2.960021464976772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5</v>
      </c>
      <c r="BD110" s="13">
        <f>IF('Données projet'!$A$88&gt;35,BD109+BC110-BL109,IF(A110&lt;'Données projet'!$A$88,$BA$205^A110,IF(A110='Données projet'!$A$88,'Données projet'!$B$88,BD109+BC110-BL109)))</f>
        <v>316.99999999999989</v>
      </c>
      <c r="BE110" s="14">
        <f>BD110*VLOOKUP('Données projet'!$B$11,Paramètres!$A$1:$I$89,3,0)*VLOOKUP('Données projet'!$B$11,Paramètres!$A$1:$I$89,5,0)</f>
        <v>321.43799999999987</v>
      </c>
      <c r="BF110" s="14">
        <f t="shared" si="91"/>
        <v>75.652479406660177</v>
      </c>
      <c r="BG110" s="22">
        <f t="shared" si="61"/>
        <v>691.59925163326625</v>
      </c>
      <c r="BH110" s="62">
        <f t="shared" si="62"/>
        <v>984.93258496659951</v>
      </c>
      <c r="BI110" s="62">
        <f ca="1">AVERAGE(OFFSET($BH$3,0,0,'Données projet'!$E$11+1,1))-AVERAGE(OFFSET($H$3,0,0,'Données projet'!$E$11+1,1))</f>
        <v>487.04124684635974</v>
      </c>
      <c r="BJ110" s="62">
        <f t="shared" si="92"/>
        <v>306.61893266146666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0.58745628902661717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0.58745628902661717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5</v>
      </c>
      <c r="BY110" s="13">
        <f>IF('Données projet'!$A$114&gt;35,BY109+BX110-CG109,IF(A110&lt;'Données projet'!$A$114,$BV$205^A110,IF(A110='Données projet'!$A$114,'Données projet'!$B$114,BY109+BX110-CG109)))</f>
        <v>316.99999999999989</v>
      </c>
      <c r="BZ110" s="14">
        <f>BY110*VLOOKUP('Données projet'!$B$12,Paramètres!$A$1:$I$89,3,0)*VLOOKUP('Données projet'!$B$12,Paramètres!$A$1:$I$89,5,0)</f>
        <v>286.82159999999988</v>
      </c>
      <c r="CA110" s="14">
        <f t="shared" si="93"/>
        <v>68.406583284351413</v>
      </c>
      <c r="CB110" s="22">
        <f t="shared" si="64"/>
        <v>618.68908588691181</v>
      </c>
      <c r="CC110" s="62">
        <f t="shared" si="65"/>
        <v>912.02241922024518</v>
      </c>
      <c r="CD110" s="62">
        <f ca="1">AVERAGE(OFFSET($CC$3,0,0,'Données projet'!$E$12+1,1))-AVERAGE(OFFSET($H$3,0,0,'Données projet'!$E$12+1,1))</f>
        <v>439.06700232017681</v>
      </c>
      <c r="CE110" s="62">
        <f t="shared" si="94"/>
        <v>278.21741231699929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0.52419176559298131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0.52419176559298131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317.99999999999972</v>
      </c>
      <c r="CU110" s="18">
        <f>CT110*VLOOKUP('Données projet'!$B$13,Paramètres!$A$1:$I$89,3,0)*VLOOKUP('Données projet'!$B$13,Paramètres!$A$1:$I$89,5,0)</f>
        <v>233.1575999999998</v>
      </c>
      <c r="CV110" s="14">
        <f t="shared" si="95"/>
        <v>56.964885721091697</v>
      </c>
      <c r="CW110" s="22">
        <f t="shared" si="67"/>
        <v>505.29666263090093</v>
      </c>
      <c r="CX110" s="62">
        <f t="shared" si="68"/>
        <v>798.62999596423424</v>
      </c>
      <c r="CY110" s="62">
        <f ca="1">AVERAGE(OFFSET($CX$3,0,0,'Données projet'!$E$13+1,1))-AVERAGE(OFFSET($H$3,0,0,'Données projet'!$E$13+1,1))</f>
        <v>327.81662150328646</v>
      </c>
      <c r="CZ110" s="62">
        <f t="shared" si="96"/>
        <v>320.24200483294322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0.43557355207473214</v>
      </c>
      <c r="DG110" s="23">
        <f>EXP(-LN(2)/25)*DG109+(1-EXP(-LN(2)/25))/(LN(2)/25)*Calculateur!DB110*Calculateur!DD110*VLOOKUP('Données projet'!$B$13,Paramètres!$A$1:$I$89,3,0)*0.475*44/12</f>
        <v>0</v>
      </c>
      <c r="DH110" s="23">
        <f>EXP(-LN(2)/2)*DH109+(1-EXP(-LN(2)/2))/(LN(2)/2)*DB110*DE110*VLOOKUP('Données projet'!$B$13,Paramètres!$A$1:$I$89,3,0)*0.475*44/12</f>
        <v>0</v>
      </c>
      <c r="DI110" s="24">
        <f t="shared" si="69"/>
        <v>0.43557355207473214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5.6843418860808015E-14</v>
      </c>
      <c r="DP110" s="18">
        <f>DO110*VLOOKUP('Données projet'!$B$14,Paramètres!$A$1:$I$89,3,0)*VLOOKUP('Données projet'!$B$14,Paramètres!$A$1:$I$89,5,0)</f>
        <v>3.7243808037601412E-14</v>
      </c>
      <c r="DQ110" s="14">
        <f t="shared" si="97"/>
        <v>6.2767589361185393E-13</v>
      </c>
      <c r="DR110" s="22">
        <f t="shared" si="70"/>
        <v>1.1580684803728015E-12</v>
      </c>
      <c r="DS110" s="62">
        <f t="shared" si="71"/>
        <v>293.33333333333445</v>
      </c>
      <c r="DT110" s="62">
        <f ca="1">AVERAGE(OFFSET($DS$3,0,0,'Données projet'!$E$14+1,1))-AVERAGE(OFFSET($H$3,0,0,'Données projet'!$E$14+1,1))</f>
        <v>210.08998695869161</v>
      </c>
      <c r="DU110" s="62">
        <f t="shared" si="98"/>
        <v>207.30911916430881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>
        <f>EXP(-LN(2)/35)*EA109+(1-EXP(-LN(2)/35))/(LN(2)/35)*DW110*DX110*VLOOKUP('Données projet'!$B$14,Paramètres!$A$1:$I$89,3,0)*0.475*44/12</f>
        <v>0.10008924175334262</v>
      </c>
      <c r="EB110" s="23">
        <f>EXP(-LN(2)/25)*EB109+(1-EXP(-LN(2)/25))/(LN(2)/25)*Calculateur!DW110*Calculateur!DY110*VLOOKUP('Données projet'!$B$14,Paramètres!$A$1:$I$89,3,0)*0.475*44/12</f>
        <v>0</v>
      </c>
      <c r="EC110" s="23">
        <f>EXP(-LN(2)/2)*EC109+(1-EXP(-LN(2)/2))/(LN(2)/2)*DW110*DZ110*VLOOKUP('Données projet'!$B$14,Paramètres!$A$1:$I$89,3,0)*0.475*44/12</f>
        <v>0</v>
      </c>
      <c r="ED110" s="24">
        <f t="shared" si="72"/>
        <v>0.10008924175334262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5.6843418860808015E-14</v>
      </c>
      <c r="EK110" s="18">
        <f>EJ110*VLOOKUP('Données projet'!$B$15,Paramètres!$A$1:$I$89,3,0)*VLOOKUP('Données projet'!$B$15,Paramètres!$A$1:$I$89,5,0)</f>
        <v>4.4337866711430253E-14</v>
      </c>
      <c r="EL110" s="14">
        <f t="shared" si="99"/>
        <v>7.3222115536967035E-13</v>
      </c>
      <c r="EM110" s="22">
        <f t="shared" si="73"/>
        <v>1.3525069634579169E-12</v>
      </c>
      <c r="EN110" s="62">
        <f t="shared" si="74"/>
        <v>293.33333333333468</v>
      </c>
      <c r="EO110" s="62">
        <f ca="1">AVERAGE(OFFSET($EN$3,0,0,'Données projet'!$E$15+1,1))-AVERAGE(OFFSET($H$3,0,0,'Données projet'!$E$15+1,1))</f>
        <v>288.82868507674738</v>
      </c>
      <c r="EP110" s="62">
        <f t="shared" si="100"/>
        <v>283.48738729114024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>
        <f>EXP(-LN(2)/35)*EV109+(1-EXP(-LN(2)/35))/(LN(2)/35)*ER110*ES110*VLOOKUP('Données projet'!$B$15,Paramètres!$A$1:$I$89,3,0)*0.475*44/12</f>
        <v>0.39466957946938824</v>
      </c>
      <c r="EW110" s="23">
        <f>EXP(-LN(2)/25)*EW109+(1-EXP(-LN(2)/25))/(LN(2)/25)*Calculateur!ER110*Calculateur!ET110*VLOOKUP('Données projet'!$B$15,Paramètres!$A$1:$I$89,3,0)*0.475*44/12</f>
        <v>0</v>
      </c>
      <c r="EX110" s="23">
        <f>EXP(-LN(2)/2)*EX109+(1-EXP(-LN(2)/2))/(LN(2)/2)*ER110*EU110*VLOOKUP('Données projet'!$B$15,Paramètres!$A$1:$I$89,3,0)*0.475*44/12</f>
        <v>0</v>
      </c>
      <c r="EY110" s="24">
        <f t="shared" si="75"/>
        <v>0.39466957946938824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3.4106051316484809E-13</v>
      </c>
      <c r="O111" s="14">
        <f>N111*VLOOKUP('Données projet'!$B$9,Paramètres!$A$1:$I$89,3,0)*VLOOKUP('Données projet'!$B$9,Paramètres!$A$1:$I$89,5,0)</f>
        <v>1.5961632016114892E-13</v>
      </c>
      <c r="P111" s="14">
        <f t="shared" si="87"/>
        <v>2.2708641912150958E-12</v>
      </c>
      <c r="Q111" s="22">
        <f t="shared" si="107"/>
        <v>4.2330868906469593E-12</v>
      </c>
      <c r="R111" s="62">
        <f t="shared" si="55"/>
        <v>293.33333333333752</v>
      </c>
      <c r="S111" s="62">
        <f ca="1">AVERAGE(OFFSET($R$3,0,0,'Données projet'!$E$9+1,1))-AVERAGE(OFFSET($H$3,0,0,'Données projet'!$E$9+1,1))</f>
        <v>317.54276561627643</v>
      </c>
      <c r="T111" s="62">
        <f t="shared" si="88"/>
        <v>238.92443174298893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-1.1368683772161603E-13</v>
      </c>
      <c r="AJ111" s="14">
        <f>AI111*VLOOKUP('Données projet'!$B$10,Paramètres!$A$1:$I$89,3,0)*VLOOKUP('Données projet'!$B$10,Paramètres!$A$1:$I$89,5,0)</f>
        <v>-9.9316821433603781E-14</v>
      </c>
      <c r="AK111" s="14" t="e">
        <f t="shared" si="89"/>
        <v>#NUM!</v>
      </c>
      <c r="AL111" s="22" t="e">
        <f t="shared" si="58"/>
        <v>#NUM!</v>
      </c>
      <c r="AM111" s="62" t="e">
        <f t="shared" si="59"/>
        <v>#NUM!</v>
      </c>
      <c r="AN111" s="62">
        <f ca="1">AVERAGE(OFFSET($AM$3,0,0,'Données projet'!$E$10+1,1))-AVERAGE(OFFSET($H$3,0,0,'Données projet'!$E$10+1,1))</f>
        <v>327.826081588335</v>
      </c>
      <c r="AO111" s="62">
        <f t="shared" si="90"/>
        <v>348.84706693879735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1.3113634025806251</v>
      </c>
      <c r="AV111" s="23">
        <f>EXP(-LN(2)/25)*AV110+(1-EXP(-LN(2)/25))/(LN(2)/25)*Calculateur!AQ111*Calculateur!AS111*VLOOKUP('Données projet'!$B$10,Paramètres!$A$1:$I$89,3,0)*0.475*44/12</f>
        <v>1.5780632861299151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2.8894266887105404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5</v>
      </c>
      <c r="BD111" s="13">
        <f>IF('Données projet'!$A$88&gt;35,BD110+BC111-BL110,IF(A111&lt;'Données projet'!$A$88,$BA$205^A111,IF(A111='Données projet'!$A$88,'Données projet'!$B$88,BD110+BC111-BL110)))</f>
        <v>321.99999999999989</v>
      </c>
      <c r="BE111" s="14">
        <f>BD111*VLOOKUP('Données projet'!$B$11,Paramètres!$A$1:$I$89,3,0)*VLOOKUP('Données projet'!$B$11,Paramètres!$A$1:$I$89,5,0)</f>
        <v>326.50799999999987</v>
      </c>
      <c r="BF111" s="14">
        <f t="shared" si="91"/>
        <v>76.705878841344258</v>
      </c>
      <c r="BG111" s="22">
        <f t="shared" si="61"/>
        <v>702.26417231534106</v>
      </c>
      <c r="BH111" s="62">
        <f t="shared" si="62"/>
        <v>995.59750564867431</v>
      </c>
      <c r="BI111" s="62">
        <f ca="1">AVERAGE(OFFSET($BH$3,0,0,'Données projet'!$E$11+1,1))-AVERAGE(OFFSET($H$3,0,0,'Données projet'!$E$11+1,1))</f>
        <v>487.04124684635974</v>
      </c>
      <c r="BJ111" s="62">
        <f t="shared" si="92"/>
        <v>306.61893266146666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0.57593662951176106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0.57593662951176106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5</v>
      </c>
      <c r="BY111" s="13">
        <f>IF('Données projet'!$A$114&gt;35,BY110+BX111-CG110,IF(A111&lt;'Données projet'!$A$114,$BV$205^A111,IF(A111='Données projet'!$A$114,'Données projet'!$B$114,BY110+BX111-CG110)))</f>
        <v>321.99999999999989</v>
      </c>
      <c r="BZ111" s="14">
        <f>BY111*VLOOKUP('Données projet'!$B$12,Paramètres!$A$1:$I$89,3,0)*VLOOKUP('Données projet'!$B$12,Paramètres!$A$1:$I$89,5,0)</f>
        <v>291.34559999999993</v>
      </c>
      <c r="CA111" s="14">
        <f t="shared" si="93"/>
        <v>69.359089490698707</v>
      </c>
      <c r="CB111" s="22">
        <f t="shared" si="64"/>
        <v>628.22733419630015</v>
      </c>
      <c r="CC111" s="62">
        <f t="shared" si="65"/>
        <v>921.56066752963352</v>
      </c>
      <c r="CD111" s="62">
        <f ca="1">AVERAGE(OFFSET($CC$3,0,0,'Données projet'!$E$12+1,1))-AVERAGE(OFFSET($H$3,0,0,'Données projet'!$E$12+1,1))</f>
        <v>439.06700232017681</v>
      </c>
      <c r="CE111" s="62">
        <f t="shared" si="94"/>
        <v>278.21741231699929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0.51391268479510965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0.51391268479510965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317.99999999999972</v>
      </c>
      <c r="CU111" s="18">
        <f>CT111*VLOOKUP('Données projet'!$B$13,Paramètres!$A$1:$I$89,3,0)*VLOOKUP('Données projet'!$B$13,Paramètres!$A$1:$I$89,5,0)</f>
        <v>233.1575999999998</v>
      </c>
      <c r="CV111" s="14">
        <f t="shared" si="95"/>
        <v>56.964885721091697</v>
      </c>
      <c r="CW111" s="22">
        <f t="shared" si="67"/>
        <v>505.29666263090093</v>
      </c>
      <c r="CX111" s="62">
        <f t="shared" si="68"/>
        <v>798.62999596423424</v>
      </c>
      <c r="CY111" s="62">
        <f ca="1">AVERAGE(OFFSET($CX$3,0,0,'Données projet'!$E$13+1,1))-AVERAGE(OFFSET($H$3,0,0,'Données projet'!$E$13+1,1))</f>
        <v>327.81662150328646</v>
      </c>
      <c r="CZ111" s="62">
        <f t="shared" si="96"/>
        <v>320.24200483294322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0.42703222039218031</v>
      </c>
      <c r="DG111" s="23">
        <f>EXP(-LN(2)/25)*DG110+(1-EXP(-LN(2)/25))/(LN(2)/25)*Calculateur!DB111*Calculateur!DD111*VLOOKUP('Données projet'!$B$13,Paramètres!$A$1:$I$89,3,0)*0.475*44/12</f>
        <v>0</v>
      </c>
      <c r="DH111" s="23">
        <f>EXP(-LN(2)/2)*DH110+(1-EXP(-LN(2)/2))/(LN(2)/2)*DB111*DE111*VLOOKUP('Données projet'!$B$13,Paramètres!$A$1:$I$89,3,0)*0.475*44/12</f>
        <v>0</v>
      </c>
      <c r="DI111" s="24">
        <f t="shared" si="69"/>
        <v>0.42703222039218031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5.6843418860808015E-14</v>
      </c>
      <c r="DP111" s="18">
        <f>DO111*VLOOKUP('Données projet'!$B$14,Paramètres!$A$1:$I$89,3,0)*VLOOKUP('Données projet'!$B$14,Paramètres!$A$1:$I$89,5,0)</f>
        <v>3.7243808037601412E-14</v>
      </c>
      <c r="DQ111" s="14">
        <f t="shared" si="97"/>
        <v>6.2767589361185393E-13</v>
      </c>
      <c r="DR111" s="22">
        <f t="shared" si="70"/>
        <v>1.1580684803728015E-12</v>
      </c>
      <c r="DS111" s="62">
        <f t="shared" si="71"/>
        <v>293.33333333333445</v>
      </c>
      <c r="DT111" s="62">
        <f ca="1">AVERAGE(OFFSET($DS$3,0,0,'Données projet'!$E$14+1,1))-AVERAGE(OFFSET($H$3,0,0,'Données projet'!$E$14+1,1))</f>
        <v>210.08998695869161</v>
      </c>
      <c r="DU111" s="62">
        <f t="shared" si="98"/>
        <v>207.30911916430881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>
        <f>EXP(-LN(2)/35)*EA110+(1-EXP(-LN(2)/35))/(LN(2)/35)*DW111*DX111*VLOOKUP('Données projet'!$B$14,Paramètres!$A$1:$I$89,3,0)*0.475*44/12</f>
        <v>9.8126552770969017E-2</v>
      </c>
      <c r="EB111" s="23">
        <f>EXP(-LN(2)/25)*EB110+(1-EXP(-LN(2)/25))/(LN(2)/25)*Calculateur!DW111*Calculateur!DY111*VLOOKUP('Données projet'!$B$14,Paramètres!$A$1:$I$89,3,0)*0.475*44/12</f>
        <v>0</v>
      </c>
      <c r="EC111" s="23">
        <f>EXP(-LN(2)/2)*EC110+(1-EXP(-LN(2)/2))/(LN(2)/2)*DW111*DZ111*VLOOKUP('Données projet'!$B$14,Paramètres!$A$1:$I$89,3,0)*0.475*44/12</f>
        <v>0</v>
      </c>
      <c r="ED111" s="24">
        <f t="shared" si="72"/>
        <v>9.8126552770969017E-2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5.6843418860808015E-14</v>
      </c>
      <c r="EK111" s="18">
        <f>EJ111*VLOOKUP('Données projet'!$B$15,Paramètres!$A$1:$I$89,3,0)*VLOOKUP('Données projet'!$B$15,Paramètres!$A$1:$I$89,5,0)</f>
        <v>4.4337866711430253E-14</v>
      </c>
      <c r="EL111" s="14">
        <f t="shared" si="99"/>
        <v>7.3222115536967035E-13</v>
      </c>
      <c r="EM111" s="22">
        <f t="shared" si="73"/>
        <v>1.3525069634579169E-12</v>
      </c>
      <c r="EN111" s="62">
        <f t="shared" si="74"/>
        <v>293.33333333333468</v>
      </c>
      <c r="EO111" s="62">
        <f ca="1">AVERAGE(OFFSET($EN$3,0,0,'Données projet'!$E$15+1,1))-AVERAGE(OFFSET($H$3,0,0,'Données projet'!$E$15+1,1))</f>
        <v>288.82868507674738</v>
      </c>
      <c r="EP111" s="62">
        <f t="shared" si="100"/>
        <v>283.48738729114024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>
        <f>EXP(-LN(2)/35)*EV110+(1-EXP(-LN(2)/35))/(LN(2)/35)*ER111*ES111*VLOOKUP('Données projet'!$B$15,Paramètres!$A$1:$I$89,3,0)*0.475*44/12</f>
        <v>0.38693034974066742</v>
      </c>
      <c r="EW111" s="23">
        <f>EXP(-LN(2)/25)*EW110+(1-EXP(-LN(2)/25))/(LN(2)/25)*Calculateur!ER111*Calculateur!ET111*VLOOKUP('Données projet'!$B$15,Paramètres!$A$1:$I$89,3,0)*0.475*44/12</f>
        <v>0</v>
      </c>
      <c r="EX111" s="23">
        <f>EXP(-LN(2)/2)*EX110+(1-EXP(-LN(2)/2))/(LN(2)/2)*ER111*EU111*VLOOKUP('Données projet'!$B$15,Paramètres!$A$1:$I$89,3,0)*0.475*44/12</f>
        <v>0</v>
      </c>
      <c r="EY111" s="24">
        <f t="shared" si="75"/>
        <v>0.38693034974066742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3.4106051316484809E-13</v>
      </c>
      <c r="O112" s="14">
        <f>N112*VLOOKUP('Données projet'!$B$9,Paramètres!$A$1:$I$89,3,0)*VLOOKUP('Données projet'!$B$9,Paramètres!$A$1:$I$89,5,0)</f>
        <v>1.5961632016114892E-13</v>
      </c>
      <c r="P112" s="14">
        <f t="shared" si="87"/>
        <v>2.2708641912150958E-12</v>
      </c>
      <c r="Q112" s="22">
        <f t="shared" si="107"/>
        <v>4.2330868906469593E-12</v>
      </c>
      <c r="R112" s="62">
        <f t="shared" si="55"/>
        <v>293.33333333333752</v>
      </c>
      <c r="S112" s="62">
        <f ca="1">AVERAGE(OFFSET($R$3,0,0,'Données projet'!$E$9+1,1))-AVERAGE(OFFSET($H$3,0,0,'Données projet'!$E$9+1,1))</f>
        <v>317.54276561627643</v>
      </c>
      <c r="T112" s="62">
        <f t="shared" si="88"/>
        <v>238.92443174298893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-1.1368683772161603E-13</v>
      </c>
      <c r="AJ112" s="14">
        <f>AI112*VLOOKUP('Données projet'!$B$10,Paramètres!$A$1:$I$89,3,0)*VLOOKUP('Données projet'!$B$10,Paramètres!$A$1:$I$89,5,0)</f>
        <v>-9.9316821433603781E-14</v>
      </c>
      <c r="AK112" s="14" t="e">
        <f t="shared" si="89"/>
        <v>#NUM!</v>
      </c>
      <c r="AL112" s="22" t="e">
        <f t="shared" si="58"/>
        <v>#NUM!</v>
      </c>
      <c r="AM112" s="62" t="e">
        <f t="shared" si="59"/>
        <v>#NUM!</v>
      </c>
      <c r="AN112" s="62">
        <f ca="1">AVERAGE(OFFSET($AM$3,0,0,'Données projet'!$E$10+1,1))-AVERAGE(OFFSET($H$3,0,0,'Données projet'!$E$10+1,1))</f>
        <v>327.826081588335</v>
      </c>
      <c r="AO112" s="62">
        <f t="shared" si="90"/>
        <v>348.84706693879735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1.2856483661087157</v>
      </c>
      <c r="AV112" s="23">
        <f>EXP(-LN(2)/25)*AV111+(1-EXP(-LN(2)/25))/(LN(2)/25)*Calculateur!AQ112*Calculateur!AS112*VLOOKUP('Données projet'!$B$10,Paramètres!$A$1:$I$89,3,0)*0.475*44/12</f>
        <v>1.534911062583951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2.8205594286926665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5</v>
      </c>
      <c r="BD112" s="13">
        <f>IF('Données projet'!$A$88&gt;35,BD111+BC112-BL111,IF(A112&lt;'Données projet'!$A$88,$BA$205^A112,IF(A112='Données projet'!$A$88,'Données projet'!$B$88,BD111+BC112-BL111)))</f>
        <v>326.99999999999989</v>
      </c>
      <c r="BE112" s="14">
        <f>BD112*VLOOKUP('Données projet'!$B$11,Paramètres!$A$1:$I$89,3,0)*VLOOKUP('Données projet'!$B$11,Paramètres!$A$1:$I$89,5,0)</f>
        <v>331.57799999999992</v>
      </c>
      <c r="BF112" s="14">
        <f t="shared" si="91"/>
        <v>77.75737594442586</v>
      </c>
      <c r="BG112" s="22">
        <f t="shared" si="61"/>
        <v>712.92577976987479</v>
      </c>
      <c r="BH112" s="62">
        <f t="shared" si="62"/>
        <v>1006.2591131032082</v>
      </c>
      <c r="BI112" s="62">
        <f ca="1">AVERAGE(OFFSET($BH$3,0,0,'Données projet'!$E$11+1,1))-AVERAGE(OFFSET($H$3,0,0,'Données projet'!$E$11+1,1))</f>
        <v>487.04124684635974</v>
      </c>
      <c r="BJ112" s="62">
        <f t="shared" si="92"/>
        <v>306.61893266146666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0.56464286349369275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0.56464286349369275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5</v>
      </c>
      <c r="BY112" s="13">
        <f>IF('Données projet'!$A$114&gt;35,BY111+BX112-CG111,IF(A112&lt;'Données projet'!$A$114,$BV$205^A112,IF(A112='Données projet'!$A$114,'Données projet'!$B$114,BY111+BX112-CG111)))</f>
        <v>326.99999999999989</v>
      </c>
      <c r="BZ112" s="14">
        <f>BY112*VLOOKUP('Données projet'!$B$12,Paramètres!$A$1:$I$89,3,0)*VLOOKUP('Données projet'!$B$12,Paramètres!$A$1:$I$89,5,0)</f>
        <v>295.86959999999988</v>
      </c>
      <c r="CA112" s="14">
        <f t="shared" si="93"/>
        <v>70.309875568291218</v>
      </c>
      <c r="CB112" s="22">
        <f t="shared" si="64"/>
        <v>637.76258661477357</v>
      </c>
      <c r="CC112" s="62">
        <f t="shared" si="65"/>
        <v>931.09591994810694</v>
      </c>
      <c r="CD112" s="62">
        <f ca="1">AVERAGE(OFFSET($CC$3,0,0,'Données projet'!$E$12+1,1))-AVERAGE(OFFSET($H$3,0,0,'Données projet'!$E$12+1,1))</f>
        <v>439.06700232017681</v>
      </c>
      <c r="CE112" s="62">
        <f t="shared" si="94"/>
        <v>278.21741231699929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0.50383517050206406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0.50383517050206406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317.99999999999972</v>
      </c>
      <c r="CU112" s="18">
        <f>CT112*VLOOKUP('Données projet'!$B$13,Paramètres!$A$1:$I$89,3,0)*VLOOKUP('Données projet'!$B$13,Paramètres!$A$1:$I$89,5,0)</f>
        <v>233.1575999999998</v>
      </c>
      <c r="CV112" s="14">
        <f t="shared" si="95"/>
        <v>56.964885721091697</v>
      </c>
      <c r="CW112" s="22">
        <f t="shared" si="67"/>
        <v>505.29666263090093</v>
      </c>
      <c r="CX112" s="62">
        <f t="shared" si="68"/>
        <v>798.62999596423424</v>
      </c>
      <c r="CY112" s="62">
        <f ca="1">AVERAGE(OFFSET($CX$3,0,0,'Données projet'!$E$13+1,1))-AVERAGE(OFFSET($H$3,0,0,'Données projet'!$E$13+1,1))</f>
        <v>327.81662150328646</v>
      </c>
      <c r="CZ112" s="62">
        <f t="shared" si="96"/>
        <v>320.24200483294322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0.41865837901422542</v>
      </c>
      <c r="DG112" s="23">
        <f>EXP(-LN(2)/25)*DG111+(1-EXP(-LN(2)/25))/(LN(2)/25)*Calculateur!DB112*Calculateur!DD112*VLOOKUP('Données projet'!$B$13,Paramètres!$A$1:$I$89,3,0)*0.475*44/12</f>
        <v>0</v>
      </c>
      <c r="DH112" s="23">
        <f>EXP(-LN(2)/2)*DH111+(1-EXP(-LN(2)/2))/(LN(2)/2)*DB112*DE112*VLOOKUP('Données projet'!$B$13,Paramètres!$A$1:$I$89,3,0)*0.475*44/12</f>
        <v>0</v>
      </c>
      <c r="DI112" s="24">
        <f t="shared" si="69"/>
        <v>0.41865837901422542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5.6843418860808015E-14</v>
      </c>
      <c r="DP112" s="18">
        <f>DO112*VLOOKUP('Données projet'!$B$14,Paramètres!$A$1:$I$89,3,0)*VLOOKUP('Données projet'!$B$14,Paramètres!$A$1:$I$89,5,0)</f>
        <v>3.7243808037601412E-14</v>
      </c>
      <c r="DQ112" s="14">
        <f t="shared" si="97"/>
        <v>6.2767589361185393E-13</v>
      </c>
      <c r="DR112" s="22">
        <f t="shared" si="70"/>
        <v>1.1580684803728015E-12</v>
      </c>
      <c r="DS112" s="62">
        <f t="shared" si="71"/>
        <v>293.33333333333445</v>
      </c>
      <c r="DT112" s="62">
        <f ca="1">AVERAGE(OFFSET($DS$3,0,0,'Données projet'!$E$14+1,1))-AVERAGE(OFFSET($H$3,0,0,'Données projet'!$E$14+1,1))</f>
        <v>210.08998695869161</v>
      </c>
      <c r="DU112" s="62">
        <f t="shared" si="98"/>
        <v>207.30911916430881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>
        <f>EXP(-LN(2)/35)*EA111+(1-EXP(-LN(2)/35))/(LN(2)/35)*DW112*DX112*VLOOKUP('Données projet'!$B$14,Paramètres!$A$1:$I$89,3,0)*0.475*44/12</f>
        <v>9.6202350922417676E-2</v>
      </c>
      <c r="EB112" s="23">
        <f>EXP(-LN(2)/25)*EB111+(1-EXP(-LN(2)/25))/(LN(2)/25)*Calculateur!DW112*Calculateur!DY112*VLOOKUP('Données projet'!$B$14,Paramètres!$A$1:$I$89,3,0)*0.475*44/12</f>
        <v>0</v>
      </c>
      <c r="EC112" s="23">
        <f>EXP(-LN(2)/2)*EC111+(1-EXP(-LN(2)/2))/(LN(2)/2)*DW112*DZ112*VLOOKUP('Données projet'!$B$14,Paramètres!$A$1:$I$89,3,0)*0.475*44/12</f>
        <v>0</v>
      </c>
      <c r="ED112" s="24">
        <f t="shared" si="72"/>
        <v>9.6202350922417676E-2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5.6843418860808015E-14</v>
      </c>
      <c r="EK112" s="18">
        <f>EJ112*VLOOKUP('Données projet'!$B$15,Paramètres!$A$1:$I$89,3,0)*VLOOKUP('Données projet'!$B$15,Paramètres!$A$1:$I$89,5,0)</f>
        <v>4.4337866711430253E-14</v>
      </c>
      <c r="EL112" s="14">
        <f t="shared" si="99"/>
        <v>7.3222115536967035E-13</v>
      </c>
      <c r="EM112" s="22">
        <f t="shared" si="73"/>
        <v>1.3525069634579169E-12</v>
      </c>
      <c r="EN112" s="62">
        <f t="shared" si="74"/>
        <v>293.33333333333468</v>
      </c>
      <c r="EO112" s="62">
        <f ca="1">AVERAGE(OFFSET($EN$3,0,0,'Données projet'!$E$15+1,1))-AVERAGE(OFFSET($H$3,0,0,'Données projet'!$E$15+1,1))</f>
        <v>288.82868507674738</v>
      </c>
      <c r="EP112" s="62">
        <f t="shared" si="100"/>
        <v>283.48738729114024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>
        <f>EXP(-LN(2)/35)*EV111+(1-EXP(-LN(2)/35))/(LN(2)/35)*ER112*ES112*VLOOKUP('Données projet'!$B$15,Paramètres!$A$1:$I$89,3,0)*0.475*44/12</f>
        <v>0.37934288158646279</v>
      </c>
      <c r="EW112" s="23">
        <f>EXP(-LN(2)/25)*EW111+(1-EXP(-LN(2)/25))/(LN(2)/25)*Calculateur!ER112*Calculateur!ET112*VLOOKUP('Données projet'!$B$15,Paramètres!$A$1:$I$89,3,0)*0.475*44/12</f>
        <v>0</v>
      </c>
      <c r="EX112" s="23">
        <f>EXP(-LN(2)/2)*EX111+(1-EXP(-LN(2)/2))/(LN(2)/2)*ER112*EU112*VLOOKUP('Données projet'!$B$15,Paramètres!$A$1:$I$89,3,0)*0.475*44/12</f>
        <v>0</v>
      </c>
      <c r="EY112" s="24">
        <f t="shared" si="75"/>
        <v>0.37934288158646279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3.4106051316484809E-13</v>
      </c>
      <c r="O113" s="14">
        <f>N113*VLOOKUP('Données projet'!$B$9,Paramètres!$A$1:$I$89,3,0)*VLOOKUP('Données projet'!$B$9,Paramètres!$A$1:$I$89,5,0)</f>
        <v>1.5961632016114892E-13</v>
      </c>
      <c r="P113" s="14">
        <f t="shared" si="87"/>
        <v>2.2708641912150958E-12</v>
      </c>
      <c r="Q113" s="22">
        <f t="shared" si="107"/>
        <v>4.2330868906469593E-12</v>
      </c>
      <c r="R113" s="62">
        <f t="shared" si="55"/>
        <v>293.33333333333752</v>
      </c>
      <c r="S113" s="62">
        <f ca="1">AVERAGE(OFFSET($R$3,0,0,'Données projet'!$E$9+1,1))-AVERAGE(OFFSET($H$3,0,0,'Données projet'!$E$9+1,1))</f>
        <v>317.54276561627643</v>
      </c>
      <c r="T113" s="62">
        <f t="shared" si="88"/>
        <v>238.92443174298893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-1.1368683772161603E-13</v>
      </c>
      <c r="AJ113" s="14">
        <f>AI113*VLOOKUP('Données projet'!$B$10,Paramètres!$A$1:$I$89,3,0)*VLOOKUP('Données projet'!$B$10,Paramètres!$A$1:$I$89,5,0)</f>
        <v>-9.9316821433603781E-14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327.826081588335</v>
      </c>
      <c r="AO113" s="62">
        <f t="shared" si="90"/>
        <v>348.84706693879735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1.2604375858173968</v>
      </c>
      <c r="AV113" s="23">
        <f>EXP(-LN(2)/25)*AV112+(1-EXP(-LN(2)/25))/(LN(2)/25)*Calculateur!AQ113*Calculateur!AS113*VLOOKUP('Données projet'!$B$10,Paramètres!$A$1:$I$89,3,0)*0.475*44/12</f>
        <v>1.4929388388601281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2.753376424677525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>
        <f>VLOOKUP(A113,'Données projet'!$A$87:$I$107,2,0)</f>
        <v>332</v>
      </c>
      <c r="BB113" s="13">
        <f>VLOOKUP(A113,'Données projet'!$A$87:$I$107,9,0)</f>
        <v>5</v>
      </c>
      <c r="BC113" s="13">
        <f t="array" ref="BC113">INDEX(BB:BB,MIN(IF(ISNUMBER(BB113:BB309),ROW(BB113:BB309),"")))</f>
        <v>5</v>
      </c>
      <c r="BD113" s="13">
        <f>IF('Données projet'!$A$88&gt;35,BD112+BC113-BL112,IF(A113&lt;'Données projet'!$A$88,$BA$205^A113,IF(A113='Données projet'!$A$88,'Données projet'!$B$88,BD112+BC113-BL112)))</f>
        <v>331.99999999999989</v>
      </c>
      <c r="BE113" s="14">
        <f>BD113*VLOOKUP('Données projet'!$B$11,Paramètres!$A$1:$I$89,3,0)*VLOOKUP('Données projet'!$B$11,Paramètres!$A$1:$I$89,5,0)</f>
        <v>336.64799999999991</v>
      </c>
      <c r="BF113" s="14">
        <f t="shared" si="91"/>
        <v>78.807003163010307</v>
      </c>
      <c r="BG113" s="22">
        <f t="shared" si="61"/>
        <v>723.58413050890942</v>
      </c>
      <c r="BH113" s="62">
        <f t="shared" si="62"/>
        <v>1016.9174638422428</v>
      </c>
      <c r="BI113" s="62">
        <f ca="1">AVERAGE(OFFSET($BH$3,0,0,'Données projet'!$E$11+1,1))-AVERAGE(OFFSET($H$3,0,0,'Données projet'!$E$11+1,1))</f>
        <v>487.04124684635974</v>
      </c>
      <c r="BJ113" s="62">
        <f t="shared" si="92"/>
        <v>306.61893266146666</v>
      </c>
      <c r="BK113" s="16">
        <f>IF(ISNA(VLOOKUP(A113,'Données projet'!$A$87:$I$107,3,0)),0,VLOOKUP(A113,'Données projet'!$A$87:$I$107,3,0))</f>
        <v>19</v>
      </c>
      <c r="BL113" s="16">
        <f>IF(ISNA(VLOOKUP(A113,'Données projet'!$A$87:$I$107,4,0)),0,VLOOKUP(A113,'Données projet'!$A$87:$I$107,4,0))</f>
        <v>25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0.55357056133872162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0.55357056133872162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>
        <f>VLOOKUP(A113,'Données projet'!$A$113:$I$133,2,0)</f>
        <v>332</v>
      </c>
      <c r="BW113" s="13">
        <f>VLOOKUP(A113,'Données projet'!$A$113:$I$133,9,0)</f>
        <v>5</v>
      </c>
      <c r="BX113" s="13">
        <f t="array" ref="BX113">INDEX(BW:BW,MIN(IF(ISNUMBER(BW113:BW309),ROW(BW113:BW309),"")))</f>
        <v>5</v>
      </c>
      <c r="BY113" s="13">
        <f>IF('Données projet'!$A$114&gt;35,BY112+BX113-CG112,IF(A113&lt;'Données projet'!$A$114,$BV$205^A113,IF(A113='Données projet'!$A$114,'Données projet'!$B$114,BY112+BX113-CG112)))</f>
        <v>331.99999999999989</v>
      </c>
      <c r="BZ113" s="14">
        <f>BY113*VLOOKUP('Données projet'!$B$12,Paramètres!$A$1:$I$89,3,0)*VLOOKUP('Données projet'!$B$12,Paramètres!$A$1:$I$89,5,0)</f>
        <v>300.39359999999988</v>
      </c>
      <c r="CA113" s="14">
        <f t="shared" si="93"/>
        <v>71.258970856492667</v>
      </c>
      <c r="CB113" s="22">
        <f t="shared" si="64"/>
        <v>647.29489424172459</v>
      </c>
      <c r="CC113" s="62">
        <f t="shared" si="65"/>
        <v>940.62822757505796</v>
      </c>
      <c r="CD113" s="62">
        <f ca="1">AVERAGE(OFFSET($CC$3,0,0,'Données projet'!$E$12+1,1))-AVERAGE(OFFSET($H$3,0,0,'Données projet'!$E$12+1,1))</f>
        <v>439.06700232017681</v>
      </c>
      <c r="CE113" s="62">
        <f t="shared" si="94"/>
        <v>278.21741231699929</v>
      </c>
      <c r="CF113" s="16">
        <f>IF(ISNA(VLOOKUP(A113,'Données projet'!$A$113:$I$133,3,0)),0,VLOOKUP(A113,'Données projet'!$A$113:$I$133,3,0))</f>
        <v>19</v>
      </c>
      <c r="CG113" s="16">
        <f>IF(ISNA(VLOOKUP(A113,'Données projet'!$A$113:$I$133,4,0)),0,VLOOKUP(A113,'Données projet'!$A$113:$I$133,4,0))</f>
        <v>25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0.49395527011762835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0.49395527011762835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317.99999999999972</v>
      </c>
      <c r="CU113" s="18">
        <f>CT113*VLOOKUP('Données projet'!$B$13,Paramètres!$A$1:$I$89,3,0)*VLOOKUP('Données projet'!$B$13,Paramètres!$A$1:$I$89,5,0)</f>
        <v>233.1575999999998</v>
      </c>
      <c r="CV113" s="14">
        <f t="shared" si="95"/>
        <v>56.964885721091697</v>
      </c>
      <c r="CW113" s="22">
        <f t="shared" si="67"/>
        <v>505.29666263090093</v>
      </c>
      <c r="CX113" s="62">
        <f t="shared" si="68"/>
        <v>798.62999596423424</v>
      </c>
      <c r="CY113" s="62">
        <f ca="1">AVERAGE(OFFSET($CX$3,0,0,'Données projet'!$E$13+1,1))-AVERAGE(OFFSET($H$3,0,0,'Données projet'!$E$13+1,1))</f>
        <v>327.81662150328646</v>
      </c>
      <c r="CZ113" s="62">
        <f t="shared" si="96"/>
        <v>320.24200483294322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0.41044874355815331</v>
      </c>
      <c r="DG113" s="23">
        <f>EXP(-LN(2)/25)*DG112+(1-EXP(-LN(2)/25))/(LN(2)/25)*Calculateur!DB113*Calculateur!DD113*VLOOKUP('Données projet'!$B$13,Paramètres!$A$1:$I$89,3,0)*0.475*44/12</f>
        <v>0</v>
      </c>
      <c r="DH113" s="23">
        <f>EXP(-LN(2)/2)*DH112+(1-EXP(-LN(2)/2))/(LN(2)/2)*DB113*DE113*VLOOKUP('Données projet'!$B$13,Paramètres!$A$1:$I$89,3,0)*0.475*44/12</f>
        <v>0</v>
      </c>
      <c r="DI113" s="24">
        <f t="shared" si="69"/>
        <v>0.41044874355815331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5.6843418860808015E-14</v>
      </c>
      <c r="DP113" s="18">
        <f>DO113*VLOOKUP('Données projet'!$B$14,Paramètres!$A$1:$I$89,3,0)*VLOOKUP('Données projet'!$B$14,Paramètres!$A$1:$I$89,5,0)</f>
        <v>3.7243808037601412E-14</v>
      </c>
      <c r="DQ113" s="14">
        <f t="shared" si="97"/>
        <v>6.2767589361185393E-13</v>
      </c>
      <c r="DR113" s="22">
        <f t="shared" si="70"/>
        <v>1.1580684803728015E-12</v>
      </c>
      <c r="DS113" s="62">
        <f t="shared" si="71"/>
        <v>293.33333333333445</v>
      </c>
      <c r="DT113" s="62">
        <f ca="1">AVERAGE(OFFSET($DS$3,0,0,'Données projet'!$E$14+1,1))-AVERAGE(OFFSET($H$3,0,0,'Données projet'!$E$14+1,1))</f>
        <v>210.08998695869161</v>
      </c>
      <c r="DU113" s="62">
        <f t="shared" si="98"/>
        <v>207.30911916430881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>
        <f>EXP(-LN(2)/35)*EA112+(1-EXP(-LN(2)/35))/(LN(2)/35)*DW113*DX113*VLOOKUP('Données projet'!$B$14,Paramètres!$A$1:$I$89,3,0)*0.475*44/12</f>
        <v>9.4315881498469187E-2</v>
      </c>
      <c r="EB113" s="23">
        <f>EXP(-LN(2)/25)*EB112+(1-EXP(-LN(2)/25))/(LN(2)/25)*Calculateur!DW113*Calculateur!DY113*VLOOKUP('Données projet'!$B$14,Paramètres!$A$1:$I$89,3,0)*0.475*44/12</f>
        <v>0</v>
      </c>
      <c r="EC113" s="23">
        <f>EXP(-LN(2)/2)*EC112+(1-EXP(-LN(2)/2))/(LN(2)/2)*DW113*DZ113*VLOOKUP('Données projet'!$B$14,Paramètres!$A$1:$I$89,3,0)*0.475*44/12</f>
        <v>0</v>
      </c>
      <c r="ED113" s="24">
        <f t="shared" si="72"/>
        <v>9.4315881498469187E-2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5.6843418860808015E-14</v>
      </c>
      <c r="EK113" s="18">
        <f>EJ113*VLOOKUP('Données projet'!$B$15,Paramètres!$A$1:$I$89,3,0)*VLOOKUP('Données projet'!$B$15,Paramètres!$A$1:$I$89,5,0)</f>
        <v>4.4337866711430253E-14</v>
      </c>
      <c r="EL113" s="14">
        <f t="shared" si="99"/>
        <v>7.3222115536967035E-13</v>
      </c>
      <c r="EM113" s="22">
        <f t="shared" si="73"/>
        <v>1.3525069634579169E-12</v>
      </c>
      <c r="EN113" s="62">
        <f t="shared" si="74"/>
        <v>293.33333333333468</v>
      </c>
      <c r="EO113" s="62">
        <f ca="1">AVERAGE(OFFSET($EN$3,0,0,'Données projet'!$E$15+1,1))-AVERAGE(OFFSET($H$3,0,0,'Données projet'!$E$15+1,1))</f>
        <v>288.82868507674738</v>
      </c>
      <c r="EP113" s="62">
        <f t="shared" si="100"/>
        <v>283.48738729114024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>
        <f>EXP(-LN(2)/35)*EV112+(1-EXP(-LN(2)/35))/(LN(2)/35)*ER113*ES113*VLOOKUP('Données projet'!$B$15,Paramètres!$A$1:$I$89,3,0)*0.475*44/12</f>
        <v>0.37190419905486349</v>
      </c>
      <c r="EW113" s="23">
        <f>EXP(-LN(2)/25)*EW112+(1-EXP(-LN(2)/25))/(LN(2)/25)*Calculateur!ER113*Calculateur!ET113*VLOOKUP('Données projet'!$B$15,Paramètres!$A$1:$I$89,3,0)*0.475*44/12</f>
        <v>0</v>
      </c>
      <c r="EX113" s="23">
        <f>EXP(-LN(2)/2)*EX112+(1-EXP(-LN(2)/2))/(LN(2)/2)*ER113*EU113*VLOOKUP('Données projet'!$B$15,Paramètres!$A$1:$I$89,3,0)*0.475*44/12</f>
        <v>0</v>
      </c>
      <c r="EY113" s="24">
        <f t="shared" si="75"/>
        <v>0.37190419905486349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3.4106051316484809E-13</v>
      </c>
      <c r="O114" s="14">
        <f>N114*VLOOKUP('Données projet'!$B$9,Paramètres!$A$1:$I$89,3,0)*VLOOKUP('Données projet'!$B$9,Paramètres!$A$1:$I$89,5,0)</f>
        <v>1.5961632016114892E-13</v>
      </c>
      <c r="P114" s="14">
        <f t="shared" si="87"/>
        <v>2.2708641912150958E-12</v>
      </c>
      <c r="Q114" s="22">
        <f t="shared" si="107"/>
        <v>4.2330868906469593E-12</v>
      </c>
      <c r="R114" s="62">
        <f t="shared" si="55"/>
        <v>293.33333333333752</v>
      </c>
      <c r="S114" s="62">
        <f ca="1">AVERAGE(OFFSET($R$3,0,0,'Données projet'!$E$9+1,1))-AVERAGE(OFFSET($H$3,0,0,'Données projet'!$E$9+1,1))</f>
        <v>317.54276561627643</v>
      </c>
      <c r="T114" s="62">
        <f t="shared" si="88"/>
        <v>238.92443174298893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-1.1368683772161603E-13</v>
      </c>
      <c r="AJ114" s="14">
        <f>AI114*VLOOKUP('Données projet'!$B$10,Paramètres!$A$1:$I$89,3,0)*VLOOKUP('Données projet'!$B$10,Paramètres!$A$1:$I$89,5,0)</f>
        <v>-9.9316821433603781E-14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327.826081588335</v>
      </c>
      <c r="AO114" s="62">
        <f t="shared" si="90"/>
        <v>348.84706693879735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1.2357211735505331</v>
      </c>
      <c r="AV114" s="23">
        <f>EXP(-LN(2)/25)*AV113+(1-EXP(-LN(2)/25))/(LN(2)/25)*Calculateur!AQ114*Calculateur!AS114*VLOOKUP('Données projet'!$B$10,Paramètres!$A$1:$I$89,3,0)*0.475*44/12</f>
        <v>1.4521143478012566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2.6878355213517899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4.5999999999999996</v>
      </c>
      <c r="BD114" s="13">
        <f>IF('Données projet'!$A$88&gt;35,BD113+BC114-BL113,IF(A114&lt;'Données projet'!$A$88,$BA$205^A114,IF(A114='Données projet'!$A$88,'Données projet'!$B$88,BD113+BC114-BL113)))</f>
        <v>311.59999999999991</v>
      </c>
      <c r="BE114" s="14">
        <f>BD114*VLOOKUP('Données projet'!$B$11,Paramètres!$A$1:$I$89,3,0)*VLOOKUP('Données projet'!$B$11,Paramètres!$A$1:$I$89,5,0)</f>
        <v>315.96239999999989</v>
      </c>
      <c r="BF114" s="14">
        <f t="shared" si="91"/>
        <v>74.512632625562503</v>
      </c>
      <c r="BG114" s="22">
        <f t="shared" si="61"/>
        <v>680.07734848952111</v>
      </c>
      <c r="BH114" s="62">
        <f t="shared" si="62"/>
        <v>973.41068182285449</v>
      </c>
      <c r="BI114" s="62">
        <f ca="1">AVERAGE(OFFSET($BH$3,0,0,'Données projet'!$E$11+1,1))-AVERAGE(OFFSET($H$3,0,0,'Données projet'!$E$11+1,1))</f>
        <v>487.04124684635974</v>
      </c>
      <c r="BJ114" s="62">
        <f t="shared" si="92"/>
        <v>306.61893266146666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0.54271538027557209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0.54271538027557209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4.5999999999999996</v>
      </c>
      <c r="BY114" s="13">
        <f>IF('Données projet'!$A$114&gt;35,BY113+BX114-CG113,IF(A114&lt;'Données projet'!$A$114,$BV$205^A114,IF(A114='Données projet'!$A$114,'Données projet'!$B$114,BY113+BX114-CG113)))</f>
        <v>311.59999999999991</v>
      </c>
      <c r="BZ114" s="14">
        <f>BY114*VLOOKUP('Données projet'!$B$12,Paramètres!$A$1:$I$89,3,0)*VLOOKUP('Données projet'!$B$12,Paramètres!$A$1:$I$89,5,0)</f>
        <v>281.93567999999988</v>
      </c>
      <c r="CA114" s="14">
        <f t="shared" si="93"/>
        <v>67.375909546040361</v>
      </c>
      <c r="CB114" s="22">
        <f t="shared" si="64"/>
        <v>608.38435179268674</v>
      </c>
      <c r="CC114" s="62">
        <f t="shared" si="65"/>
        <v>901.71768512602011</v>
      </c>
      <c r="CD114" s="62">
        <f ca="1">AVERAGE(OFFSET($CC$3,0,0,'Données projet'!$E$12+1,1))-AVERAGE(OFFSET($H$3,0,0,'Données projet'!$E$12+1,1))</f>
        <v>439.06700232017681</v>
      </c>
      <c r="CE114" s="62">
        <f t="shared" si="94"/>
        <v>278.21741231699929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0.48426910855358724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0.48426910855358724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317.99999999999972</v>
      </c>
      <c r="CU114" s="18">
        <f>CT114*VLOOKUP('Données projet'!$B$13,Paramètres!$A$1:$I$89,3,0)*VLOOKUP('Données projet'!$B$13,Paramètres!$A$1:$I$89,5,0)</f>
        <v>233.1575999999998</v>
      </c>
      <c r="CV114" s="14">
        <f t="shared" si="95"/>
        <v>56.964885721091697</v>
      </c>
      <c r="CW114" s="22">
        <f t="shared" si="67"/>
        <v>505.29666263090093</v>
      </c>
      <c r="CX114" s="62">
        <f t="shared" si="68"/>
        <v>798.62999596423424</v>
      </c>
      <c r="CY114" s="62">
        <f ca="1">AVERAGE(OFFSET($CX$3,0,0,'Données projet'!$E$13+1,1))-AVERAGE(OFFSET($H$3,0,0,'Données projet'!$E$13+1,1))</f>
        <v>327.81662150328646</v>
      </c>
      <c r="CZ114" s="62">
        <f t="shared" si="96"/>
        <v>320.24200483294322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0.40240009404599159</v>
      </c>
      <c r="DG114" s="23">
        <f>EXP(-LN(2)/25)*DG113+(1-EXP(-LN(2)/25))/(LN(2)/25)*Calculateur!DB114*Calculateur!DD114*VLOOKUP('Données projet'!$B$13,Paramètres!$A$1:$I$89,3,0)*0.475*44/12</f>
        <v>0</v>
      </c>
      <c r="DH114" s="23">
        <f>EXP(-LN(2)/2)*DH113+(1-EXP(-LN(2)/2))/(LN(2)/2)*DB114*DE114*VLOOKUP('Données projet'!$B$13,Paramètres!$A$1:$I$89,3,0)*0.475*44/12</f>
        <v>0</v>
      </c>
      <c r="DI114" s="24">
        <f t="shared" si="69"/>
        <v>0.40240009404599159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5.6843418860808015E-14</v>
      </c>
      <c r="DP114" s="18">
        <f>DO114*VLOOKUP('Données projet'!$B$14,Paramètres!$A$1:$I$89,3,0)*VLOOKUP('Données projet'!$B$14,Paramètres!$A$1:$I$89,5,0)</f>
        <v>3.7243808037601412E-14</v>
      </c>
      <c r="DQ114" s="14">
        <f t="shared" si="97"/>
        <v>6.2767589361185393E-13</v>
      </c>
      <c r="DR114" s="22">
        <f t="shared" si="70"/>
        <v>1.1580684803728015E-12</v>
      </c>
      <c r="DS114" s="62">
        <f t="shared" si="71"/>
        <v>293.33333333333445</v>
      </c>
      <c r="DT114" s="62">
        <f ca="1">AVERAGE(OFFSET($DS$3,0,0,'Données projet'!$E$14+1,1))-AVERAGE(OFFSET($H$3,0,0,'Données projet'!$E$14+1,1))</f>
        <v>210.08998695869161</v>
      </c>
      <c r="DU114" s="62">
        <f t="shared" si="98"/>
        <v>207.30911916430881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>
        <f>EXP(-LN(2)/35)*EA113+(1-EXP(-LN(2)/35))/(LN(2)/35)*DW114*DX114*VLOOKUP('Données projet'!$B$14,Paramètres!$A$1:$I$89,3,0)*0.475*44/12</f>
        <v>9.2466404589291604E-2</v>
      </c>
      <c r="EB114" s="23">
        <f>EXP(-LN(2)/25)*EB113+(1-EXP(-LN(2)/25))/(LN(2)/25)*Calculateur!DW114*Calculateur!DY114*VLOOKUP('Données projet'!$B$14,Paramètres!$A$1:$I$89,3,0)*0.475*44/12</f>
        <v>0</v>
      </c>
      <c r="EC114" s="23">
        <f>EXP(-LN(2)/2)*EC113+(1-EXP(-LN(2)/2))/(LN(2)/2)*DW114*DZ114*VLOOKUP('Données projet'!$B$14,Paramètres!$A$1:$I$89,3,0)*0.475*44/12</f>
        <v>0</v>
      </c>
      <c r="ED114" s="24">
        <f t="shared" si="72"/>
        <v>9.2466404589291604E-2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5.6843418860808015E-14</v>
      </c>
      <c r="EK114" s="18">
        <f>EJ114*VLOOKUP('Données projet'!$B$15,Paramètres!$A$1:$I$89,3,0)*VLOOKUP('Données projet'!$B$15,Paramètres!$A$1:$I$89,5,0)</f>
        <v>4.4337866711430253E-14</v>
      </c>
      <c r="EL114" s="14">
        <f t="shared" si="99"/>
        <v>7.3222115536967035E-13</v>
      </c>
      <c r="EM114" s="22">
        <f t="shared" si="73"/>
        <v>1.3525069634579169E-12</v>
      </c>
      <c r="EN114" s="62">
        <f t="shared" si="74"/>
        <v>293.33333333333468</v>
      </c>
      <c r="EO114" s="62">
        <f ca="1">AVERAGE(OFFSET($EN$3,0,0,'Données projet'!$E$15+1,1))-AVERAGE(OFFSET($H$3,0,0,'Données projet'!$E$15+1,1))</f>
        <v>288.82868507674738</v>
      </c>
      <c r="EP114" s="62">
        <f t="shared" si="100"/>
        <v>283.48738729114024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>
        <f>EXP(-LN(2)/35)*EV113+(1-EXP(-LN(2)/35))/(LN(2)/35)*ER114*ES114*VLOOKUP('Données projet'!$B$15,Paramètres!$A$1:$I$89,3,0)*0.475*44/12</f>
        <v>0.36461138455056052</v>
      </c>
      <c r="EW114" s="23">
        <f>EXP(-LN(2)/25)*EW113+(1-EXP(-LN(2)/25))/(LN(2)/25)*Calculateur!ER114*Calculateur!ET114*VLOOKUP('Données projet'!$B$15,Paramètres!$A$1:$I$89,3,0)*0.475*44/12</f>
        <v>0</v>
      </c>
      <c r="EX114" s="23">
        <f>EXP(-LN(2)/2)*EX113+(1-EXP(-LN(2)/2))/(LN(2)/2)*ER114*EU114*VLOOKUP('Données projet'!$B$15,Paramètres!$A$1:$I$89,3,0)*0.475*44/12</f>
        <v>0</v>
      </c>
      <c r="EY114" s="24">
        <f t="shared" si="75"/>
        <v>0.36461138455056052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3.4106051316484809E-13</v>
      </c>
      <c r="O115" s="14">
        <f>N115*VLOOKUP('Données projet'!$B$9,Paramètres!$A$1:$I$89,3,0)*VLOOKUP('Données projet'!$B$9,Paramètres!$A$1:$I$89,5,0)</f>
        <v>1.5961632016114892E-13</v>
      </c>
      <c r="P115" s="14">
        <f t="shared" si="87"/>
        <v>2.2708641912150958E-12</v>
      </c>
      <c r="Q115" s="22">
        <f t="shared" si="107"/>
        <v>4.2330868906469593E-12</v>
      </c>
      <c r="R115" s="62">
        <f t="shared" si="55"/>
        <v>293.33333333333752</v>
      </c>
      <c r="S115" s="62">
        <f ca="1">AVERAGE(OFFSET($R$3,0,0,'Données projet'!$E$9+1,1))-AVERAGE(OFFSET($H$3,0,0,'Données projet'!$E$9+1,1))</f>
        <v>317.54276561627643</v>
      </c>
      <c r="T115" s="62">
        <f t="shared" si="88"/>
        <v>238.92443174298893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-1.1368683772161603E-13</v>
      </c>
      <c r="AJ115" s="14">
        <f>AI115*VLOOKUP('Données projet'!$B$10,Paramètres!$A$1:$I$89,3,0)*VLOOKUP('Données projet'!$B$10,Paramètres!$A$1:$I$89,5,0)</f>
        <v>-9.9316821433603781E-14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327.826081588335</v>
      </c>
      <c r="AO115" s="62">
        <f t="shared" si="90"/>
        <v>348.84706693879735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1.2114894350526999</v>
      </c>
      <c r="AV115" s="23">
        <f>EXP(-LN(2)/25)*AV114+(1-EXP(-LN(2)/25))/(LN(2)/25)*Calculateur!AQ115*Calculateur!AS115*VLOOKUP('Données projet'!$B$10,Paramètres!$A$1:$I$89,3,0)*0.475*44/12</f>
        <v>1.4124062045972565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2.6238956396499562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4.5999999999999996</v>
      </c>
      <c r="BD115" s="13">
        <f>IF('Données projet'!$A$88&gt;35,BD114+BC115-BL114,IF(A115&lt;'Données projet'!$A$88,$BA$205^A115,IF(A115='Données projet'!$A$88,'Données projet'!$B$88,BD114+BC115-BL114)))</f>
        <v>316.19999999999993</v>
      </c>
      <c r="BE115" s="14">
        <f>BD115*VLOOKUP('Données projet'!$B$11,Paramètres!$A$1:$I$89,3,0)*VLOOKUP('Données projet'!$B$11,Paramètres!$A$1:$I$89,5,0)</f>
        <v>320.62679999999995</v>
      </c>
      <c r="BF115" s="14">
        <f t="shared" si="91"/>
        <v>75.483756735990909</v>
      </c>
      <c r="BG115" s="22">
        <f t="shared" si="61"/>
        <v>689.89255298185071</v>
      </c>
      <c r="BH115" s="62">
        <f t="shared" si="62"/>
        <v>983.22588631518397</v>
      </c>
      <c r="BI115" s="62">
        <f ca="1">AVERAGE(OFFSET($BH$3,0,0,'Données projet'!$E$11+1,1))-AVERAGE(OFFSET($H$3,0,0,'Données projet'!$E$11+1,1))</f>
        <v>487.04124684635974</v>
      </c>
      <c r="BJ115" s="62">
        <f t="shared" si="92"/>
        <v>306.61893266146666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0.53207306269206422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0.53207306269206422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4.5999999999999996</v>
      </c>
      <c r="BY115" s="13">
        <f>IF('Données projet'!$A$114&gt;35,BY114+BX115-CG114,IF(A115&lt;'Données projet'!$A$114,$BV$205^A115,IF(A115='Données projet'!$A$114,'Données projet'!$B$114,BY114+BX115-CG114)))</f>
        <v>316.19999999999993</v>
      </c>
      <c r="BZ115" s="14">
        <f>BY115*VLOOKUP('Données projet'!$B$12,Paramètres!$A$1:$I$89,3,0)*VLOOKUP('Données projet'!$B$12,Paramètres!$A$1:$I$89,5,0)</f>
        <v>286.09775999999994</v>
      </c>
      <c r="CA115" s="14">
        <f t="shared" si="93"/>
        <v>68.254020651723678</v>
      </c>
      <c r="CB115" s="22">
        <f t="shared" si="64"/>
        <v>617.16268463508527</v>
      </c>
      <c r="CC115" s="62">
        <f t="shared" si="65"/>
        <v>910.49601796841853</v>
      </c>
      <c r="CD115" s="62">
        <f ca="1">AVERAGE(OFFSET($CC$3,0,0,'Données projet'!$E$12+1,1))-AVERAGE(OFFSET($H$3,0,0,'Données projet'!$E$12+1,1))</f>
        <v>439.06700232017681</v>
      </c>
      <c r="CE115" s="62">
        <f t="shared" si="94"/>
        <v>278.21741231699929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0.47477288670984175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0.47477288670984175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317.99999999999972</v>
      </c>
      <c r="CU115" s="18">
        <f>CT115*VLOOKUP('Données projet'!$B$13,Paramètres!$A$1:$I$89,3,0)*VLOOKUP('Données projet'!$B$13,Paramètres!$A$1:$I$89,5,0)</f>
        <v>233.1575999999998</v>
      </c>
      <c r="CV115" s="14">
        <f t="shared" si="95"/>
        <v>56.964885721091697</v>
      </c>
      <c r="CW115" s="22">
        <f t="shared" si="67"/>
        <v>505.29666263090093</v>
      </c>
      <c r="CX115" s="62">
        <f t="shared" si="68"/>
        <v>798.62999596423424</v>
      </c>
      <c r="CY115" s="62">
        <f ca="1">AVERAGE(OFFSET($CX$3,0,0,'Données projet'!$E$13+1,1))-AVERAGE(OFFSET($H$3,0,0,'Données projet'!$E$13+1,1))</f>
        <v>327.81662150328646</v>
      </c>
      <c r="CZ115" s="62">
        <f t="shared" si="96"/>
        <v>320.24200483294322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0.3945092736415719</v>
      </c>
      <c r="DG115" s="23">
        <f>EXP(-LN(2)/25)*DG114+(1-EXP(-LN(2)/25))/(LN(2)/25)*Calculateur!DB115*Calculateur!DD115*VLOOKUP('Données projet'!$B$13,Paramètres!$A$1:$I$89,3,0)*0.475*44/12</f>
        <v>0</v>
      </c>
      <c r="DH115" s="23">
        <f>EXP(-LN(2)/2)*DH114+(1-EXP(-LN(2)/2))/(LN(2)/2)*DB115*DE115*VLOOKUP('Données projet'!$B$13,Paramètres!$A$1:$I$89,3,0)*0.475*44/12</f>
        <v>0</v>
      </c>
      <c r="DI115" s="24">
        <f t="shared" si="69"/>
        <v>0.3945092736415719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5.6843418860808015E-14</v>
      </c>
      <c r="DP115" s="18">
        <f>DO115*VLOOKUP('Données projet'!$B$14,Paramètres!$A$1:$I$89,3,0)*VLOOKUP('Données projet'!$B$14,Paramètres!$A$1:$I$89,5,0)</f>
        <v>3.7243808037601412E-14</v>
      </c>
      <c r="DQ115" s="14">
        <f t="shared" si="97"/>
        <v>6.2767589361185393E-13</v>
      </c>
      <c r="DR115" s="22">
        <f t="shared" si="70"/>
        <v>1.1580684803728015E-12</v>
      </c>
      <c r="DS115" s="62">
        <f t="shared" si="71"/>
        <v>293.33333333333445</v>
      </c>
      <c r="DT115" s="62">
        <f ca="1">AVERAGE(OFFSET($DS$3,0,0,'Données projet'!$E$14+1,1))-AVERAGE(OFFSET($H$3,0,0,'Données projet'!$E$14+1,1))</f>
        <v>210.08998695869161</v>
      </c>
      <c r="DU115" s="62">
        <f t="shared" si="98"/>
        <v>207.30911916430881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>
        <f>EXP(-LN(2)/35)*EA114+(1-EXP(-LN(2)/35))/(LN(2)/35)*DW115*DX115*VLOOKUP('Données projet'!$B$14,Paramètres!$A$1:$I$89,3,0)*0.475*44/12</f>
        <v>9.0653194794233463E-2</v>
      </c>
      <c r="EB115" s="23">
        <f>EXP(-LN(2)/25)*EB114+(1-EXP(-LN(2)/25))/(LN(2)/25)*Calculateur!DW115*Calculateur!DY115*VLOOKUP('Données projet'!$B$14,Paramètres!$A$1:$I$89,3,0)*0.475*44/12</f>
        <v>0</v>
      </c>
      <c r="EC115" s="23">
        <f>EXP(-LN(2)/2)*EC114+(1-EXP(-LN(2)/2))/(LN(2)/2)*DW115*DZ115*VLOOKUP('Données projet'!$B$14,Paramètres!$A$1:$I$89,3,0)*0.475*44/12</f>
        <v>0</v>
      </c>
      <c r="ED115" s="24">
        <f t="shared" si="72"/>
        <v>9.0653194794233463E-2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5.6843418860808015E-14</v>
      </c>
      <c r="EK115" s="18">
        <f>EJ115*VLOOKUP('Données projet'!$B$15,Paramètres!$A$1:$I$89,3,0)*VLOOKUP('Données projet'!$B$15,Paramètres!$A$1:$I$89,5,0)</f>
        <v>4.4337866711430253E-14</v>
      </c>
      <c r="EL115" s="14">
        <f t="shared" si="99"/>
        <v>7.3222115536967035E-13</v>
      </c>
      <c r="EM115" s="22">
        <f t="shared" si="73"/>
        <v>1.3525069634579169E-12</v>
      </c>
      <c r="EN115" s="62">
        <f t="shared" si="74"/>
        <v>293.33333333333468</v>
      </c>
      <c r="EO115" s="62">
        <f ca="1">AVERAGE(OFFSET($EN$3,0,0,'Données projet'!$E$15+1,1))-AVERAGE(OFFSET($H$3,0,0,'Données projet'!$E$15+1,1))</f>
        <v>288.82868507674738</v>
      </c>
      <c r="EP115" s="62">
        <f t="shared" si="100"/>
        <v>283.48738729114024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>
        <f>EXP(-LN(2)/35)*EV114+(1-EXP(-LN(2)/35))/(LN(2)/35)*ER115*ES115*VLOOKUP('Données projet'!$B$15,Paramètres!$A$1:$I$89,3,0)*0.475*44/12</f>
        <v>0.35746157769050935</v>
      </c>
      <c r="EW115" s="23">
        <f>EXP(-LN(2)/25)*EW114+(1-EXP(-LN(2)/25))/(LN(2)/25)*Calculateur!ER115*Calculateur!ET115*VLOOKUP('Données projet'!$B$15,Paramètres!$A$1:$I$89,3,0)*0.475*44/12</f>
        <v>0</v>
      </c>
      <c r="EX115" s="23">
        <f>EXP(-LN(2)/2)*EX114+(1-EXP(-LN(2)/2))/(LN(2)/2)*ER115*EU115*VLOOKUP('Données projet'!$B$15,Paramètres!$A$1:$I$89,3,0)*0.475*44/12</f>
        <v>0</v>
      </c>
      <c r="EY115" s="24">
        <f t="shared" si="75"/>
        <v>0.35746157769050935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3.4106051316484809E-13</v>
      </c>
      <c r="O116" s="14">
        <f>N116*VLOOKUP('Données projet'!$B$9,Paramètres!$A$1:$I$89,3,0)*VLOOKUP('Données projet'!$B$9,Paramètres!$A$1:$I$89,5,0)</f>
        <v>1.5961632016114892E-13</v>
      </c>
      <c r="P116" s="14">
        <f t="shared" si="87"/>
        <v>2.2708641912150958E-12</v>
      </c>
      <c r="Q116" s="22">
        <f t="shared" si="107"/>
        <v>4.2330868906469593E-12</v>
      </c>
      <c r="R116" s="62">
        <f t="shared" si="55"/>
        <v>293.33333333333752</v>
      </c>
      <c r="S116" s="62">
        <f ca="1">AVERAGE(OFFSET($R$3,0,0,'Données projet'!$E$9+1,1))-AVERAGE(OFFSET($H$3,0,0,'Données projet'!$E$9+1,1))</f>
        <v>317.54276561627643</v>
      </c>
      <c r="T116" s="62">
        <f t="shared" si="88"/>
        <v>238.92443174298893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-1.1368683772161603E-13</v>
      </c>
      <c r="AJ116" s="14">
        <f>AI116*VLOOKUP('Données projet'!$B$10,Paramètres!$A$1:$I$89,3,0)*VLOOKUP('Données projet'!$B$10,Paramètres!$A$1:$I$89,5,0)</f>
        <v>-9.9316821433603781E-14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327.826081588335</v>
      </c>
      <c r="AO116" s="62">
        <f t="shared" si="90"/>
        <v>348.84706693879735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1.187732866166908</v>
      </c>
      <c r="AV116" s="23">
        <f>EXP(-LN(2)/25)*AV115+(1-EXP(-LN(2)/25))/(LN(2)/25)*Calculateur!AQ116*Calculateur!AS116*VLOOKUP('Données projet'!$B$10,Paramètres!$A$1:$I$89,3,0)*0.475*44/12</f>
        <v>1.3737838826573303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2.5615167488242383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4.5999999999999996</v>
      </c>
      <c r="BD116" s="13">
        <f>IF('Données projet'!$A$88&gt;35,BD115+BC116-BL115,IF(A116&lt;'Données projet'!$A$88,$BA$205^A116,IF(A116='Données projet'!$A$88,'Données projet'!$B$88,BD115+BC116-BL115)))</f>
        <v>320.79999999999995</v>
      </c>
      <c r="BE116" s="14">
        <f>BD116*VLOOKUP('Données projet'!$B$11,Paramètres!$A$1:$I$89,3,0)*VLOOKUP('Données projet'!$B$11,Paramètres!$A$1:$I$89,5,0)</f>
        <v>325.2912</v>
      </c>
      <c r="BF116" s="14">
        <f t="shared" si="91"/>
        <v>76.453237715285965</v>
      </c>
      <c r="BG116" s="22">
        <f t="shared" si="61"/>
        <v>699.70489568745631</v>
      </c>
      <c r="BH116" s="62">
        <f t="shared" si="62"/>
        <v>993.03822902078969</v>
      </c>
      <c r="BI116" s="62">
        <f ca="1">AVERAGE(OFFSET($BH$3,0,0,'Données projet'!$E$11+1,1))-AVERAGE(OFFSET($H$3,0,0,'Données projet'!$E$11+1,1))</f>
        <v>487.04124684635974</v>
      </c>
      <c r="BJ116" s="62">
        <f t="shared" si="92"/>
        <v>306.61893266146666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0.52163943446519612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0.52163943446519612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4.5999999999999996</v>
      </c>
      <c r="BY116" s="13">
        <f>IF('Données projet'!$A$114&gt;35,BY115+BX116-CG115,IF(A116&lt;'Données projet'!$A$114,$BV$205^A116,IF(A116='Données projet'!$A$114,'Données projet'!$B$114,BY115+BX116-CG115)))</f>
        <v>320.79999999999995</v>
      </c>
      <c r="BZ116" s="14">
        <f>BY116*VLOOKUP('Données projet'!$B$12,Paramètres!$A$1:$I$89,3,0)*VLOOKUP('Données projet'!$B$12,Paramètres!$A$1:$I$89,5,0)</f>
        <v>290.25983999999994</v>
      </c>
      <c r="CA116" s="14">
        <f t="shared" si="93"/>
        <v>69.130646003237317</v>
      </c>
      <c r="CB116" s="22">
        <f t="shared" si="64"/>
        <v>625.93842978897146</v>
      </c>
      <c r="CC116" s="62">
        <f t="shared" si="65"/>
        <v>919.27176312230472</v>
      </c>
      <c r="CD116" s="62">
        <f ca="1">AVERAGE(OFFSET($CC$3,0,0,'Données projet'!$E$12+1,1))-AVERAGE(OFFSET($H$3,0,0,'Données projet'!$E$12+1,1))</f>
        <v>439.06700232017681</v>
      </c>
      <c r="CE116" s="62">
        <f t="shared" si="94"/>
        <v>278.21741231699929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0.46546287998432873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0.46546287998432873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317.99999999999972</v>
      </c>
      <c r="CU116" s="18">
        <f>CT116*VLOOKUP('Données projet'!$B$13,Paramètres!$A$1:$I$89,3,0)*VLOOKUP('Données projet'!$B$13,Paramètres!$A$1:$I$89,5,0)</f>
        <v>233.1575999999998</v>
      </c>
      <c r="CV116" s="14">
        <f t="shared" si="95"/>
        <v>56.964885721091697</v>
      </c>
      <c r="CW116" s="22">
        <f t="shared" si="67"/>
        <v>505.29666263090093</v>
      </c>
      <c r="CX116" s="62">
        <f t="shared" si="68"/>
        <v>798.62999596423424</v>
      </c>
      <c r="CY116" s="62">
        <f ca="1">AVERAGE(OFFSET($CX$3,0,0,'Données projet'!$E$13+1,1))-AVERAGE(OFFSET($H$3,0,0,'Données projet'!$E$13+1,1))</f>
        <v>327.81662150328646</v>
      </c>
      <c r="CZ116" s="62">
        <f t="shared" si="96"/>
        <v>320.24200483294322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0.38677318741235767</v>
      </c>
      <c r="DG116" s="23">
        <f>EXP(-LN(2)/25)*DG115+(1-EXP(-LN(2)/25))/(LN(2)/25)*Calculateur!DB116*Calculateur!DD116*VLOOKUP('Données projet'!$B$13,Paramètres!$A$1:$I$89,3,0)*0.475*44/12</f>
        <v>0</v>
      </c>
      <c r="DH116" s="23">
        <f>EXP(-LN(2)/2)*DH115+(1-EXP(-LN(2)/2))/(LN(2)/2)*DB116*DE116*VLOOKUP('Données projet'!$B$13,Paramètres!$A$1:$I$89,3,0)*0.475*44/12</f>
        <v>0</v>
      </c>
      <c r="DI116" s="24">
        <f t="shared" si="69"/>
        <v>0.38677318741235767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5.6843418860808015E-14</v>
      </c>
      <c r="DP116" s="18">
        <f>DO116*VLOOKUP('Données projet'!$B$14,Paramètres!$A$1:$I$89,3,0)*VLOOKUP('Données projet'!$B$14,Paramètres!$A$1:$I$89,5,0)</f>
        <v>3.7243808037601412E-14</v>
      </c>
      <c r="DQ116" s="14">
        <f t="shared" si="97"/>
        <v>6.2767589361185393E-13</v>
      </c>
      <c r="DR116" s="22">
        <f t="shared" si="70"/>
        <v>1.1580684803728015E-12</v>
      </c>
      <c r="DS116" s="62">
        <f t="shared" si="71"/>
        <v>293.33333333333445</v>
      </c>
      <c r="DT116" s="62">
        <f ca="1">AVERAGE(OFFSET($DS$3,0,0,'Données projet'!$E$14+1,1))-AVERAGE(OFFSET($H$3,0,0,'Données projet'!$E$14+1,1))</f>
        <v>210.08998695869161</v>
      </c>
      <c r="DU116" s="62">
        <f t="shared" si="98"/>
        <v>207.30911916430881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>
        <f>EXP(-LN(2)/35)*EA115+(1-EXP(-LN(2)/35))/(LN(2)/35)*DW116*DX116*VLOOKUP('Données projet'!$B$14,Paramètres!$A$1:$I$89,3,0)*0.475*44/12</f>
        <v>8.8875540937307637E-2</v>
      </c>
      <c r="EB116" s="23">
        <f>EXP(-LN(2)/25)*EB115+(1-EXP(-LN(2)/25))/(LN(2)/25)*Calculateur!DW116*Calculateur!DY116*VLOOKUP('Données projet'!$B$14,Paramètres!$A$1:$I$89,3,0)*0.475*44/12</f>
        <v>0</v>
      </c>
      <c r="EC116" s="23">
        <f>EXP(-LN(2)/2)*EC115+(1-EXP(-LN(2)/2))/(LN(2)/2)*DW116*DZ116*VLOOKUP('Données projet'!$B$14,Paramètres!$A$1:$I$89,3,0)*0.475*44/12</f>
        <v>0</v>
      </c>
      <c r="ED116" s="24">
        <f t="shared" si="72"/>
        <v>8.8875540937307637E-2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5.6843418860808015E-14</v>
      </c>
      <c r="EK116" s="18">
        <f>EJ116*VLOOKUP('Données projet'!$B$15,Paramètres!$A$1:$I$89,3,0)*VLOOKUP('Données projet'!$B$15,Paramètres!$A$1:$I$89,5,0)</f>
        <v>4.4337866711430253E-14</v>
      </c>
      <c r="EL116" s="14">
        <f t="shared" si="99"/>
        <v>7.3222115536967035E-13</v>
      </c>
      <c r="EM116" s="22">
        <f t="shared" si="73"/>
        <v>1.3525069634579169E-12</v>
      </c>
      <c r="EN116" s="62">
        <f t="shared" si="74"/>
        <v>293.33333333333468</v>
      </c>
      <c r="EO116" s="62">
        <f ca="1">AVERAGE(OFFSET($EN$3,0,0,'Données projet'!$E$15+1,1))-AVERAGE(OFFSET($H$3,0,0,'Données projet'!$E$15+1,1))</f>
        <v>288.82868507674738</v>
      </c>
      <c r="EP116" s="62">
        <f t="shared" si="100"/>
        <v>283.48738729114024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>
        <f>EXP(-LN(2)/35)*EV115+(1-EXP(-LN(2)/35))/(LN(2)/35)*ER116*ES116*VLOOKUP('Données projet'!$B$15,Paramètres!$A$1:$I$89,3,0)*0.475*44/12</f>
        <v>0.35045197418203217</v>
      </c>
      <c r="EW116" s="23">
        <f>EXP(-LN(2)/25)*EW115+(1-EXP(-LN(2)/25))/(LN(2)/25)*Calculateur!ER116*Calculateur!ET116*VLOOKUP('Données projet'!$B$15,Paramètres!$A$1:$I$89,3,0)*0.475*44/12</f>
        <v>0</v>
      </c>
      <c r="EX116" s="23">
        <f>EXP(-LN(2)/2)*EX115+(1-EXP(-LN(2)/2))/(LN(2)/2)*ER116*EU116*VLOOKUP('Données projet'!$B$15,Paramètres!$A$1:$I$89,3,0)*0.475*44/12</f>
        <v>0</v>
      </c>
      <c r="EY116" s="24">
        <f t="shared" si="75"/>
        <v>0.35045197418203217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3.4106051316484809E-13</v>
      </c>
      <c r="O117" s="14">
        <f>N117*VLOOKUP('Données projet'!$B$9,Paramètres!$A$1:$I$89,3,0)*VLOOKUP('Données projet'!$B$9,Paramètres!$A$1:$I$89,5,0)</f>
        <v>1.5961632016114892E-13</v>
      </c>
      <c r="P117" s="14">
        <f t="shared" si="87"/>
        <v>2.2708641912150958E-12</v>
      </c>
      <c r="Q117" s="22">
        <f t="shared" si="107"/>
        <v>4.2330868906469593E-12</v>
      </c>
      <c r="R117" s="62">
        <f t="shared" si="55"/>
        <v>293.33333333333752</v>
      </c>
      <c r="S117" s="62">
        <f ca="1">AVERAGE(OFFSET($R$3,0,0,'Données projet'!$E$9+1,1))-AVERAGE(OFFSET($H$3,0,0,'Données projet'!$E$9+1,1))</f>
        <v>317.54276561627643</v>
      </c>
      <c r="T117" s="62">
        <f t="shared" si="88"/>
        <v>238.92443174298893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-1.1368683772161603E-13</v>
      </c>
      <c r="AJ117" s="14">
        <f>AI117*VLOOKUP('Données projet'!$B$10,Paramètres!$A$1:$I$89,3,0)*VLOOKUP('Données projet'!$B$10,Paramètres!$A$1:$I$89,5,0)</f>
        <v>-9.9316821433603781E-14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327.826081588335</v>
      </c>
      <c r="AO117" s="62">
        <f t="shared" si="90"/>
        <v>348.84706693879735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1.1644421491068901</v>
      </c>
      <c r="AV117" s="23">
        <f>EXP(-LN(2)/25)*AV116+(1-EXP(-LN(2)/25))/(LN(2)/25)*Calculateur!AQ117*Calculateur!AS117*VLOOKUP('Données projet'!$B$10,Paramètres!$A$1:$I$89,3,0)*0.475*44/12</f>
        <v>1.3362176901419112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2.5006598392488013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4.5999999999999996</v>
      </c>
      <c r="BD117" s="13">
        <f>IF('Données projet'!$A$88&gt;35,BD116+BC117-BL116,IF(A117&lt;'Données projet'!$A$88,$BA$205^A117,IF(A117='Données projet'!$A$88,'Données projet'!$B$88,BD116+BC117-BL116)))</f>
        <v>325.39999999999998</v>
      </c>
      <c r="BE117" s="14">
        <f>BD117*VLOOKUP('Données projet'!$B$11,Paramètres!$A$1:$I$89,3,0)*VLOOKUP('Données projet'!$B$11,Paramètres!$A$1:$I$89,5,0)</f>
        <v>329.9556</v>
      </c>
      <c r="BF117" s="14">
        <f t="shared" si="91"/>
        <v>77.421101846941795</v>
      </c>
      <c r="BG117" s="22">
        <f t="shared" si="61"/>
        <v>709.51442238342361</v>
      </c>
      <c r="BH117" s="62">
        <f t="shared" si="62"/>
        <v>1002.8477557167569</v>
      </c>
      <c r="BI117" s="62">
        <f ca="1">AVERAGE(OFFSET($BH$3,0,0,'Données projet'!$E$11+1,1))-AVERAGE(OFFSET($H$3,0,0,'Données projet'!$E$11+1,1))</f>
        <v>487.04124684635974</v>
      </c>
      <c r="BJ117" s="62">
        <f t="shared" si="92"/>
        <v>306.61893266146666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0.51141040332397214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0.51141040332397214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4.5999999999999996</v>
      </c>
      <c r="BY117" s="13">
        <f>IF('Données projet'!$A$114&gt;35,BY116+BX117-CG116,IF(A117&lt;'Données projet'!$A$114,$BV$205^A117,IF(A117='Données projet'!$A$114,'Données projet'!$B$114,BY116+BX117-CG116)))</f>
        <v>325.39999999999998</v>
      </c>
      <c r="BZ117" s="14">
        <f>BY117*VLOOKUP('Données projet'!$B$12,Paramètres!$A$1:$I$89,3,0)*VLOOKUP('Données projet'!$B$12,Paramètres!$A$1:$I$89,5,0)</f>
        <v>294.42191999999994</v>
      </c>
      <c r="CA117" s="14">
        <f t="shared" si="93"/>
        <v>70.005809366676559</v>
      </c>
      <c r="CB117" s="22">
        <f t="shared" si="64"/>
        <v>634.71162864696146</v>
      </c>
      <c r="CC117" s="62">
        <f t="shared" si="65"/>
        <v>928.04496198029483</v>
      </c>
      <c r="CD117" s="62">
        <f ca="1">AVERAGE(OFFSET($CC$3,0,0,'Données projet'!$E$12+1,1))-AVERAGE(OFFSET($H$3,0,0,'Données projet'!$E$12+1,1))</f>
        <v>439.06700232017681</v>
      </c>
      <c r="CE117" s="62">
        <f t="shared" si="94"/>
        <v>278.21741231699929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0.4563354368121596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0.4563354368121596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317.99999999999972</v>
      </c>
      <c r="CU117" s="18">
        <f>CT117*VLOOKUP('Données projet'!$B$13,Paramètres!$A$1:$I$89,3,0)*VLOOKUP('Données projet'!$B$13,Paramètres!$A$1:$I$89,5,0)</f>
        <v>233.1575999999998</v>
      </c>
      <c r="CV117" s="14">
        <f t="shared" si="95"/>
        <v>56.964885721091697</v>
      </c>
      <c r="CW117" s="22">
        <f t="shared" si="67"/>
        <v>505.29666263090093</v>
      </c>
      <c r="CX117" s="62">
        <f t="shared" si="68"/>
        <v>798.62999596423424</v>
      </c>
      <c r="CY117" s="62">
        <f ca="1">AVERAGE(OFFSET($CX$3,0,0,'Données projet'!$E$13+1,1))-AVERAGE(OFFSET($H$3,0,0,'Données projet'!$E$13+1,1))</f>
        <v>327.81662150328646</v>
      </c>
      <c r="CZ117" s="62">
        <f t="shared" si="96"/>
        <v>320.24200483294322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0.37918880111555164</v>
      </c>
      <c r="DG117" s="23">
        <f>EXP(-LN(2)/25)*DG116+(1-EXP(-LN(2)/25))/(LN(2)/25)*Calculateur!DB117*Calculateur!DD117*VLOOKUP('Données projet'!$B$13,Paramètres!$A$1:$I$89,3,0)*0.475*44/12</f>
        <v>0</v>
      </c>
      <c r="DH117" s="23">
        <f>EXP(-LN(2)/2)*DH116+(1-EXP(-LN(2)/2))/(LN(2)/2)*DB117*DE117*VLOOKUP('Données projet'!$B$13,Paramètres!$A$1:$I$89,3,0)*0.475*44/12</f>
        <v>0</v>
      </c>
      <c r="DI117" s="24">
        <f t="shared" si="69"/>
        <v>0.37918880111555164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5.6843418860808015E-14</v>
      </c>
      <c r="DP117" s="18">
        <f>DO117*VLOOKUP('Données projet'!$B$14,Paramètres!$A$1:$I$89,3,0)*VLOOKUP('Données projet'!$B$14,Paramètres!$A$1:$I$89,5,0)</f>
        <v>3.7243808037601412E-14</v>
      </c>
      <c r="DQ117" s="14">
        <f t="shared" si="97"/>
        <v>6.2767589361185393E-13</v>
      </c>
      <c r="DR117" s="22">
        <f t="shared" si="70"/>
        <v>1.1580684803728015E-12</v>
      </c>
      <c r="DS117" s="62">
        <f t="shared" si="71"/>
        <v>293.33333333333445</v>
      </c>
      <c r="DT117" s="62">
        <f ca="1">AVERAGE(OFFSET($DS$3,0,0,'Données projet'!$E$14+1,1))-AVERAGE(OFFSET($H$3,0,0,'Données projet'!$E$14+1,1))</f>
        <v>210.08998695869161</v>
      </c>
      <c r="DU117" s="62">
        <f t="shared" si="98"/>
        <v>207.30911916430881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>
        <f>EXP(-LN(2)/35)*EA116+(1-EXP(-LN(2)/35))/(LN(2)/35)*DW117*DX117*VLOOKUP('Données projet'!$B$14,Paramètres!$A$1:$I$89,3,0)*0.475*44/12</f>
        <v>8.7132745788254334E-2</v>
      </c>
      <c r="EB117" s="23">
        <f>EXP(-LN(2)/25)*EB116+(1-EXP(-LN(2)/25))/(LN(2)/25)*Calculateur!DW117*Calculateur!DY117*VLOOKUP('Données projet'!$B$14,Paramètres!$A$1:$I$89,3,0)*0.475*44/12</f>
        <v>0</v>
      </c>
      <c r="EC117" s="23">
        <f>EXP(-LN(2)/2)*EC116+(1-EXP(-LN(2)/2))/(LN(2)/2)*DW117*DZ117*VLOOKUP('Données projet'!$B$14,Paramètres!$A$1:$I$89,3,0)*0.475*44/12</f>
        <v>0</v>
      </c>
      <c r="ED117" s="24">
        <f t="shared" si="72"/>
        <v>8.7132745788254334E-2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5.6843418860808015E-14</v>
      </c>
      <c r="EK117" s="18">
        <f>EJ117*VLOOKUP('Données projet'!$B$15,Paramètres!$A$1:$I$89,3,0)*VLOOKUP('Données projet'!$B$15,Paramètres!$A$1:$I$89,5,0)</f>
        <v>4.4337866711430253E-14</v>
      </c>
      <c r="EL117" s="14">
        <f t="shared" si="99"/>
        <v>7.3222115536967035E-13</v>
      </c>
      <c r="EM117" s="22">
        <f t="shared" si="73"/>
        <v>1.3525069634579169E-12</v>
      </c>
      <c r="EN117" s="62">
        <f t="shared" si="74"/>
        <v>293.33333333333468</v>
      </c>
      <c r="EO117" s="62">
        <f ca="1">AVERAGE(OFFSET($EN$3,0,0,'Données projet'!$E$15+1,1))-AVERAGE(OFFSET($H$3,0,0,'Données projet'!$E$15+1,1))</f>
        <v>288.82868507674738</v>
      </c>
      <c r="EP117" s="62">
        <f t="shared" si="100"/>
        <v>283.48738729114024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>
        <f>EXP(-LN(2)/35)*EV116+(1-EXP(-LN(2)/35))/(LN(2)/35)*ER117*ES117*VLOOKUP('Données projet'!$B$15,Paramètres!$A$1:$I$89,3,0)*0.475*44/12</f>
        <v>0.34357982472292026</v>
      </c>
      <c r="EW117" s="23">
        <f>EXP(-LN(2)/25)*EW116+(1-EXP(-LN(2)/25))/(LN(2)/25)*Calculateur!ER117*Calculateur!ET117*VLOOKUP('Données projet'!$B$15,Paramètres!$A$1:$I$89,3,0)*0.475*44/12</f>
        <v>0</v>
      </c>
      <c r="EX117" s="23">
        <f>EXP(-LN(2)/2)*EX116+(1-EXP(-LN(2)/2))/(LN(2)/2)*ER117*EU117*VLOOKUP('Données projet'!$B$15,Paramètres!$A$1:$I$89,3,0)*0.475*44/12</f>
        <v>0</v>
      </c>
      <c r="EY117" s="24">
        <f t="shared" si="75"/>
        <v>0.34357982472292026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3.4106051316484809E-13</v>
      </c>
      <c r="O118" s="14">
        <f>N118*VLOOKUP('Données projet'!$B$9,Paramètres!$A$1:$I$89,3,0)*VLOOKUP('Données projet'!$B$9,Paramètres!$A$1:$I$89,5,0)</f>
        <v>1.5961632016114892E-13</v>
      </c>
      <c r="P118" s="14">
        <f t="shared" si="87"/>
        <v>2.2708641912150958E-12</v>
      </c>
      <c r="Q118" s="22">
        <f t="shared" si="107"/>
        <v>4.2330868906469593E-12</v>
      </c>
      <c r="R118" s="62">
        <f t="shared" si="55"/>
        <v>293.33333333333752</v>
      </c>
      <c r="S118" s="62">
        <f ca="1">AVERAGE(OFFSET($R$3,0,0,'Données projet'!$E$9+1,1))-AVERAGE(OFFSET($H$3,0,0,'Données projet'!$E$9+1,1))</f>
        <v>317.54276561627643</v>
      </c>
      <c r="T118" s="62">
        <f t="shared" si="88"/>
        <v>238.92443174298893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-1.1368683772161603E-13</v>
      </c>
      <c r="AJ118" s="14">
        <f>AI118*VLOOKUP('Données projet'!$B$10,Paramètres!$A$1:$I$89,3,0)*VLOOKUP('Données projet'!$B$10,Paramètres!$A$1:$I$89,5,0)</f>
        <v>-9.9316821433603781E-14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327.826081588335</v>
      </c>
      <c r="AO118" s="62">
        <f t="shared" si="90"/>
        <v>348.84706693879735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1.1416081488024847</v>
      </c>
      <c r="AV118" s="23">
        <f>EXP(-LN(2)/25)*AV117+(1-EXP(-LN(2)/25))/(LN(2)/25)*Calculateur!AQ118*Calculateur!AS118*VLOOKUP('Données projet'!$B$10,Paramètres!$A$1:$I$89,3,0)*0.475*44/12</f>
        <v>1.2996787471363462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2.441286895938831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>
        <f>VLOOKUP(A118,'Données projet'!$A$87:$I$107,2,0)</f>
        <v>330</v>
      </c>
      <c r="BB118" s="13">
        <f>VLOOKUP(A118,'Données projet'!$A$87:$I$107,9,0)</f>
        <v>4.5999999999999996</v>
      </c>
      <c r="BC118" s="13">
        <f t="array" ref="BC118">INDEX(BB:BB,MIN(IF(ISNUMBER(BB118:BB314),ROW(BB118:BB314),"")))</f>
        <v>4.5999999999999996</v>
      </c>
      <c r="BD118" s="13">
        <f>IF('Données projet'!$A$88&gt;35,BD117+BC118-BL117,IF(A118&lt;'Données projet'!$A$88,$BA$205^A118,IF(A118='Données projet'!$A$88,'Données projet'!$B$88,BD117+BC118-BL117)))</f>
        <v>330</v>
      </c>
      <c r="BE118" s="14">
        <f>BD118*VLOOKUP('Données projet'!$B$11,Paramètres!$A$1:$I$89,3,0)*VLOOKUP('Données projet'!$B$11,Paramètres!$A$1:$I$89,5,0)</f>
        <v>334.62</v>
      </c>
      <c r="BF118" s="14">
        <f t="shared" si="91"/>
        <v>78.387374628661505</v>
      </c>
      <c r="BG118" s="22">
        <f t="shared" si="61"/>
        <v>719.32117747825214</v>
      </c>
      <c r="BH118" s="62">
        <f t="shared" si="62"/>
        <v>1012.6545108115854</v>
      </c>
      <c r="BI118" s="62">
        <f ca="1">AVERAGE(OFFSET($BH$3,0,0,'Données projet'!$E$11+1,1))-AVERAGE(OFFSET($H$3,0,0,'Données projet'!$E$11+1,1))</f>
        <v>487.04124684635974</v>
      </c>
      <c r="BJ118" s="62">
        <f t="shared" si="92"/>
        <v>306.61893266146666</v>
      </c>
      <c r="BK118" s="16">
        <f>IF(ISNA(VLOOKUP(A118,'Données projet'!$A$87:$I$107,3,0)),0,VLOOKUP(A118,'Données projet'!$A$87:$I$107,3,0))</f>
        <v>20</v>
      </c>
      <c r="BL118" s="16">
        <f>IF(ISNA(VLOOKUP(A118,'Données projet'!$A$87:$I$107,4,0)),0,VLOOKUP(A118,'Données projet'!$A$87:$I$107,4,0))</f>
        <v>330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0.50138195724433454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0.50138195724433454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>
        <f>VLOOKUP(A118,'Données projet'!$A$113:$I$133,2,0)</f>
        <v>330</v>
      </c>
      <c r="BW118" s="13">
        <f>VLOOKUP(A118,'Données projet'!$A$113:$I$133,9,0)</f>
        <v>4.5999999999999996</v>
      </c>
      <c r="BX118" s="13">
        <f t="array" ref="BX118">INDEX(BW:BW,MIN(IF(ISNUMBER(BW118:BW314),ROW(BW118:BW314),"")))</f>
        <v>4.5999999999999996</v>
      </c>
      <c r="BY118" s="13">
        <f>IF('Données projet'!$A$114&gt;35,BY117+BX118-CG117,IF(A118&lt;'Données projet'!$A$114,$BV$205^A118,IF(A118='Données projet'!$A$114,'Données projet'!$B$114,BY117+BX118-CG117)))</f>
        <v>330</v>
      </c>
      <c r="BZ118" s="14">
        <f>BY118*VLOOKUP('Données projet'!$B$12,Paramètres!$A$1:$I$89,3,0)*VLOOKUP('Données projet'!$B$12,Paramètres!$A$1:$I$89,5,0)</f>
        <v>298.58399999999995</v>
      </c>
      <c r="CA118" s="14">
        <f t="shared" si="93"/>
        <v>70.879533797607607</v>
      </c>
      <c r="CB118" s="22">
        <f t="shared" si="64"/>
        <v>643.48232136416652</v>
      </c>
      <c r="CC118" s="62">
        <f t="shared" si="65"/>
        <v>936.81565469749989</v>
      </c>
      <c r="CD118" s="62">
        <f ca="1">AVERAGE(OFFSET($CC$3,0,0,'Données projet'!$E$12+1,1))-AVERAGE(OFFSET($H$3,0,0,'Données projet'!$E$12+1,1))</f>
        <v>439.06700232017681</v>
      </c>
      <c r="CE118" s="62">
        <f t="shared" si="94"/>
        <v>278.21741231699929</v>
      </c>
      <c r="CF118" s="16">
        <f>IF(ISNA(VLOOKUP(A118,'Données projet'!$A$113:$I$133,3,0)),0,VLOOKUP(A118,'Données projet'!$A$113:$I$133,3,0))</f>
        <v>20</v>
      </c>
      <c r="CG118" s="16">
        <f>IF(ISNA(VLOOKUP(A118,'Données projet'!$A$113:$I$133,4,0)),0,VLOOKUP(A118,'Données projet'!$A$113:$I$133,4,0))</f>
        <v>330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0.44738697723340609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0.44738697723340609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317.99999999999972</v>
      </c>
      <c r="CU118" s="18">
        <f>CT118*VLOOKUP('Données projet'!$B$13,Paramètres!$A$1:$I$89,3,0)*VLOOKUP('Données projet'!$B$13,Paramètres!$A$1:$I$89,5,0)</f>
        <v>233.1575999999998</v>
      </c>
      <c r="CV118" s="14">
        <f t="shared" si="95"/>
        <v>56.964885721091697</v>
      </c>
      <c r="CW118" s="22">
        <f t="shared" si="67"/>
        <v>505.29666263090093</v>
      </c>
      <c r="CX118" s="62">
        <f t="shared" si="68"/>
        <v>798.62999596423424</v>
      </c>
      <c r="CY118" s="62">
        <f ca="1">AVERAGE(OFFSET($CX$3,0,0,'Données projet'!$E$13+1,1))-AVERAGE(OFFSET($H$3,0,0,'Données projet'!$E$13+1,1))</f>
        <v>327.81662150328646</v>
      </c>
      <c r="CZ118" s="62">
        <f t="shared" si="96"/>
        <v>320.24200483294322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0.37175314000800713</v>
      </c>
      <c r="DG118" s="23">
        <f>EXP(-LN(2)/25)*DG117+(1-EXP(-LN(2)/25))/(LN(2)/25)*Calculateur!DB118*Calculateur!DD118*VLOOKUP('Données projet'!$B$13,Paramètres!$A$1:$I$89,3,0)*0.475*44/12</f>
        <v>0</v>
      </c>
      <c r="DH118" s="23">
        <f>EXP(-LN(2)/2)*DH117+(1-EXP(-LN(2)/2))/(LN(2)/2)*DB118*DE118*VLOOKUP('Données projet'!$B$13,Paramètres!$A$1:$I$89,3,0)*0.475*44/12</f>
        <v>0</v>
      </c>
      <c r="DI118" s="24">
        <f t="shared" si="69"/>
        <v>0.37175314000800713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5.6843418860808015E-14</v>
      </c>
      <c r="DP118" s="18">
        <f>DO118*VLOOKUP('Données projet'!$B$14,Paramètres!$A$1:$I$89,3,0)*VLOOKUP('Données projet'!$B$14,Paramètres!$A$1:$I$89,5,0)</f>
        <v>3.7243808037601412E-14</v>
      </c>
      <c r="DQ118" s="14">
        <f t="shared" si="97"/>
        <v>6.2767589361185393E-13</v>
      </c>
      <c r="DR118" s="22">
        <f t="shared" si="70"/>
        <v>1.1580684803728015E-12</v>
      </c>
      <c r="DS118" s="62">
        <f t="shared" si="71"/>
        <v>293.33333333333445</v>
      </c>
      <c r="DT118" s="62">
        <f ca="1">AVERAGE(OFFSET($DS$3,0,0,'Données projet'!$E$14+1,1))-AVERAGE(OFFSET($H$3,0,0,'Données projet'!$E$14+1,1))</f>
        <v>210.08998695869161</v>
      </c>
      <c r="DU118" s="62">
        <f t="shared" si="98"/>
        <v>207.30911916430881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>
        <f>EXP(-LN(2)/35)*EA117+(1-EXP(-LN(2)/35))/(LN(2)/35)*DW118*DX118*VLOOKUP('Données projet'!$B$14,Paramètres!$A$1:$I$89,3,0)*0.475*44/12</f>
        <v>8.5424125789073893E-2</v>
      </c>
      <c r="EB118" s="23">
        <f>EXP(-LN(2)/25)*EB117+(1-EXP(-LN(2)/25))/(LN(2)/25)*Calculateur!DW118*Calculateur!DY118*VLOOKUP('Données projet'!$B$14,Paramètres!$A$1:$I$89,3,0)*0.475*44/12</f>
        <v>0</v>
      </c>
      <c r="EC118" s="23">
        <f>EXP(-LN(2)/2)*EC117+(1-EXP(-LN(2)/2))/(LN(2)/2)*DW118*DZ118*VLOOKUP('Données projet'!$B$14,Paramètres!$A$1:$I$89,3,0)*0.475*44/12</f>
        <v>0</v>
      </c>
      <c r="ED118" s="24">
        <f t="shared" si="72"/>
        <v>8.5424125789073893E-2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5.6843418860808015E-14</v>
      </c>
      <c r="EK118" s="18">
        <f>EJ118*VLOOKUP('Données projet'!$B$15,Paramètres!$A$1:$I$89,3,0)*VLOOKUP('Données projet'!$B$15,Paramètres!$A$1:$I$89,5,0)</f>
        <v>4.4337866711430253E-14</v>
      </c>
      <c r="EL118" s="14">
        <f t="shared" si="99"/>
        <v>7.3222115536967035E-13</v>
      </c>
      <c r="EM118" s="22">
        <f t="shared" si="73"/>
        <v>1.3525069634579169E-12</v>
      </c>
      <c r="EN118" s="62">
        <f t="shared" si="74"/>
        <v>293.33333333333468</v>
      </c>
      <c r="EO118" s="62">
        <f ca="1">AVERAGE(OFFSET($EN$3,0,0,'Données projet'!$E$15+1,1))-AVERAGE(OFFSET($H$3,0,0,'Données projet'!$E$15+1,1))</f>
        <v>288.82868507674738</v>
      </c>
      <c r="EP118" s="62">
        <f t="shared" si="100"/>
        <v>283.48738729114024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>
        <f>EXP(-LN(2)/35)*EV117+(1-EXP(-LN(2)/35))/(LN(2)/35)*ER118*ES118*VLOOKUP('Données projet'!$B$15,Paramètres!$A$1:$I$89,3,0)*0.475*44/12</f>
        <v>0.33684243392310426</v>
      </c>
      <c r="EW118" s="23">
        <f>EXP(-LN(2)/25)*EW117+(1-EXP(-LN(2)/25))/(LN(2)/25)*Calculateur!ER118*Calculateur!ET118*VLOOKUP('Données projet'!$B$15,Paramètres!$A$1:$I$89,3,0)*0.475*44/12</f>
        <v>0</v>
      </c>
      <c r="EX118" s="23">
        <f>EXP(-LN(2)/2)*EX117+(1-EXP(-LN(2)/2))/(LN(2)/2)*ER118*EU118*VLOOKUP('Données projet'!$B$15,Paramètres!$A$1:$I$89,3,0)*0.475*44/12</f>
        <v>0</v>
      </c>
      <c r="EY118" s="24">
        <f t="shared" si="75"/>
        <v>0.33684243392310426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3.4106051316484809E-13</v>
      </c>
      <c r="O119" s="14">
        <f>N119*VLOOKUP('Données projet'!$B$9,Paramètres!$A$1:$I$89,3,0)*VLOOKUP('Données projet'!$B$9,Paramètres!$A$1:$I$89,5,0)</f>
        <v>1.5961632016114892E-13</v>
      </c>
      <c r="P119" s="14">
        <f t="shared" si="87"/>
        <v>2.2708641912150958E-12</v>
      </c>
      <c r="Q119" s="22">
        <f t="shared" si="107"/>
        <v>4.2330868906469593E-12</v>
      </c>
      <c r="R119" s="62">
        <f t="shared" si="55"/>
        <v>293.33333333333752</v>
      </c>
      <c r="S119" s="62">
        <f ca="1">AVERAGE(OFFSET($R$3,0,0,'Données projet'!$E$9+1,1))-AVERAGE(OFFSET($H$3,0,0,'Données projet'!$E$9+1,1))</f>
        <v>317.54276561627643</v>
      </c>
      <c r="T119" s="62">
        <f t="shared" si="88"/>
        <v>238.92443174298893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-1.1368683772161603E-13</v>
      </c>
      <c r="AJ119" s="14">
        <f>AI119*VLOOKUP('Données projet'!$B$10,Paramètres!$A$1:$I$89,3,0)*VLOOKUP('Données projet'!$B$10,Paramètres!$A$1:$I$89,5,0)</f>
        <v>-9.9316821433603781E-14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327.826081588335</v>
      </c>
      <c r="AO119" s="62">
        <f t="shared" si="90"/>
        <v>348.84706693879735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1.1192219093166837</v>
      </c>
      <c r="AV119" s="23">
        <f>EXP(-LN(2)/25)*AV118+(1-EXP(-LN(2)/25))/(LN(2)/25)*Calculateur!AQ119*Calculateur!AS119*VLOOKUP('Données projet'!$B$10,Paramètres!$A$1:$I$89,3,0)*0.475*44/12</f>
        <v>1.2641389634487681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2.3833608727654516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>
        <f>BD119*VLOOKUP('Données projet'!$B$11,Paramètres!$A$1:$I$89,3,0)*VLOOKUP('Données projet'!$B$11,Paramètres!$A$1:$I$89,5,0)</f>
        <v>0</v>
      </c>
      <c r="BF119" s="14" t="e">
        <f t="shared" si="91"/>
        <v>#NUM!</v>
      </c>
      <c r="BG119" s="22" t="e">
        <f t="shared" si="61"/>
        <v>#NUM!</v>
      </c>
      <c r="BH119" s="62" t="e">
        <f t="shared" si="62"/>
        <v>#NUM!</v>
      </c>
      <c r="BI119" s="62">
        <f ca="1">AVERAGE(OFFSET($BH$3,0,0,'Données projet'!$E$11+1,1))-AVERAGE(OFFSET($H$3,0,0,'Données projet'!$E$11+1,1))</f>
        <v>487.04124684635974</v>
      </c>
      <c r="BJ119" s="62">
        <f t="shared" si="92"/>
        <v>306.61893266146666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0.49155016287557057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0.49155016287557057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>
        <f>BY119*VLOOKUP('Données projet'!$B$12,Paramètres!$A$1:$I$89,3,0)*VLOOKUP('Données projet'!$B$12,Paramètres!$A$1:$I$89,5,0)</f>
        <v>0</v>
      </c>
      <c r="CA119" s="14" t="e">
        <f t="shared" si="93"/>
        <v>#NUM!</v>
      </c>
      <c r="CB119" s="22" t="e">
        <f t="shared" si="64"/>
        <v>#NUM!</v>
      </c>
      <c r="CC119" s="62" t="e">
        <f t="shared" si="65"/>
        <v>#NUM!</v>
      </c>
      <c r="CD119" s="62">
        <f ca="1">AVERAGE(OFFSET($CC$3,0,0,'Données projet'!$E$12+1,1))-AVERAGE(OFFSET($H$3,0,0,'Données projet'!$E$12+1,1))</f>
        <v>439.06700232017681</v>
      </c>
      <c r="CE119" s="62">
        <f t="shared" si="94"/>
        <v>278.21741231699929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0.43861399148897051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0.43861399148897051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317.99999999999972</v>
      </c>
      <c r="CU119" s="18">
        <f>CT119*VLOOKUP('Données projet'!$B$13,Paramètres!$A$1:$I$89,3,0)*VLOOKUP('Données projet'!$B$13,Paramètres!$A$1:$I$89,5,0)</f>
        <v>233.1575999999998</v>
      </c>
      <c r="CV119" s="14">
        <f t="shared" si="95"/>
        <v>56.964885721091697</v>
      </c>
      <c r="CW119" s="22">
        <f t="shared" si="67"/>
        <v>505.29666263090093</v>
      </c>
      <c r="CX119" s="62">
        <f t="shared" si="68"/>
        <v>798.62999596423424</v>
      </c>
      <c r="CY119" s="62">
        <f ca="1">AVERAGE(OFFSET($CX$3,0,0,'Données projet'!$E$13+1,1))-AVERAGE(OFFSET($H$3,0,0,'Données projet'!$E$13+1,1))</f>
        <v>327.81662150328646</v>
      </c>
      <c r="CZ119" s="62">
        <f t="shared" si="96"/>
        <v>320.24200483294322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0.36446328767947611</v>
      </c>
      <c r="DG119" s="23">
        <f>EXP(-LN(2)/25)*DG118+(1-EXP(-LN(2)/25))/(LN(2)/25)*Calculateur!DB119*Calculateur!DD119*VLOOKUP('Données projet'!$B$13,Paramètres!$A$1:$I$89,3,0)*0.475*44/12</f>
        <v>0</v>
      </c>
      <c r="DH119" s="23">
        <f>EXP(-LN(2)/2)*DH118+(1-EXP(-LN(2)/2))/(LN(2)/2)*DB119*DE119*VLOOKUP('Données projet'!$B$13,Paramètres!$A$1:$I$89,3,0)*0.475*44/12</f>
        <v>0</v>
      </c>
      <c r="DI119" s="24">
        <f t="shared" si="69"/>
        <v>0.36446328767947611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5.6843418860808015E-14</v>
      </c>
      <c r="DP119" s="18">
        <f>DO119*VLOOKUP('Données projet'!$B$14,Paramètres!$A$1:$I$89,3,0)*VLOOKUP('Données projet'!$B$14,Paramètres!$A$1:$I$89,5,0)</f>
        <v>3.7243808037601412E-14</v>
      </c>
      <c r="DQ119" s="14">
        <f t="shared" si="97"/>
        <v>6.2767589361185393E-13</v>
      </c>
      <c r="DR119" s="22">
        <f t="shared" si="70"/>
        <v>1.1580684803728015E-12</v>
      </c>
      <c r="DS119" s="62">
        <f t="shared" si="71"/>
        <v>293.33333333333445</v>
      </c>
      <c r="DT119" s="62">
        <f ca="1">AVERAGE(OFFSET($DS$3,0,0,'Données projet'!$E$14+1,1))-AVERAGE(OFFSET($H$3,0,0,'Données projet'!$E$14+1,1))</f>
        <v>210.08998695869161</v>
      </c>
      <c r="DU119" s="62">
        <f t="shared" si="98"/>
        <v>207.30911916430881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>
        <f>EXP(-LN(2)/35)*EA118+(1-EXP(-LN(2)/35))/(LN(2)/35)*DW119*DX119*VLOOKUP('Données projet'!$B$14,Paramètres!$A$1:$I$89,3,0)*0.475*44/12</f>
        <v>8.374901078592209E-2</v>
      </c>
      <c r="EB119" s="23">
        <f>EXP(-LN(2)/25)*EB118+(1-EXP(-LN(2)/25))/(LN(2)/25)*Calculateur!DW119*Calculateur!DY119*VLOOKUP('Données projet'!$B$14,Paramètres!$A$1:$I$89,3,0)*0.475*44/12</f>
        <v>0</v>
      </c>
      <c r="EC119" s="23">
        <f>EXP(-LN(2)/2)*EC118+(1-EXP(-LN(2)/2))/(LN(2)/2)*DW119*DZ119*VLOOKUP('Données projet'!$B$14,Paramètres!$A$1:$I$89,3,0)*0.475*44/12</f>
        <v>0</v>
      </c>
      <c r="ED119" s="24">
        <f t="shared" si="72"/>
        <v>8.374901078592209E-2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5.6843418860808015E-14</v>
      </c>
      <c r="EK119" s="18">
        <f>EJ119*VLOOKUP('Données projet'!$B$15,Paramètres!$A$1:$I$89,3,0)*VLOOKUP('Données projet'!$B$15,Paramètres!$A$1:$I$89,5,0)</f>
        <v>4.4337866711430253E-14</v>
      </c>
      <c r="EL119" s="14">
        <f t="shared" si="99"/>
        <v>7.3222115536967035E-13</v>
      </c>
      <c r="EM119" s="22">
        <f t="shared" si="73"/>
        <v>1.3525069634579169E-12</v>
      </c>
      <c r="EN119" s="62">
        <f t="shared" si="74"/>
        <v>293.33333333333468</v>
      </c>
      <c r="EO119" s="62">
        <f ca="1">AVERAGE(OFFSET($EN$3,0,0,'Données projet'!$E$15+1,1))-AVERAGE(OFFSET($H$3,0,0,'Données projet'!$E$15+1,1))</f>
        <v>288.82868507674738</v>
      </c>
      <c r="EP119" s="62">
        <f t="shared" si="100"/>
        <v>283.48738729114024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>
        <f>EXP(-LN(2)/35)*EV118+(1-EXP(-LN(2)/35))/(LN(2)/35)*ER119*ES119*VLOOKUP('Données projet'!$B$15,Paramètres!$A$1:$I$89,3,0)*0.475*44/12</f>
        <v>0.33023715924746999</v>
      </c>
      <c r="EW119" s="23">
        <f>EXP(-LN(2)/25)*EW118+(1-EXP(-LN(2)/25))/(LN(2)/25)*Calculateur!ER119*Calculateur!ET119*VLOOKUP('Données projet'!$B$15,Paramètres!$A$1:$I$89,3,0)*0.475*44/12</f>
        <v>0</v>
      </c>
      <c r="EX119" s="23">
        <f>EXP(-LN(2)/2)*EX118+(1-EXP(-LN(2)/2))/(LN(2)/2)*ER119*EU119*VLOOKUP('Données projet'!$B$15,Paramètres!$A$1:$I$89,3,0)*0.475*44/12</f>
        <v>0</v>
      </c>
      <c r="EY119" s="24">
        <f t="shared" si="75"/>
        <v>0.33023715924746999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3.4106051316484809E-13</v>
      </c>
      <c r="O120" s="14">
        <f>N120*VLOOKUP('Données projet'!$B$9,Paramètres!$A$1:$I$89,3,0)*VLOOKUP('Données projet'!$B$9,Paramètres!$A$1:$I$89,5,0)</f>
        <v>1.5961632016114892E-13</v>
      </c>
      <c r="P120" s="14">
        <f t="shared" si="87"/>
        <v>2.2708641912150958E-12</v>
      </c>
      <c r="Q120" s="22">
        <f t="shared" si="107"/>
        <v>4.2330868906469593E-12</v>
      </c>
      <c r="R120" s="62">
        <f t="shared" si="55"/>
        <v>293.33333333333752</v>
      </c>
      <c r="S120" s="62">
        <f ca="1">AVERAGE(OFFSET($R$3,0,0,'Données projet'!$E$9+1,1))-AVERAGE(OFFSET($H$3,0,0,'Données projet'!$E$9+1,1))</f>
        <v>317.54276561627643</v>
      </c>
      <c r="T120" s="62">
        <f t="shared" si="88"/>
        <v>238.92443174298893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-1.1368683772161603E-13</v>
      </c>
      <c r="AJ120" s="14">
        <f>AI120*VLOOKUP('Données projet'!$B$10,Paramètres!$A$1:$I$89,3,0)*VLOOKUP('Données projet'!$B$10,Paramètres!$A$1:$I$89,5,0)</f>
        <v>-9.9316821433603781E-14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327.826081588335</v>
      </c>
      <c r="AO120" s="62">
        <f t="shared" si="90"/>
        <v>348.84706693879735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1.0972746503329414</v>
      </c>
      <c r="AV120" s="23">
        <f>EXP(-LN(2)/25)*AV119+(1-EXP(-LN(2)/25))/(LN(2)/25)*Calculateur!AQ120*Calculateur!AS120*VLOOKUP('Données projet'!$B$10,Paramètres!$A$1:$I$89,3,0)*0.475*44/12</f>
        <v>1.2295710170150826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2.326845667348024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>
        <f>BD120*VLOOKUP('Données projet'!$B$11,Paramètres!$A$1:$I$89,3,0)*VLOOKUP('Données projet'!$B$11,Paramètres!$A$1:$I$89,5,0)</f>
        <v>0</v>
      </c>
      <c r="BF120" s="14" t="e">
        <f t="shared" si="91"/>
        <v>#NUM!</v>
      </c>
      <c r="BG120" s="22" t="e">
        <f t="shared" si="61"/>
        <v>#NUM!</v>
      </c>
      <c r="BH120" s="62" t="e">
        <f t="shared" si="62"/>
        <v>#NUM!</v>
      </c>
      <c r="BI120" s="62">
        <f ca="1">AVERAGE(OFFSET($BH$3,0,0,'Données projet'!$E$11+1,1))-AVERAGE(OFFSET($H$3,0,0,'Données projet'!$E$11+1,1))</f>
        <v>487.04124684635974</v>
      </c>
      <c r="BJ120" s="62">
        <f t="shared" si="92"/>
        <v>306.61893266146666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0.48191116399757561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0.48191116399757561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>
        <f>BY120*VLOOKUP('Données projet'!$B$12,Paramètres!$A$1:$I$89,3,0)*VLOOKUP('Données projet'!$B$12,Paramètres!$A$1:$I$89,5,0)</f>
        <v>0</v>
      </c>
      <c r="CA120" s="14" t="e">
        <f t="shared" si="93"/>
        <v>#NUM!</v>
      </c>
      <c r="CB120" s="22" t="e">
        <f t="shared" si="64"/>
        <v>#NUM!</v>
      </c>
      <c r="CC120" s="62" t="e">
        <f t="shared" si="65"/>
        <v>#NUM!</v>
      </c>
      <c r="CD120" s="62">
        <f ca="1">AVERAGE(OFFSET($CC$3,0,0,'Données projet'!$E$12+1,1))-AVERAGE(OFFSET($H$3,0,0,'Données projet'!$E$12+1,1))</f>
        <v>439.06700232017681</v>
      </c>
      <c r="CE120" s="62">
        <f t="shared" si="94"/>
        <v>278.21741231699929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0.43001303864399038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0.43001303864399038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317.99999999999972</v>
      </c>
      <c r="CU120" s="18">
        <f>CT120*VLOOKUP('Données projet'!$B$13,Paramètres!$A$1:$I$89,3,0)*VLOOKUP('Données projet'!$B$13,Paramètres!$A$1:$I$89,5,0)</f>
        <v>233.1575999999998</v>
      </c>
      <c r="CV120" s="14">
        <f t="shared" si="95"/>
        <v>56.964885721091697</v>
      </c>
      <c r="CW120" s="22">
        <f t="shared" si="67"/>
        <v>505.29666263090093</v>
      </c>
      <c r="CX120" s="62">
        <f t="shared" si="68"/>
        <v>798.62999596423424</v>
      </c>
      <c r="CY120" s="62">
        <f ca="1">AVERAGE(OFFSET($CX$3,0,0,'Données projet'!$E$13+1,1))-AVERAGE(OFFSET($H$3,0,0,'Données projet'!$E$13+1,1))</f>
        <v>327.81662150328646</v>
      </c>
      <c r="CZ120" s="62">
        <f t="shared" si="96"/>
        <v>320.24200483294322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0.35731638490873668</v>
      </c>
      <c r="DG120" s="23">
        <f>EXP(-LN(2)/25)*DG119+(1-EXP(-LN(2)/25))/(LN(2)/25)*Calculateur!DB120*Calculateur!DD120*VLOOKUP('Données projet'!$B$13,Paramètres!$A$1:$I$89,3,0)*0.475*44/12</f>
        <v>0</v>
      </c>
      <c r="DH120" s="23">
        <f>EXP(-LN(2)/2)*DH119+(1-EXP(-LN(2)/2))/(LN(2)/2)*DB120*DE120*VLOOKUP('Données projet'!$B$13,Paramètres!$A$1:$I$89,3,0)*0.475*44/12</f>
        <v>0</v>
      </c>
      <c r="DI120" s="24">
        <f t="shared" si="69"/>
        <v>0.35731638490873668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5.6843418860808015E-14</v>
      </c>
      <c r="DP120" s="18">
        <f>DO120*VLOOKUP('Données projet'!$B$14,Paramètres!$A$1:$I$89,3,0)*VLOOKUP('Données projet'!$B$14,Paramètres!$A$1:$I$89,5,0)</f>
        <v>3.7243808037601412E-14</v>
      </c>
      <c r="DQ120" s="14">
        <f t="shared" si="97"/>
        <v>6.2767589361185393E-13</v>
      </c>
      <c r="DR120" s="22">
        <f t="shared" si="70"/>
        <v>1.1580684803728015E-12</v>
      </c>
      <c r="DS120" s="62">
        <f t="shared" si="71"/>
        <v>293.33333333333445</v>
      </c>
      <c r="DT120" s="62">
        <f ca="1">AVERAGE(OFFSET($DS$3,0,0,'Données projet'!$E$14+1,1))-AVERAGE(OFFSET($H$3,0,0,'Données projet'!$E$14+1,1))</f>
        <v>210.08998695869161</v>
      </c>
      <c r="DU120" s="62">
        <f t="shared" si="98"/>
        <v>207.30911916430881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>
        <f>EXP(-LN(2)/35)*EA119+(1-EXP(-LN(2)/35))/(LN(2)/35)*DW120*DX120*VLOOKUP('Données projet'!$B$14,Paramètres!$A$1:$I$89,3,0)*0.475*44/12</f>
        <v>8.2106743766262827E-2</v>
      </c>
      <c r="EB120" s="23">
        <f>EXP(-LN(2)/25)*EB119+(1-EXP(-LN(2)/25))/(LN(2)/25)*Calculateur!DW120*Calculateur!DY120*VLOOKUP('Données projet'!$B$14,Paramètres!$A$1:$I$89,3,0)*0.475*44/12</f>
        <v>0</v>
      </c>
      <c r="EC120" s="23">
        <f>EXP(-LN(2)/2)*EC119+(1-EXP(-LN(2)/2))/(LN(2)/2)*DW120*DZ120*VLOOKUP('Données projet'!$B$14,Paramètres!$A$1:$I$89,3,0)*0.475*44/12</f>
        <v>0</v>
      </c>
      <c r="ED120" s="24">
        <f t="shared" si="72"/>
        <v>8.2106743766262827E-2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5.6843418860808015E-14</v>
      </c>
      <c r="EK120" s="18">
        <f>EJ120*VLOOKUP('Données projet'!$B$15,Paramètres!$A$1:$I$89,3,0)*VLOOKUP('Données projet'!$B$15,Paramètres!$A$1:$I$89,5,0)</f>
        <v>4.4337866711430253E-14</v>
      </c>
      <c r="EL120" s="14">
        <f t="shared" si="99"/>
        <v>7.3222115536967035E-13</v>
      </c>
      <c r="EM120" s="22">
        <f t="shared" si="73"/>
        <v>1.3525069634579169E-12</v>
      </c>
      <c r="EN120" s="62">
        <f t="shared" si="74"/>
        <v>293.33333333333468</v>
      </c>
      <c r="EO120" s="62">
        <f ca="1">AVERAGE(OFFSET($EN$3,0,0,'Données projet'!$E$15+1,1))-AVERAGE(OFFSET($H$3,0,0,'Données projet'!$E$15+1,1))</f>
        <v>288.82868507674738</v>
      </c>
      <c r="EP120" s="62">
        <f t="shared" si="100"/>
        <v>283.48738729114024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>
        <f>EXP(-LN(2)/35)*EV119+(1-EXP(-LN(2)/35))/(LN(2)/35)*ER120*ES120*VLOOKUP('Données projet'!$B$15,Paramètres!$A$1:$I$89,3,0)*0.475*44/12</f>
        <v>0.32376140997940522</v>
      </c>
      <c r="EW120" s="23">
        <f>EXP(-LN(2)/25)*EW119+(1-EXP(-LN(2)/25))/(LN(2)/25)*Calculateur!ER120*Calculateur!ET120*VLOOKUP('Données projet'!$B$15,Paramètres!$A$1:$I$89,3,0)*0.475*44/12</f>
        <v>0</v>
      </c>
      <c r="EX120" s="23">
        <f>EXP(-LN(2)/2)*EX119+(1-EXP(-LN(2)/2))/(LN(2)/2)*ER120*EU120*VLOOKUP('Données projet'!$B$15,Paramètres!$A$1:$I$89,3,0)*0.475*44/12</f>
        <v>0</v>
      </c>
      <c r="EY120" s="24">
        <f t="shared" si="75"/>
        <v>0.32376140997940522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3.4106051316484809E-13</v>
      </c>
      <c r="O121" s="14">
        <f>N121*VLOOKUP('Données projet'!$B$9,Paramètres!$A$1:$I$89,3,0)*VLOOKUP('Données projet'!$B$9,Paramètres!$A$1:$I$89,5,0)</f>
        <v>1.5961632016114892E-13</v>
      </c>
      <c r="P121" s="14">
        <f t="shared" si="87"/>
        <v>2.2708641912150958E-12</v>
      </c>
      <c r="Q121" s="22">
        <f t="shared" si="107"/>
        <v>4.2330868906469593E-12</v>
      </c>
      <c r="R121" s="62">
        <f t="shared" si="55"/>
        <v>293.33333333333752</v>
      </c>
      <c r="S121" s="62">
        <f ca="1">AVERAGE(OFFSET($R$3,0,0,'Données projet'!$E$9+1,1))-AVERAGE(OFFSET($H$3,0,0,'Données projet'!$E$9+1,1))</f>
        <v>317.54276561627643</v>
      </c>
      <c r="T121" s="62">
        <f t="shared" si="88"/>
        <v>238.92443174298893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-1.1368683772161603E-13</v>
      </c>
      <c r="AJ121" s="14">
        <f>AI121*VLOOKUP('Données projet'!$B$10,Paramètres!$A$1:$I$89,3,0)*VLOOKUP('Données projet'!$B$10,Paramètres!$A$1:$I$89,5,0)</f>
        <v>-9.9316821433603781E-14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327.826081588335</v>
      </c>
      <c r="AO121" s="62">
        <f t="shared" si="90"/>
        <v>348.84706693879735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1.075757763711364</v>
      </c>
      <c r="AV121" s="23">
        <f>EXP(-LN(2)/25)*AV120+(1-EXP(-LN(2)/25))/(LN(2)/25)*Calculateur!AQ121*Calculateur!AS121*VLOOKUP('Données projet'!$B$10,Paramètres!$A$1:$I$89,3,0)*0.475*44/12</f>
        <v>1.1959483328944756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2.2717060966058398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>
        <f>BD121*VLOOKUP('Données projet'!$B$11,Paramètres!$A$1:$I$89,3,0)*VLOOKUP('Données projet'!$B$11,Paramètres!$A$1:$I$89,5,0)</f>
        <v>0</v>
      </c>
      <c r="BF121" s="14" t="e">
        <f t="shared" si="91"/>
        <v>#NUM!</v>
      </c>
      <c r="BG121" s="22" t="e">
        <f t="shared" si="61"/>
        <v>#NUM!</v>
      </c>
      <c r="BH121" s="62" t="e">
        <f t="shared" si="62"/>
        <v>#NUM!</v>
      </c>
      <c r="BI121" s="62">
        <f ca="1">AVERAGE(OFFSET($BH$3,0,0,'Données projet'!$E$11+1,1))-AVERAGE(OFFSET($H$3,0,0,'Données projet'!$E$11+1,1))</f>
        <v>487.04124684635974</v>
      </c>
      <c r="BJ121" s="62">
        <f t="shared" si="92"/>
        <v>306.61893266146666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0.47246118000836934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0.47246118000836934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>
        <f>BY121*VLOOKUP('Données projet'!$B$12,Paramètres!$A$1:$I$89,3,0)*VLOOKUP('Données projet'!$B$12,Paramètres!$A$1:$I$89,5,0)</f>
        <v>0</v>
      </c>
      <c r="CA121" s="14" t="e">
        <f t="shared" si="93"/>
        <v>#NUM!</v>
      </c>
      <c r="CB121" s="22" t="e">
        <f t="shared" si="64"/>
        <v>#NUM!</v>
      </c>
      <c r="CC121" s="62" t="e">
        <f t="shared" si="65"/>
        <v>#NUM!</v>
      </c>
      <c r="CD121" s="62">
        <f ca="1">AVERAGE(OFFSET($CC$3,0,0,'Données projet'!$E$12+1,1))-AVERAGE(OFFSET($H$3,0,0,'Données projet'!$E$12+1,1))</f>
        <v>439.06700232017681</v>
      </c>
      <c r="CE121" s="62">
        <f t="shared" si="94"/>
        <v>278.21741231699929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0.42158074523823708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0.42158074523823708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317.99999999999972</v>
      </c>
      <c r="CU121" s="18">
        <f>CT121*VLOOKUP('Données projet'!$B$13,Paramètres!$A$1:$I$89,3,0)*VLOOKUP('Données projet'!$B$13,Paramètres!$A$1:$I$89,5,0)</f>
        <v>233.1575999999998</v>
      </c>
      <c r="CV121" s="14">
        <f t="shared" si="95"/>
        <v>56.964885721091697</v>
      </c>
      <c r="CW121" s="22">
        <f t="shared" si="67"/>
        <v>505.29666263090093</v>
      </c>
      <c r="CX121" s="62">
        <f t="shared" si="68"/>
        <v>798.62999596423424</v>
      </c>
      <c r="CY121" s="62">
        <f ca="1">AVERAGE(OFFSET($CX$3,0,0,'Données projet'!$E$13+1,1))-AVERAGE(OFFSET($H$3,0,0,'Données projet'!$E$13+1,1))</f>
        <v>327.81662150328646</v>
      </c>
      <c r="CZ121" s="62">
        <f t="shared" si="96"/>
        <v>320.24200483294322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0.3503096285421512</v>
      </c>
      <c r="DG121" s="23">
        <f>EXP(-LN(2)/25)*DG120+(1-EXP(-LN(2)/25))/(LN(2)/25)*Calculateur!DB121*Calculateur!DD121*VLOOKUP('Données projet'!$B$13,Paramètres!$A$1:$I$89,3,0)*0.475*44/12</f>
        <v>0</v>
      </c>
      <c r="DH121" s="23">
        <f>EXP(-LN(2)/2)*DH120+(1-EXP(-LN(2)/2))/(LN(2)/2)*DB121*DE121*VLOOKUP('Données projet'!$B$13,Paramètres!$A$1:$I$89,3,0)*0.475*44/12</f>
        <v>0</v>
      </c>
      <c r="DI121" s="24">
        <f t="shared" si="69"/>
        <v>0.3503096285421512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5.6843418860808015E-14</v>
      </c>
      <c r="DP121" s="18">
        <f>DO121*VLOOKUP('Données projet'!$B$14,Paramètres!$A$1:$I$89,3,0)*VLOOKUP('Données projet'!$B$14,Paramètres!$A$1:$I$89,5,0)</f>
        <v>3.7243808037601412E-14</v>
      </c>
      <c r="DQ121" s="14">
        <f t="shared" si="97"/>
        <v>6.2767589361185393E-13</v>
      </c>
      <c r="DR121" s="22">
        <f t="shared" si="70"/>
        <v>1.1580684803728015E-12</v>
      </c>
      <c r="DS121" s="62">
        <f t="shared" si="71"/>
        <v>293.33333333333445</v>
      </c>
      <c r="DT121" s="62">
        <f ca="1">AVERAGE(OFFSET($DS$3,0,0,'Données projet'!$E$14+1,1))-AVERAGE(OFFSET($H$3,0,0,'Données projet'!$E$14+1,1))</f>
        <v>210.08998695869161</v>
      </c>
      <c r="DU121" s="62">
        <f t="shared" si="98"/>
        <v>207.30911916430881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>
        <f>EXP(-LN(2)/35)*EA120+(1-EXP(-LN(2)/35))/(LN(2)/35)*DW121*DX121*VLOOKUP('Données projet'!$B$14,Paramètres!$A$1:$I$89,3,0)*0.475*44/12</f>
        <v>8.0496680601175111E-2</v>
      </c>
      <c r="EB121" s="23">
        <f>EXP(-LN(2)/25)*EB120+(1-EXP(-LN(2)/25))/(LN(2)/25)*Calculateur!DW121*Calculateur!DY121*VLOOKUP('Données projet'!$B$14,Paramètres!$A$1:$I$89,3,0)*0.475*44/12</f>
        <v>0</v>
      </c>
      <c r="EC121" s="23">
        <f>EXP(-LN(2)/2)*EC120+(1-EXP(-LN(2)/2))/(LN(2)/2)*DW121*DZ121*VLOOKUP('Données projet'!$B$14,Paramètres!$A$1:$I$89,3,0)*0.475*44/12</f>
        <v>0</v>
      </c>
      <c r="ED121" s="24">
        <f t="shared" si="72"/>
        <v>8.0496680601175111E-2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5.6843418860808015E-14</v>
      </c>
      <c r="EK121" s="18">
        <f>EJ121*VLOOKUP('Données projet'!$B$15,Paramètres!$A$1:$I$89,3,0)*VLOOKUP('Données projet'!$B$15,Paramètres!$A$1:$I$89,5,0)</f>
        <v>4.4337866711430253E-14</v>
      </c>
      <c r="EL121" s="14">
        <f t="shared" si="99"/>
        <v>7.3222115536967035E-13</v>
      </c>
      <c r="EM121" s="22">
        <f t="shared" si="73"/>
        <v>1.3525069634579169E-12</v>
      </c>
      <c r="EN121" s="62">
        <f t="shared" si="74"/>
        <v>293.33333333333468</v>
      </c>
      <c r="EO121" s="62">
        <f ca="1">AVERAGE(OFFSET($EN$3,0,0,'Données projet'!$E$15+1,1))-AVERAGE(OFFSET($H$3,0,0,'Données projet'!$E$15+1,1))</f>
        <v>288.82868507674738</v>
      </c>
      <c r="EP121" s="62">
        <f t="shared" si="100"/>
        <v>283.48738729114024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>
        <f>EXP(-LN(2)/35)*EV120+(1-EXP(-LN(2)/35))/(LN(2)/35)*ER121*ES121*VLOOKUP('Données projet'!$B$15,Paramètres!$A$1:$I$89,3,0)*0.475*44/12</f>
        <v>0.31741264620467013</v>
      </c>
      <c r="EW121" s="23">
        <f>EXP(-LN(2)/25)*EW120+(1-EXP(-LN(2)/25))/(LN(2)/25)*Calculateur!ER121*Calculateur!ET121*VLOOKUP('Données projet'!$B$15,Paramètres!$A$1:$I$89,3,0)*0.475*44/12</f>
        <v>0</v>
      </c>
      <c r="EX121" s="23">
        <f>EXP(-LN(2)/2)*EX120+(1-EXP(-LN(2)/2))/(LN(2)/2)*ER121*EU121*VLOOKUP('Données projet'!$B$15,Paramètres!$A$1:$I$89,3,0)*0.475*44/12</f>
        <v>0</v>
      </c>
      <c r="EY121" s="24">
        <f t="shared" si="75"/>
        <v>0.31741264620467013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3.4106051316484809E-13</v>
      </c>
      <c r="O122" s="14">
        <f>N122*VLOOKUP('Données projet'!$B$9,Paramètres!$A$1:$I$89,3,0)*VLOOKUP('Données projet'!$B$9,Paramètres!$A$1:$I$89,5,0)</f>
        <v>1.5961632016114892E-13</v>
      </c>
      <c r="P122" s="14">
        <f t="shared" si="87"/>
        <v>2.2708641912150958E-12</v>
      </c>
      <c r="Q122" s="22">
        <f t="shared" si="107"/>
        <v>4.2330868906469593E-12</v>
      </c>
      <c r="R122" s="62">
        <f t="shared" si="55"/>
        <v>293.33333333333752</v>
      </c>
      <c r="S122" s="62">
        <f ca="1">AVERAGE(OFFSET($R$3,0,0,'Données projet'!$E$9+1,1))-AVERAGE(OFFSET($H$3,0,0,'Données projet'!$E$9+1,1))</f>
        <v>317.54276561627643</v>
      </c>
      <c r="T122" s="62">
        <f t="shared" si="88"/>
        <v>238.92443174298893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-1.1368683772161603E-13</v>
      </c>
      <c r="AJ122" s="14">
        <f>AI122*VLOOKUP('Données projet'!$B$10,Paramètres!$A$1:$I$89,3,0)*VLOOKUP('Données projet'!$B$10,Paramètres!$A$1:$I$89,5,0)</f>
        <v>-9.9316821433603781E-14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327.826081588335</v>
      </c>
      <c r="AO122" s="62">
        <f t="shared" si="90"/>
        <v>348.84706693879735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1.0546628101124309</v>
      </c>
      <c r="AV122" s="23">
        <f>EXP(-LN(2)/25)*AV121+(1-EXP(-LN(2)/25))/(LN(2)/25)*Calculateur!AQ122*Calculateur!AS122*VLOOKUP('Données projet'!$B$10,Paramètres!$A$1:$I$89,3,0)*0.475*44/12</f>
        <v>1.1632450628392867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2.2179078729517174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>
        <f>BD122*VLOOKUP('Données projet'!$B$11,Paramètres!$A$1:$I$89,3,0)*VLOOKUP('Données projet'!$B$11,Paramètres!$A$1:$I$89,5,0)</f>
        <v>0</v>
      </c>
      <c r="BF122" s="14" t="e">
        <f t="shared" si="91"/>
        <v>#NUM!</v>
      </c>
      <c r="BG122" s="22" t="e">
        <f t="shared" si="61"/>
        <v>#NUM!</v>
      </c>
      <c r="BH122" s="62" t="e">
        <f t="shared" si="62"/>
        <v>#NUM!</v>
      </c>
      <c r="BI122" s="62">
        <f ca="1">AVERAGE(OFFSET($BH$3,0,0,'Données projet'!$E$11+1,1))-AVERAGE(OFFSET($H$3,0,0,'Données projet'!$E$11+1,1))</f>
        <v>487.04124684635974</v>
      </c>
      <c r="BJ122" s="62">
        <f t="shared" si="92"/>
        <v>306.61893266146666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0.46319650444127031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0.46319650444127031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>
        <f>BY122*VLOOKUP('Données projet'!$B$12,Paramètres!$A$1:$I$89,3,0)*VLOOKUP('Données projet'!$B$12,Paramètres!$A$1:$I$89,5,0)</f>
        <v>0</v>
      </c>
      <c r="CA122" s="14" t="e">
        <f t="shared" si="93"/>
        <v>#NUM!</v>
      </c>
      <c r="CB122" s="22" t="e">
        <f t="shared" si="64"/>
        <v>#NUM!</v>
      </c>
      <c r="CC122" s="62" t="e">
        <f t="shared" si="65"/>
        <v>#NUM!</v>
      </c>
      <c r="CD122" s="62">
        <f ca="1">AVERAGE(OFFSET($CC$3,0,0,'Données projet'!$E$12+1,1))-AVERAGE(OFFSET($H$3,0,0,'Données projet'!$E$12+1,1))</f>
        <v>439.06700232017681</v>
      </c>
      <c r="CE122" s="62">
        <f t="shared" si="94"/>
        <v>278.21741231699929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0.41331380396297951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0.41331380396297951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317.99999999999972</v>
      </c>
      <c r="CU122" s="18">
        <f>CT122*VLOOKUP('Données projet'!$B$13,Paramètres!$A$1:$I$89,3,0)*VLOOKUP('Données projet'!$B$13,Paramètres!$A$1:$I$89,5,0)</f>
        <v>233.1575999999998</v>
      </c>
      <c r="CV122" s="14">
        <f t="shared" si="95"/>
        <v>56.964885721091697</v>
      </c>
      <c r="CW122" s="22">
        <f t="shared" si="67"/>
        <v>505.29666263090093</v>
      </c>
      <c r="CX122" s="62">
        <f t="shared" si="68"/>
        <v>798.62999596423424</v>
      </c>
      <c r="CY122" s="62">
        <f ca="1">AVERAGE(OFFSET($CX$3,0,0,'Données projet'!$E$13+1,1))-AVERAGE(OFFSET($H$3,0,0,'Données projet'!$E$13+1,1))</f>
        <v>327.81662150328646</v>
      </c>
      <c r="CZ122" s="62">
        <f t="shared" si="96"/>
        <v>320.24200483294322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0.3434402703942151</v>
      </c>
      <c r="DG122" s="23">
        <f>EXP(-LN(2)/25)*DG121+(1-EXP(-LN(2)/25))/(LN(2)/25)*Calculateur!DB122*Calculateur!DD122*VLOOKUP('Données projet'!$B$13,Paramètres!$A$1:$I$89,3,0)*0.475*44/12</f>
        <v>0</v>
      </c>
      <c r="DH122" s="23">
        <f>EXP(-LN(2)/2)*DH121+(1-EXP(-LN(2)/2))/(LN(2)/2)*DB122*DE122*VLOOKUP('Données projet'!$B$13,Paramètres!$A$1:$I$89,3,0)*0.475*44/12</f>
        <v>0</v>
      </c>
      <c r="DI122" s="24">
        <f t="shared" si="69"/>
        <v>0.3434402703942151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5.6843418860808015E-14</v>
      </c>
      <c r="DP122" s="18">
        <f>DO122*VLOOKUP('Données projet'!$B$14,Paramètres!$A$1:$I$89,3,0)*VLOOKUP('Données projet'!$B$14,Paramètres!$A$1:$I$89,5,0)</f>
        <v>3.7243808037601412E-14</v>
      </c>
      <c r="DQ122" s="14">
        <f t="shared" si="97"/>
        <v>6.2767589361185393E-13</v>
      </c>
      <c r="DR122" s="22">
        <f t="shared" si="70"/>
        <v>1.1580684803728015E-12</v>
      </c>
      <c r="DS122" s="62">
        <f t="shared" si="71"/>
        <v>293.33333333333445</v>
      </c>
      <c r="DT122" s="62">
        <f ca="1">AVERAGE(OFFSET($DS$3,0,0,'Données projet'!$E$14+1,1))-AVERAGE(OFFSET($H$3,0,0,'Données projet'!$E$14+1,1))</f>
        <v>210.08998695869161</v>
      </c>
      <c r="DU122" s="62">
        <f t="shared" si="98"/>
        <v>207.30911916430881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>
        <f>EXP(-LN(2)/35)*EA121+(1-EXP(-LN(2)/35))/(LN(2)/35)*DW122*DX122*VLOOKUP('Données projet'!$B$14,Paramètres!$A$1:$I$89,3,0)*0.475*44/12</f>
        <v>7.89181897927132E-2</v>
      </c>
      <c r="EB122" s="23">
        <f>EXP(-LN(2)/25)*EB121+(1-EXP(-LN(2)/25))/(LN(2)/25)*Calculateur!DW122*Calculateur!DY122*VLOOKUP('Données projet'!$B$14,Paramètres!$A$1:$I$89,3,0)*0.475*44/12</f>
        <v>0</v>
      </c>
      <c r="EC122" s="23">
        <f>EXP(-LN(2)/2)*EC121+(1-EXP(-LN(2)/2))/(LN(2)/2)*DW122*DZ122*VLOOKUP('Données projet'!$B$14,Paramètres!$A$1:$I$89,3,0)*0.475*44/12</f>
        <v>0</v>
      </c>
      <c r="ED122" s="24">
        <f t="shared" si="72"/>
        <v>7.89181897927132E-2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5.6843418860808015E-14</v>
      </c>
      <c r="EK122" s="18">
        <f>EJ122*VLOOKUP('Données projet'!$B$15,Paramètres!$A$1:$I$89,3,0)*VLOOKUP('Données projet'!$B$15,Paramètres!$A$1:$I$89,5,0)</f>
        <v>4.4337866711430253E-14</v>
      </c>
      <c r="EL122" s="14">
        <f t="shared" si="99"/>
        <v>7.3222115536967035E-13</v>
      </c>
      <c r="EM122" s="22">
        <f t="shared" si="73"/>
        <v>1.3525069634579169E-12</v>
      </c>
      <c r="EN122" s="62">
        <f t="shared" si="74"/>
        <v>293.33333333333468</v>
      </c>
      <c r="EO122" s="62">
        <f ca="1">AVERAGE(OFFSET($EN$3,0,0,'Données projet'!$E$15+1,1))-AVERAGE(OFFSET($H$3,0,0,'Données projet'!$E$15+1,1))</f>
        <v>288.82868507674738</v>
      </c>
      <c r="EP122" s="62">
        <f t="shared" si="100"/>
        <v>283.48738729114024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>
        <f>EXP(-LN(2)/35)*EV121+(1-EXP(-LN(2)/35))/(LN(2)/35)*ER122*ES122*VLOOKUP('Données projet'!$B$15,Paramètres!$A$1:$I$89,3,0)*0.475*44/12</f>
        <v>0.31118837781519409</v>
      </c>
      <c r="EW122" s="23">
        <f>EXP(-LN(2)/25)*EW121+(1-EXP(-LN(2)/25))/(LN(2)/25)*Calculateur!ER122*Calculateur!ET122*VLOOKUP('Données projet'!$B$15,Paramètres!$A$1:$I$89,3,0)*0.475*44/12</f>
        <v>0</v>
      </c>
      <c r="EX122" s="23">
        <f>EXP(-LN(2)/2)*EX121+(1-EXP(-LN(2)/2))/(LN(2)/2)*ER122*EU122*VLOOKUP('Données projet'!$B$15,Paramètres!$A$1:$I$89,3,0)*0.475*44/12</f>
        <v>0</v>
      </c>
      <c r="EY122" s="24">
        <f t="shared" si="75"/>
        <v>0.31118837781519409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3.4106051316484809E-13</v>
      </c>
      <c r="O123" s="14">
        <f>N123*VLOOKUP('Données projet'!$B$9,Paramètres!$A$1:$I$89,3,0)*VLOOKUP('Données projet'!$B$9,Paramètres!$A$1:$I$89,5,0)</f>
        <v>1.5961632016114892E-13</v>
      </c>
      <c r="P123" s="14">
        <f t="shared" si="87"/>
        <v>2.2708641912150958E-12</v>
      </c>
      <c r="Q123" s="22">
        <f t="shared" si="107"/>
        <v>4.2330868906469593E-12</v>
      </c>
      <c r="R123" s="62">
        <f t="shared" si="55"/>
        <v>293.33333333333752</v>
      </c>
      <c r="S123" s="62">
        <f ca="1">AVERAGE(OFFSET($R$3,0,0,'Données projet'!$E$9+1,1))-AVERAGE(OFFSET($H$3,0,0,'Données projet'!$E$9+1,1))</f>
        <v>317.54276561627643</v>
      </c>
      <c r="T123" s="62">
        <f t="shared" si="88"/>
        <v>238.92443174298893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-1.1368683772161603E-13</v>
      </c>
      <c r="AJ123" s="14">
        <f>AI123*VLOOKUP('Données projet'!$B$10,Paramètres!$A$1:$I$89,3,0)*VLOOKUP('Données projet'!$B$10,Paramètres!$A$1:$I$89,5,0)</f>
        <v>-9.9316821433603781E-14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327.826081588335</v>
      </c>
      <c r="AO123" s="62">
        <f t="shared" si="90"/>
        <v>348.84706693879735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1.0339815156869216</v>
      </c>
      <c r="AV123" s="23">
        <f>EXP(-LN(2)/25)*AV122+(1-EXP(-LN(2)/25))/(LN(2)/25)*Calculateur!AQ123*Calculateur!AS123*VLOOKUP('Données projet'!$B$10,Paramètres!$A$1:$I$89,3,0)*0.475*44/12</f>
        <v>1.1314360654235471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2.1654175811104688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>
        <f>BD123*VLOOKUP('Données projet'!$B$11,Paramètres!$A$1:$I$89,3,0)*VLOOKUP('Données projet'!$B$11,Paramètres!$A$1:$I$89,5,0)</f>
        <v>0</v>
      </c>
      <c r="BF123" s="14" t="e">
        <f t="shared" si="91"/>
        <v>#NUM!</v>
      </c>
      <c r="BG123" s="22" t="e">
        <f t="shared" si="61"/>
        <v>#NUM!</v>
      </c>
      <c r="BH123" s="62" t="e">
        <f t="shared" si="62"/>
        <v>#NUM!</v>
      </c>
      <c r="BI123" s="62">
        <f ca="1">AVERAGE(OFFSET($BH$3,0,0,'Données projet'!$E$11+1,1))-AVERAGE(OFFSET($H$3,0,0,'Données projet'!$E$11+1,1))</f>
        <v>487.04124684635974</v>
      </c>
      <c r="BJ123" s="62">
        <f t="shared" si="92"/>
        <v>306.61893266146666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0.45411350351114799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0.45411350351114799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>
        <f>BY123*VLOOKUP('Données projet'!$B$12,Paramètres!$A$1:$I$89,3,0)*VLOOKUP('Données projet'!$B$12,Paramètres!$A$1:$I$89,5,0)</f>
        <v>0</v>
      </c>
      <c r="CA123" s="14" t="e">
        <f t="shared" si="93"/>
        <v>#NUM!</v>
      </c>
      <c r="CB123" s="22" t="e">
        <f t="shared" si="64"/>
        <v>#NUM!</v>
      </c>
      <c r="CC123" s="62" t="e">
        <f t="shared" si="65"/>
        <v>#NUM!</v>
      </c>
      <c r="CD123" s="62">
        <f ca="1">AVERAGE(OFFSET($CC$3,0,0,'Données projet'!$E$12+1,1))-AVERAGE(OFFSET($H$3,0,0,'Données projet'!$E$12+1,1))</f>
        <v>439.06700232017681</v>
      </c>
      <c r="CE123" s="62">
        <f t="shared" si="94"/>
        <v>278.21741231699929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0.40520897236379344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0.40520897236379344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317.99999999999972</v>
      </c>
      <c r="CU123" s="18">
        <f>CT123*VLOOKUP('Données projet'!$B$13,Paramètres!$A$1:$I$89,3,0)*VLOOKUP('Données projet'!$B$13,Paramètres!$A$1:$I$89,5,0)</f>
        <v>233.1575999999998</v>
      </c>
      <c r="CV123" s="14">
        <f t="shared" si="95"/>
        <v>56.964885721091697</v>
      </c>
      <c r="CW123" s="22">
        <f t="shared" si="67"/>
        <v>505.29666263090093</v>
      </c>
      <c r="CX123" s="62">
        <f t="shared" si="68"/>
        <v>798.62999596423424</v>
      </c>
      <c r="CY123" s="62">
        <f ca="1">AVERAGE(OFFSET($CX$3,0,0,'Données projet'!$E$13+1,1))-AVERAGE(OFFSET($H$3,0,0,'Données projet'!$E$13+1,1))</f>
        <v>327.81662150328646</v>
      </c>
      <c r="CZ123" s="62">
        <f t="shared" si="96"/>
        <v>320.24200483294322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0.33670561616966527</v>
      </c>
      <c r="DG123" s="23">
        <f>EXP(-LN(2)/25)*DG122+(1-EXP(-LN(2)/25))/(LN(2)/25)*Calculateur!DB123*Calculateur!DD123*VLOOKUP('Données projet'!$B$13,Paramètres!$A$1:$I$89,3,0)*0.475*44/12</f>
        <v>0</v>
      </c>
      <c r="DH123" s="23">
        <f>EXP(-LN(2)/2)*DH122+(1-EXP(-LN(2)/2))/(LN(2)/2)*DB123*DE123*VLOOKUP('Données projet'!$B$13,Paramètres!$A$1:$I$89,3,0)*0.475*44/12</f>
        <v>0</v>
      </c>
      <c r="DI123" s="24">
        <f t="shared" si="69"/>
        <v>0.33670561616966527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5.6843418860808015E-14</v>
      </c>
      <c r="DP123" s="18">
        <f>DO123*VLOOKUP('Données projet'!$B$14,Paramètres!$A$1:$I$89,3,0)*VLOOKUP('Données projet'!$B$14,Paramètres!$A$1:$I$89,5,0)</f>
        <v>3.7243808037601412E-14</v>
      </c>
      <c r="DQ123" s="14">
        <f t="shared" si="97"/>
        <v>6.2767589361185393E-13</v>
      </c>
      <c r="DR123" s="22">
        <f t="shared" si="70"/>
        <v>1.1580684803728015E-12</v>
      </c>
      <c r="DS123" s="62">
        <f t="shared" si="71"/>
        <v>293.33333333333445</v>
      </c>
      <c r="DT123" s="62">
        <f ca="1">AVERAGE(OFFSET($DS$3,0,0,'Données projet'!$E$14+1,1))-AVERAGE(OFFSET($H$3,0,0,'Données projet'!$E$14+1,1))</f>
        <v>210.08998695869161</v>
      </c>
      <c r="DU123" s="62">
        <f t="shared" si="98"/>
        <v>207.30911916430881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>
        <f>EXP(-LN(2)/35)*EA122+(1-EXP(-LN(2)/35))/(LN(2)/35)*DW123*DX123*VLOOKUP('Données projet'!$B$14,Paramètres!$A$1:$I$89,3,0)*0.475*44/12</f>
        <v>7.7370652226220901E-2</v>
      </c>
      <c r="EB123" s="23">
        <f>EXP(-LN(2)/25)*EB122+(1-EXP(-LN(2)/25))/(LN(2)/25)*Calculateur!DW123*Calculateur!DY123*VLOOKUP('Données projet'!$B$14,Paramètres!$A$1:$I$89,3,0)*0.475*44/12</f>
        <v>0</v>
      </c>
      <c r="EC123" s="23">
        <f>EXP(-LN(2)/2)*EC122+(1-EXP(-LN(2)/2))/(LN(2)/2)*DW123*DZ123*VLOOKUP('Données projet'!$B$14,Paramètres!$A$1:$I$89,3,0)*0.475*44/12</f>
        <v>0</v>
      </c>
      <c r="ED123" s="24">
        <f t="shared" si="72"/>
        <v>7.7370652226220901E-2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5.6843418860808015E-14</v>
      </c>
      <c r="EK123" s="18">
        <f>EJ123*VLOOKUP('Données projet'!$B$15,Paramètres!$A$1:$I$89,3,0)*VLOOKUP('Données projet'!$B$15,Paramètres!$A$1:$I$89,5,0)</f>
        <v>4.4337866711430253E-14</v>
      </c>
      <c r="EL123" s="14">
        <f t="shared" si="99"/>
        <v>7.3222115536967035E-13</v>
      </c>
      <c r="EM123" s="22">
        <f t="shared" si="73"/>
        <v>1.3525069634579169E-12</v>
      </c>
      <c r="EN123" s="62">
        <f t="shared" si="74"/>
        <v>293.33333333333468</v>
      </c>
      <c r="EO123" s="62">
        <f ca="1">AVERAGE(OFFSET($EN$3,0,0,'Données projet'!$E$15+1,1))-AVERAGE(OFFSET($H$3,0,0,'Données projet'!$E$15+1,1))</f>
        <v>288.82868507674738</v>
      </c>
      <c r="EP123" s="62">
        <f t="shared" si="100"/>
        <v>283.48738729114024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>
        <f>EXP(-LN(2)/35)*EV122+(1-EXP(-LN(2)/35))/(LN(2)/35)*ER123*ES123*VLOOKUP('Données projet'!$B$15,Paramètres!$A$1:$I$89,3,0)*0.475*44/12</f>
        <v>0.30508616353240681</v>
      </c>
      <c r="EW123" s="23">
        <f>EXP(-LN(2)/25)*EW122+(1-EXP(-LN(2)/25))/(LN(2)/25)*Calculateur!ER123*Calculateur!ET123*VLOOKUP('Données projet'!$B$15,Paramètres!$A$1:$I$89,3,0)*0.475*44/12</f>
        <v>0</v>
      </c>
      <c r="EX123" s="23">
        <f>EXP(-LN(2)/2)*EX122+(1-EXP(-LN(2)/2))/(LN(2)/2)*ER123*EU123*VLOOKUP('Données projet'!$B$15,Paramètres!$A$1:$I$89,3,0)*0.475*44/12</f>
        <v>0</v>
      </c>
      <c r="EY123" s="24">
        <f t="shared" si="75"/>
        <v>0.30508616353240681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3.4106051316484809E-13</v>
      </c>
      <c r="O124" s="14">
        <f>N124*VLOOKUP('Données projet'!$B$9,Paramètres!$A$1:$I$89,3,0)*VLOOKUP('Données projet'!$B$9,Paramètres!$A$1:$I$89,5,0)</f>
        <v>1.5961632016114892E-13</v>
      </c>
      <c r="P124" s="14">
        <f t="shared" si="87"/>
        <v>2.2708641912150958E-12</v>
      </c>
      <c r="Q124" s="22">
        <f t="shared" si="107"/>
        <v>4.2330868906469593E-12</v>
      </c>
      <c r="R124" s="62">
        <f t="shared" si="55"/>
        <v>293.33333333333752</v>
      </c>
      <c r="S124" s="62">
        <f ca="1">AVERAGE(OFFSET($R$3,0,0,'Données projet'!$E$9+1,1))-AVERAGE(OFFSET($H$3,0,0,'Données projet'!$E$9+1,1))</f>
        <v>317.54276561627643</v>
      </c>
      <c r="T124" s="62">
        <f t="shared" si="88"/>
        <v>238.92443174298893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-1.1368683772161603E-13</v>
      </c>
      <c r="AJ124" s="14">
        <f>AI124*VLOOKUP('Données projet'!$B$10,Paramètres!$A$1:$I$89,3,0)*VLOOKUP('Données projet'!$B$10,Paramètres!$A$1:$I$89,5,0)</f>
        <v>-9.9316821433603781E-14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327.826081588335</v>
      </c>
      <c r="AO124" s="62">
        <f t="shared" si="90"/>
        <v>348.84706693879735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1.0137057688307525</v>
      </c>
      <c r="AV124" s="23">
        <f>EXP(-LN(2)/25)*AV123+(1-EXP(-LN(2)/25))/(LN(2)/25)*Calculateur!AQ124*Calculateur!AS124*VLOOKUP('Données projet'!$B$10,Paramètres!$A$1:$I$89,3,0)*0.475*44/12</f>
        <v>1.1004968867149034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2.1142026555456557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>
        <f>BD124*VLOOKUP('Données projet'!$B$11,Paramètres!$A$1:$I$89,3,0)*VLOOKUP('Données projet'!$B$11,Paramètres!$A$1:$I$89,5,0)</f>
        <v>0</v>
      </c>
      <c r="BF124" s="14" t="e">
        <f t="shared" si="91"/>
        <v>#NUM!</v>
      </c>
      <c r="BG124" s="22" t="e">
        <f t="shared" si="61"/>
        <v>#NUM!</v>
      </c>
      <c r="BH124" s="62" t="e">
        <f t="shared" si="62"/>
        <v>#NUM!</v>
      </c>
      <c r="BI124" s="62">
        <f ca="1">AVERAGE(OFFSET($BH$3,0,0,'Données projet'!$E$11+1,1))-AVERAGE(OFFSET($H$3,0,0,'Données projet'!$E$11+1,1))</f>
        <v>487.04124684635974</v>
      </c>
      <c r="BJ124" s="62">
        <f t="shared" si="92"/>
        <v>306.61893266146666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0.44520861468918183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0.44520861468918183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>
        <f>BY124*VLOOKUP('Données projet'!$B$12,Paramètres!$A$1:$I$89,3,0)*VLOOKUP('Données projet'!$B$12,Paramètres!$A$1:$I$89,5,0)</f>
        <v>0</v>
      </c>
      <c r="CA124" s="14" t="e">
        <f t="shared" si="93"/>
        <v>#NUM!</v>
      </c>
      <c r="CB124" s="22" t="e">
        <f t="shared" si="64"/>
        <v>#NUM!</v>
      </c>
      <c r="CC124" s="62" t="e">
        <f t="shared" si="65"/>
        <v>#NUM!</v>
      </c>
      <c r="CD124" s="62">
        <f ca="1">AVERAGE(OFFSET($CC$3,0,0,'Données projet'!$E$12+1,1))-AVERAGE(OFFSET($H$3,0,0,'Données projet'!$E$12+1,1))</f>
        <v>439.06700232017681</v>
      </c>
      <c r="CE124" s="62">
        <f t="shared" si="94"/>
        <v>278.21741231699929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0.39726307156880825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0.39726307156880825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317.99999999999972</v>
      </c>
      <c r="CU124" s="18">
        <f>CT124*VLOOKUP('Données projet'!$B$13,Paramètres!$A$1:$I$89,3,0)*VLOOKUP('Données projet'!$B$13,Paramètres!$A$1:$I$89,5,0)</f>
        <v>233.1575999999998</v>
      </c>
      <c r="CV124" s="14">
        <f t="shared" si="95"/>
        <v>56.964885721091697</v>
      </c>
      <c r="CW124" s="22">
        <f t="shared" si="67"/>
        <v>505.29666263090093</v>
      </c>
      <c r="CX124" s="62">
        <f t="shared" si="68"/>
        <v>798.62999596423424</v>
      </c>
      <c r="CY124" s="62">
        <f ca="1">AVERAGE(OFFSET($CX$3,0,0,'Données projet'!$E$13+1,1))-AVERAGE(OFFSET($H$3,0,0,'Données projet'!$E$13+1,1))</f>
        <v>327.81662150328646</v>
      </c>
      <c r="CZ124" s="62">
        <f t="shared" si="96"/>
        <v>320.24200483294322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0.3301030244067254</v>
      </c>
      <c r="DG124" s="23">
        <f>EXP(-LN(2)/25)*DG123+(1-EXP(-LN(2)/25))/(LN(2)/25)*Calculateur!DB124*Calculateur!DD124*VLOOKUP('Données projet'!$B$13,Paramètres!$A$1:$I$89,3,0)*0.475*44/12</f>
        <v>0</v>
      </c>
      <c r="DH124" s="23">
        <f>EXP(-LN(2)/2)*DH123+(1-EXP(-LN(2)/2))/(LN(2)/2)*DB124*DE124*VLOOKUP('Données projet'!$B$13,Paramètres!$A$1:$I$89,3,0)*0.475*44/12</f>
        <v>0</v>
      </c>
      <c r="DI124" s="24">
        <f t="shared" si="69"/>
        <v>0.3301030244067254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5.6843418860808015E-14</v>
      </c>
      <c r="DP124" s="18">
        <f>DO124*VLOOKUP('Données projet'!$B$14,Paramètres!$A$1:$I$89,3,0)*VLOOKUP('Données projet'!$B$14,Paramètres!$A$1:$I$89,5,0)</f>
        <v>3.7243808037601412E-14</v>
      </c>
      <c r="DQ124" s="14">
        <f t="shared" si="97"/>
        <v>6.2767589361185393E-13</v>
      </c>
      <c r="DR124" s="22">
        <f t="shared" si="70"/>
        <v>1.1580684803728015E-12</v>
      </c>
      <c r="DS124" s="62">
        <f t="shared" si="71"/>
        <v>293.33333333333445</v>
      </c>
      <c r="DT124" s="62">
        <f ca="1">AVERAGE(OFFSET($DS$3,0,0,'Données projet'!$E$14+1,1))-AVERAGE(OFFSET($H$3,0,0,'Données projet'!$E$14+1,1))</f>
        <v>210.08998695869161</v>
      </c>
      <c r="DU124" s="62">
        <f t="shared" si="98"/>
        <v>207.30911916430881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>
        <f>EXP(-LN(2)/35)*EA123+(1-EXP(-LN(2)/35))/(LN(2)/35)*DW124*DX124*VLOOKUP('Données projet'!$B$14,Paramètres!$A$1:$I$89,3,0)*0.475*44/12</f>
        <v>7.5853460927502794E-2</v>
      </c>
      <c r="EB124" s="23">
        <f>EXP(-LN(2)/25)*EB123+(1-EXP(-LN(2)/25))/(LN(2)/25)*Calculateur!DW124*Calculateur!DY124*VLOOKUP('Données projet'!$B$14,Paramètres!$A$1:$I$89,3,0)*0.475*44/12</f>
        <v>0</v>
      </c>
      <c r="EC124" s="23">
        <f>EXP(-LN(2)/2)*EC123+(1-EXP(-LN(2)/2))/(LN(2)/2)*DW124*DZ124*VLOOKUP('Données projet'!$B$14,Paramètres!$A$1:$I$89,3,0)*0.475*44/12</f>
        <v>0</v>
      </c>
      <c r="ED124" s="24">
        <f t="shared" si="72"/>
        <v>7.5853460927502794E-2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5.6843418860808015E-14</v>
      </c>
      <c r="EK124" s="18">
        <f>EJ124*VLOOKUP('Données projet'!$B$15,Paramètres!$A$1:$I$89,3,0)*VLOOKUP('Données projet'!$B$15,Paramètres!$A$1:$I$89,5,0)</f>
        <v>4.4337866711430253E-14</v>
      </c>
      <c r="EL124" s="14">
        <f t="shared" si="99"/>
        <v>7.3222115536967035E-13</v>
      </c>
      <c r="EM124" s="22">
        <f t="shared" si="73"/>
        <v>1.3525069634579169E-12</v>
      </c>
      <c r="EN124" s="62">
        <f t="shared" si="74"/>
        <v>293.33333333333468</v>
      </c>
      <c r="EO124" s="62">
        <f ca="1">AVERAGE(OFFSET($EN$3,0,0,'Données projet'!$E$15+1,1))-AVERAGE(OFFSET($H$3,0,0,'Données projet'!$E$15+1,1))</f>
        <v>288.82868507674738</v>
      </c>
      <c r="EP124" s="62">
        <f t="shared" si="100"/>
        <v>283.48738729114024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>
        <f>EXP(-LN(2)/35)*EV123+(1-EXP(-LN(2)/35))/(LN(2)/35)*ER124*ES124*VLOOKUP('Données projet'!$B$15,Paramètres!$A$1:$I$89,3,0)*0.475*44/12</f>
        <v>0.29910360994972179</v>
      </c>
      <c r="EW124" s="23">
        <f>EXP(-LN(2)/25)*EW123+(1-EXP(-LN(2)/25))/(LN(2)/25)*Calculateur!ER124*Calculateur!ET124*VLOOKUP('Données projet'!$B$15,Paramètres!$A$1:$I$89,3,0)*0.475*44/12</f>
        <v>0</v>
      </c>
      <c r="EX124" s="23">
        <f>EXP(-LN(2)/2)*EX123+(1-EXP(-LN(2)/2))/(LN(2)/2)*ER124*EU124*VLOOKUP('Données projet'!$B$15,Paramètres!$A$1:$I$89,3,0)*0.475*44/12</f>
        <v>0</v>
      </c>
      <c r="EY124" s="24">
        <f t="shared" si="75"/>
        <v>0.29910360994972179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3.4106051316484809E-13</v>
      </c>
      <c r="O125" s="14">
        <f>N125*VLOOKUP('Données projet'!$B$9,Paramètres!$A$1:$I$89,3,0)*VLOOKUP('Données projet'!$B$9,Paramètres!$A$1:$I$89,5,0)</f>
        <v>1.5961632016114892E-13</v>
      </c>
      <c r="P125" s="14">
        <f t="shared" si="87"/>
        <v>2.2708641912150958E-12</v>
      </c>
      <c r="Q125" s="22">
        <f t="shared" si="107"/>
        <v>4.2330868906469593E-12</v>
      </c>
      <c r="R125" s="62">
        <f t="shared" si="55"/>
        <v>293.33333333333752</v>
      </c>
      <c r="S125" s="62">
        <f ca="1">AVERAGE(OFFSET($R$3,0,0,'Données projet'!$E$9+1,1))-AVERAGE(OFFSET($H$3,0,0,'Données projet'!$E$9+1,1))</f>
        <v>317.54276561627643</v>
      </c>
      <c r="T125" s="62">
        <f t="shared" si="88"/>
        <v>238.92443174298893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-1.1368683772161603E-13</v>
      </c>
      <c r="AJ125" s="14">
        <f>AI125*VLOOKUP('Données projet'!$B$10,Paramètres!$A$1:$I$89,3,0)*VLOOKUP('Données projet'!$B$10,Paramètres!$A$1:$I$89,5,0)</f>
        <v>-9.9316821433603781E-14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327.826081588335</v>
      </c>
      <c r="AO125" s="62">
        <f t="shared" si="90"/>
        <v>348.84706693879735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0.99382761700344835</v>
      </c>
      <c r="AV125" s="23">
        <f>EXP(-LN(2)/25)*AV124+(1-EXP(-LN(2)/25))/(LN(2)/25)*Calculateur!AQ125*Calculateur!AS125*VLOOKUP('Données projet'!$B$10,Paramètres!$A$1:$I$89,3,0)*0.475*44/12</f>
        <v>1.0704037414750682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2.0642313584785166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>
        <f>BD125*VLOOKUP('Données projet'!$B$11,Paramètres!$A$1:$I$89,3,0)*VLOOKUP('Données projet'!$B$11,Paramètres!$A$1:$I$89,5,0)</f>
        <v>0</v>
      </c>
      <c r="BF125" s="14" t="e">
        <f t="shared" si="91"/>
        <v>#NUM!</v>
      </c>
      <c r="BG125" s="22" t="e">
        <f t="shared" si="61"/>
        <v>#NUM!</v>
      </c>
      <c r="BH125" s="62" t="e">
        <f t="shared" si="62"/>
        <v>#NUM!</v>
      </c>
      <c r="BI125" s="62">
        <f ca="1">AVERAGE(OFFSET($BH$3,0,0,'Données projet'!$E$11+1,1))-AVERAGE(OFFSET($H$3,0,0,'Données projet'!$E$11+1,1))</f>
        <v>487.04124684635974</v>
      </c>
      <c r="BJ125" s="62">
        <f t="shared" si="92"/>
        <v>306.61893266146666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0.43647834530556856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0.43647834530556856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>
        <f>BY125*VLOOKUP('Données projet'!$B$12,Paramètres!$A$1:$I$89,3,0)*VLOOKUP('Données projet'!$B$12,Paramètres!$A$1:$I$89,5,0)</f>
        <v>0</v>
      </c>
      <c r="CA125" s="14" t="e">
        <f t="shared" si="93"/>
        <v>#NUM!</v>
      </c>
      <c r="CB125" s="22" t="e">
        <f t="shared" si="64"/>
        <v>#NUM!</v>
      </c>
      <c r="CC125" s="62" t="e">
        <f t="shared" si="65"/>
        <v>#NUM!</v>
      </c>
      <c r="CD125" s="62">
        <f ca="1">AVERAGE(OFFSET($CC$3,0,0,'Données projet'!$E$12+1,1))-AVERAGE(OFFSET($H$3,0,0,'Données projet'!$E$12+1,1))</f>
        <v>439.06700232017681</v>
      </c>
      <c r="CE125" s="62">
        <f t="shared" si="94"/>
        <v>278.21741231699929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0.38947298504189176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0.38947298504189176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317.99999999999972</v>
      </c>
      <c r="CU125" s="18">
        <f>CT125*VLOOKUP('Données projet'!$B$13,Paramètres!$A$1:$I$89,3,0)*VLOOKUP('Données projet'!$B$13,Paramètres!$A$1:$I$89,5,0)</f>
        <v>233.1575999999998</v>
      </c>
      <c r="CV125" s="14">
        <f t="shared" si="95"/>
        <v>56.964885721091697</v>
      </c>
      <c r="CW125" s="22">
        <f t="shared" si="67"/>
        <v>505.29666263090093</v>
      </c>
      <c r="CX125" s="62">
        <f t="shared" si="68"/>
        <v>798.62999596423424</v>
      </c>
      <c r="CY125" s="62">
        <f ca="1">AVERAGE(OFFSET($CX$3,0,0,'Données projet'!$E$13+1,1))-AVERAGE(OFFSET($H$3,0,0,'Données projet'!$E$13+1,1))</f>
        <v>327.81662150328646</v>
      </c>
      <c r="CZ125" s="62">
        <f t="shared" si="96"/>
        <v>320.24200483294322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0.32362990544107345</v>
      </c>
      <c r="DG125" s="23">
        <f>EXP(-LN(2)/25)*DG124+(1-EXP(-LN(2)/25))/(LN(2)/25)*Calculateur!DB125*Calculateur!DD125*VLOOKUP('Données projet'!$B$13,Paramètres!$A$1:$I$89,3,0)*0.475*44/12</f>
        <v>0</v>
      </c>
      <c r="DH125" s="23">
        <f>EXP(-LN(2)/2)*DH124+(1-EXP(-LN(2)/2))/(LN(2)/2)*DB125*DE125*VLOOKUP('Données projet'!$B$13,Paramètres!$A$1:$I$89,3,0)*0.475*44/12</f>
        <v>0</v>
      </c>
      <c r="DI125" s="24">
        <f t="shared" si="69"/>
        <v>0.32362990544107345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5.6843418860808015E-14</v>
      </c>
      <c r="DP125" s="18">
        <f>DO125*VLOOKUP('Données projet'!$B$14,Paramètres!$A$1:$I$89,3,0)*VLOOKUP('Données projet'!$B$14,Paramètres!$A$1:$I$89,5,0)</f>
        <v>3.7243808037601412E-14</v>
      </c>
      <c r="DQ125" s="14">
        <f t="shared" si="97"/>
        <v>6.2767589361185393E-13</v>
      </c>
      <c r="DR125" s="22">
        <f t="shared" si="70"/>
        <v>1.1580684803728015E-12</v>
      </c>
      <c r="DS125" s="62">
        <f t="shared" si="71"/>
        <v>293.33333333333445</v>
      </c>
      <c r="DT125" s="62">
        <f ca="1">AVERAGE(OFFSET($DS$3,0,0,'Données projet'!$E$14+1,1))-AVERAGE(OFFSET($H$3,0,0,'Données projet'!$E$14+1,1))</f>
        <v>210.08998695869161</v>
      </c>
      <c r="DU125" s="62">
        <f t="shared" si="98"/>
        <v>207.30911916430881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>
        <f>EXP(-LN(2)/35)*EA124+(1-EXP(-LN(2)/35))/(LN(2)/35)*DW125*DX125*VLOOKUP('Données projet'!$B$14,Paramètres!$A$1:$I$89,3,0)*0.475*44/12</f>
        <v>7.436602082475724E-2</v>
      </c>
      <c r="EB125" s="23">
        <f>EXP(-LN(2)/25)*EB124+(1-EXP(-LN(2)/25))/(LN(2)/25)*Calculateur!DW125*Calculateur!DY125*VLOOKUP('Données projet'!$B$14,Paramètres!$A$1:$I$89,3,0)*0.475*44/12</f>
        <v>0</v>
      </c>
      <c r="EC125" s="23">
        <f>EXP(-LN(2)/2)*EC124+(1-EXP(-LN(2)/2))/(LN(2)/2)*DW125*DZ125*VLOOKUP('Données projet'!$B$14,Paramètres!$A$1:$I$89,3,0)*0.475*44/12</f>
        <v>0</v>
      </c>
      <c r="ED125" s="24">
        <f t="shared" si="72"/>
        <v>7.436602082475724E-2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5.6843418860808015E-14</v>
      </c>
      <c r="EK125" s="18">
        <f>EJ125*VLOOKUP('Données projet'!$B$15,Paramètres!$A$1:$I$89,3,0)*VLOOKUP('Données projet'!$B$15,Paramètres!$A$1:$I$89,5,0)</f>
        <v>4.4337866711430253E-14</v>
      </c>
      <c r="EL125" s="14">
        <f t="shared" si="99"/>
        <v>7.3222115536967035E-13</v>
      </c>
      <c r="EM125" s="22">
        <f t="shared" si="73"/>
        <v>1.3525069634579169E-12</v>
      </c>
      <c r="EN125" s="62">
        <f t="shared" si="74"/>
        <v>293.33333333333468</v>
      </c>
      <c r="EO125" s="62">
        <f ca="1">AVERAGE(OFFSET($EN$3,0,0,'Données projet'!$E$15+1,1))-AVERAGE(OFFSET($H$3,0,0,'Données projet'!$E$15+1,1))</f>
        <v>288.82868507674738</v>
      </c>
      <c r="EP125" s="62">
        <f t="shared" si="100"/>
        <v>283.48738729114024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>
        <f>EXP(-LN(2)/35)*EV124+(1-EXP(-LN(2)/35))/(LN(2)/35)*ER125*ES125*VLOOKUP('Données projet'!$B$15,Paramètres!$A$1:$I$89,3,0)*0.475*44/12</f>
        <v>0.29323837059379582</v>
      </c>
      <c r="EW125" s="23">
        <f>EXP(-LN(2)/25)*EW124+(1-EXP(-LN(2)/25))/(LN(2)/25)*Calculateur!ER125*Calculateur!ET125*VLOOKUP('Données projet'!$B$15,Paramètres!$A$1:$I$89,3,0)*0.475*44/12</f>
        <v>0</v>
      </c>
      <c r="EX125" s="23">
        <f>EXP(-LN(2)/2)*EX124+(1-EXP(-LN(2)/2))/(LN(2)/2)*ER125*EU125*VLOOKUP('Données projet'!$B$15,Paramètres!$A$1:$I$89,3,0)*0.475*44/12</f>
        <v>0</v>
      </c>
      <c r="EY125" s="24">
        <f t="shared" si="75"/>
        <v>0.29323837059379582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3.4106051316484809E-13</v>
      </c>
      <c r="O126" s="14">
        <f>N126*VLOOKUP('Données projet'!$B$9,Paramètres!$A$1:$I$89,3,0)*VLOOKUP('Données projet'!$B$9,Paramètres!$A$1:$I$89,5,0)</f>
        <v>1.5961632016114892E-13</v>
      </c>
      <c r="P126" s="14">
        <f t="shared" si="87"/>
        <v>2.2708641912150958E-12</v>
      </c>
      <c r="Q126" s="22">
        <f t="shared" si="107"/>
        <v>4.2330868906469593E-12</v>
      </c>
      <c r="R126" s="62">
        <f t="shared" si="55"/>
        <v>293.33333333333752</v>
      </c>
      <c r="S126" s="62">
        <f ca="1">AVERAGE(OFFSET($R$3,0,0,'Données projet'!$E$9+1,1))-AVERAGE(OFFSET($H$3,0,0,'Données projet'!$E$9+1,1))</f>
        <v>317.54276561627643</v>
      </c>
      <c r="T126" s="62">
        <f t="shared" si="88"/>
        <v>238.92443174298893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-1.1368683772161603E-13</v>
      </c>
      <c r="AJ126" s="14">
        <f>AI126*VLOOKUP('Données projet'!$B$10,Paramètres!$A$1:$I$89,3,0)*VLOOKUP('Données projet'!$B$10,Paramètres!$A$1:$I$89,5,0)</f>
        <v>-9.9316821433603781E-14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327.826081588335</v>
      </c>
      <c r="AO126" s="62">
        <f t="shared" si="90"/>
        <v>348.84706693879735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0.97433926360900225</v>
      </c>
      <c r="AV126" s="23">
        <f>EXP(-LN(2)/25)*AV125+(1-EXP(-LN(2)/25))/(LN(2)/25)*Calculateur!AQ126*Calculateur!AS126*VLOOKUP('Données projet'!$B$10,Paramètres!$A$1:$I$89,3,0)*0.475*44/12</f>
        <v>1.0411334948743463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2.0154727584833485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>
        <f>BD126*VLOOKUP('Données projet'!$B$11,Paramètres!$A$1:$I$89,3,0)*VLOOKUP('Données projet'!$B$11,Paramètres!$A$1:$I$89,5,0)</f>
        <v>0</v>
      </c>
      <c r="BF126" s="14" t="e">
        <f t="shared" si="91"/>
        <v>#NUM!</v>
      </c>
      <c r="BG126" s="22" t="e">
        <f t="shared" si="61"/>
        <v>#NUM!</v>
      </c>
      <c r="BH126" s="62" t="e">
        <f t="shared" si="62"/>
        <v>#NUM!</v>
      </c>
      <c r="BI126" s="62">
        <f ca="1">AVERAGE(OFFSET($BH$3,0,0,'Données projet'!$E$11+1,1))-AVERAGE(OFFSET($H$3,0,0,'Données projet'!$E$11+1,1))</f>
        <v>487.04124684635974</v>
      </c>
      <c r="BJ126" s="62">
        <f t="shared" si="92"/>
        <v>306.61893266146666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0.42791927117962941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0.42791927117962941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>
        <f>BY126*VLOOKUP('Données projet'!$B$12,Paramètres!$A$1:$I$89,3,0)*VLOOKUP('Données projet'!$B$12,Paramètres!$A$1:$I$89,5,0)</f>
        <v>0</v>
      </c>
      <c r="CA126" s="14" t="e">
        <f t="shared" si="93"/>
        <v>#NUM!</v>
      </c>
      <c r="CB126" s="22" t="e">
        <f t="shared" si="64"/>
        <v>#NUM!</v>
      </c>
      <c r="CC126" s="62" t="e">
        <f t="shared" si="65"/>
        <v>#NUM!</v>
      </c>
      <c r="CD126" s="62">
        <f ca="1">AVERAGE(OFFSET($CC$3,0,0,'Données projet'!$E$12+1,1))-AVERAGE(OFFSET($H$3,0,0,'Données projet'!$E$12+1,1))</f>
        <v>439.06700232017681</v>
      </c>
      <c r="CE126" s="62">
        <f t="shared" si="94"/>
        <v>278.21741231699929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0.38183565736028452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0.38183565736028452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317.99999999999972</v>
      </c>
      <c r="CU126" s="18">
        <f>CT126*VLOOKUP('Données projet'!$B$13,Paramètres!$A$1:$I$89,3,0)*VLOOKUP('Données projet'!$B$13,Paramètres!$A$1:$I$89,5,0)</f>
        <v>233.1575999999998</v>
      </c>
      <c r="CV126" s="14">
        <f t="shared" si="95"/>
        <v>56.964885721091697</v>
      </c>
      <c r="CW126" s="22">
        <f t="shared" si="67"/>
        <v>505.29666263090093</v>
      </c>
      <c r="CX126" s="62">
        <f t="shared" si="68"/>
        <v>798.62999596423424</v>
      </c>
      <c r="CY126" s="62">
        <f ca="1">AVERAGE(OFFSET($CX$3,0,0,'Données projet'!$E$13+1,1))-AVERAGE(OFFSET($H$3,0,0,'Données projet'!$E$13+1,1))</f>
        <v>327.81662150328646</v>
      </c>
      <c r="CZ126" s="62">
        <f t="shared" si="96"/>
        <v>320.24200483294322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0.3172837203901252</v>
      </c>
      <c r="DG126" s="23">
        <f>EXP(-LN(2)/25)*DG125+(1-EXP(-LN(2)/25))/(LN(2)/25)*Calculateur!DB126*Calculateur!DD126*VLOOKUP('Données projet'!$B$13,Paramètres!$A$1:$I$89,3,0)*0.475*44/12</f>
        <v>0</v>
      </c>
      <c r="DH126" s="23">
        <f>EXP(-LN(2)/2)*DH125+(1-EXP(-LN(2)/2))/(LN(2)/2)*DB126*DE126*VLOOKUP('Données projet'!$B$13,Paramètres!$A$1:$I$89,3,0)*0.475*44/12</f>
        <v>0</v>
      </c>
      <c r="DI126" s="24">
        <f t="shared" si="69"/>
        <v>0.3172837203901252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5.6843418860808015E-14</v>
      </c>
      <c r="DP126" s="18">
        <f>DO126*VLOOKUP('Données projet'!$B$14,Paramètres!$A$1:$I$89,3,0)*VLOOKUP('Données projet'!$B$14,Paramètres!$A$1:$I$89,5,0)</f>
        <v>3.7243808037601412E-14</v>
      </c>
      <c r="DQ126" s="14">
        <f t="shared" si="97"/>
        <v>6.2767589361185393E-13</v>
      </c>
      <c r="DR126" s="22">
        <f t="shared" si="70"/>
        <v>1.1580684803728015E-12</v>
      </c>
      <c r="DS126" s="62">
        <f t="shared" si="71"/>
        <v>293.33333333333445</v>
      </c>
      <c r="DT126" s="62">
        <f ca="1">AVERAGE(OFFSET($DS$3,0,0,'Données projet'!$E$14+1,1))-AVERAGE(OFFSET($H$3,0,0,'Données projet'!$E$14+1,1))</f>
        <v>210.08998695869161</v>
      </c>
      <c r="DU126" s="62">
        <f t="shared" si="98"/>
        <v>207.30911916430881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>
        <f>EXP(-LN(2)/35)*EA125+(1-EXP(-LN(2)/35))/(LN(2)/35)*DW126*DX126*VLOOKUP('Données projet'!$B$14,Paramètres!$A$1:$I$89,3,0)*0.475*44/12</f>
        <v>7.2907748515177645E-2</v>
      </c>
      <c r="EB126" s="23">
        <f>EXP(-LN(2)/25)*EB125+(1-EXP(-LN(2)/25))/(LN(2)/25)*Calculateur!DW126*Calculateur!DY126*VLOOKUP('Données projet'!$B$14,Paramètres!$A$1:$I$89,3,0)*0.475*44/12</f>
        <v>0</v>
      </c>
      <c r="EC126" s="23">
        <f>EXP(-LN(2)/2)*EC125+(1-EXP(-LN(2)/2))/(LN(2)/2)*DW126*DZ126*VLOOKUP('Données projet'!$B$14,Paramètres!$A$1:$I$89,3,0)*0.475*44/12</f>
        <v>0</v>
      </c>
      <c r="ED126" s="24">
        <f t="shared" si="72"/>
        <v>7.2907748515177645E-2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5.6843418860808015E-14</v>
      </c>
      <c r="EK126" s="18">
        <f>EJ126*VLOOKUP('Données projet'!$B$15,Paramètres!$A$1:$I$89,3,0)*VLOOKUP('Données projet'!$B$15,Paramètres!$A$1:$I$89,5,0)</f>
        <v>4.4337866711430253E-14</v>
      </c>
      <c r="EL126" s="14">
        <f t="shared" si="99"/>
        <v>7.3222115536967035E-13</v>
      </c>
      <c r="EM126" s="22">
        <f t="shared" si="73"/>
        <v>1.3525069634579169E-12</v>
      </c>
      <c r="EN126" s="62">
        <f t="shared" si="74"/>
        <v>293.33333333333468</v>
      </c>
      <c r="EO126" s="62">
        <f ca="1">AVERAGE(OFFSET($EN$3,0,0,'Données projet'!$E$15+1,1))-AVERAGE(OFFSET($H$3,0,0,'Données projet'!$E$15+1,1))</f>
        <v>288.82868507674738</v>
      </c>
      <c r="EP126" s="62">
        <f t="shared" si="100"/>
        <v>283.48738729114024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>
        <f>EXP(-LN(2)/35)*EV125+(1-EXP(-LN(2)/35))/(LN(2)/35)*ER126*ES126*VLOOKUP('Données projet'!$B$15,Paramètres!$A$1:$I$89,3,0)*0.475*44/12</f>
        <v>0.28748814500419678</v>
      </c>
      <c r="EW126" s="23">
        <f>EXP(-LN(2)/25)*EW125+(1-EXP(-LN(2)/25))/(LN(2)/25)*Calculateur!ER126*Calculateur!ET126*VLOOKUP('Données projet'!$B$15,Paramètres!$A$1:$I$89,3,0)*0.475*44/12</f>
        <v>0</v>
      </c>
      <c r="EX126" s="23">
        <f>EXP(-LN(2)/2)*EX125+(1-EXP(-LN(2)/2))/(LN(2)/2)*ER126*EU126*VLOOKUP('Données projet'!$B$15,Paramètres!$A$1:$I$89,3,0)*0.475*44/12</f>
        <v>0</v>
      </c>
      <c r="EY126" s="24">
        <f t="shared" si="75"/>
        <v>0.28748814500419678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3.4106051316484809E-13</v>
      </c>
      <c r="O127" s="14">
        <f>N127*VLOOKUP('Données projet'!$B$9,Paramètres!$A$1:$I$89,3,0)*VLOOKUP('Données projet'!$B$9,Paramètres!$A$1:$I$89,5,0)</f>
        <v>1.5961632016114892E-13</v>
      </c>
      <c r="P127" s="14">
        <f t="shared" si="87"/>
        <v>2.2708641912150958E-12</v>
      </c>
      <c r="Q127" s="22">
        <f t="shared" si="107"/>
        <v>4.2330868906469593E-12</v>
      </c>
      <c r="R127" s="62">
        <f t="shared" si="55"/>
        <v>293.33333333333752</v>
      </c>
      <c r="S127" s="62">
        <f ca="1">AVERAGE(OFFSET($R$3,0,0,'Données projet'!$E$9+1,1))-AVERAGE(OFFSET($H$3,0,0,'Données projet'!$E$9+1,1))</f>
        <v>317.54276561627643</v>
      </c>
      <c r="T127" s="62">
        <f t="shared" si="88"/>
        <v>238.92443174298893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-1.1368683772161603E-13</v>
      </c>
      <c r="AJ127" s="14">
        <f>AI127*VLOOKUP('Données projet'!$B$10,Paramètres!$A$1:$I$89,3,0)*VLOOKUP('Données projet'!$B$10,Paramètres!$A$1:$I$89,5,0)</f>
        <v>-9.9316821433603781E-14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327.826081588335</v>
      </c>
      <c r="AO127" s="62">
        <f t="shared" si="90"/>
        <v>348.84706693879735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0.95523306493789939</v>
      </c>
      <c r="AV127" s="23">
        <f>EXP(-LN(2)/25)*AV126+(1-EXP(-LN(2)/25))/(LN(2)/25)*Calculateur!AQ127*Calculateur!AS127*VLOOKUP('Données projet'!$B$10,Paramètres!$A$1:$I$89,3,0)*0.475*44/12</f>
        <v>1.0126636447061763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1.9678967096440756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>
        <f>BD127*VLOOKUP('Données projet'!$B$11,Paramètres!$A$1:$I$89,3,0)*VLOOKUP('Données projet'!$B$11,Paramètres!$A$1:$I$89,5,0)</f>
        <v>0</v>
      </c>
      <c r="BF127" s="14" t="e">
        <f t="shared" si="91"/>
        <v>#NUM!</v>
      </c>
      <c r="BG127" s="22" t="e">
        <f t="shared" si="61"/>
        <v>#NUM!</v>
      </c>
      <c r="BH127" s="62" t="e">
        <f t="shared" si="62"/>
        <v>#NUM!</v>
      </c>
      <c r="BI127" s="62">
        <f ca="1">AVERAGE(OFFSET($BH$3,0,0,'Données projet'!$E$11+1,1))-AVERAGE(OFFSET($H$3,0,0,'Données projet'!$E$11+1,1))</f>
        <v>487.04124684635974</v>
      </c>
      <c r="BJ127" s="62">
        <f t="shared" si="92"/>
        <v>306.61893266146666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0.41952803527678018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0.41952803527678018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>
        <f>BY127*VLOOKUP('Données projet'!$B$12,Paramètres!$A$1:$I$89,3,0)*VLOOKUP('Données projet'!$B$12,Paramètres!$A$1:$I$89,5,0)</f>
        <v>0</v>
      </c>
      <c r="CA127" s="14" t="e">
        <f t="shared" si="93"/>
        <v>#NUM!</v>
      </c>
      <c r="CB127" s="22" t="e">
        <f t="shared" si="64"/>
        <v>#NUM!</v>
      </c>
      <c r="CC127" s="62" t="e">
        <f t="shared" si="65"/>
        <v>#NUM!</v>
      </c>
      <c r="CD127" s="62">
        <f ca="1">AVERAGE(OFFSET($CC$3,0,0,'Données projet'!$E$12+1,1))-AVERAGE(OFFSET($H$3,0,0,'Données projet'!$E$12+1,1))</f>
        <v>439.06700232017681</v>
      </c>
      <c r="CE127" s="62">
        <f t="shared" si="94"/>
        <v>278.21741231699929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0.3743480930162037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0.3743480930162037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317.99999999999972</v>
      </c>
      <c r="CU127" s="18">
        <f>CT127*VLOOKUP('Données projet'!$B$13,Paramètres!$A$1:$I$89,3,0)*VLOOKUP('Données projet'!$B$13,Paramètres!$A$1:$I$89,5,0)</f>
        <v>233.1575999999998</v>
      </c>
      <c r="CV127" s="14">
        <f t="shared" si="95"/>
        <v>56.964885721091697</v>
      </c>
      <c r="CW127" s="22">
        <f t="shared" si="67"/>
        <v>505.29666263090093</v>
      </c>
      <c r="CX127" s="62">
        <f t="shared" si="68"/>
        <v>798.62999596423424</v>
      </c>
      <c r="CY127" s="62">
        <f ca="1">AVERAGE(OFFSET($CX$3,0,0,'Données projet'!$E$13+1,1))-AVERAGE(OFFSET($H$3,0,0,'Données projet'!$E$13+1,1))</f>
        <v>327.81662150328646</v>
      </c>
      <c r="CZ127" s="62">
        <f t="shared" si="96"/>
        <v>320.24200483294322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0.31106198015723541</v>
      </c>
      <c r="DG127" s="23">
        <f>EXP(-LN(2)/25)*DG126+(1-EXP(-LN(2)/25))/(LN(2)/25)*Calculateur!DB127*Calculateur!DD127*VLOOKUP('Données projet'!$B$13,Paramètres!$A$1:$I$89,3,0)*0.475*44/12</f>
        <v>0</v>
      </c>
      <c r="DH127" s="23">
        <f>EXP(-LN(2)/2)*DH126+(1-EXP(-LN(2)/2))/(LN(2)/2)*DB127*DE127*VLOOKUP('Données projet'!$B$13,Paramètres!$A$1:$I$89,3,0)*0.475*44/12</f>
        <v>0</v>
      </c>
      <c r="DI127" s="24">
        <f t="shared" si="69"/>
        <v>0.31106198015723541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5.6843418860808015E-14</v>
      </c>
      <c r="DP127" s="18">
        <f>DO127*VLOOKUP('Données projet'!$B$14,Paramètres!$A$1:$I$89,3,0)*VLOOKUP('Données projet'!$B$14,Paramètres!$A$1:$I$89,5,0)</f>
        <v>3.7243808037601412E-14</v>
      </c>
      <c r="DQ127" s="14">
        <f t="shared" si="97"/>
        <v>6.2767589361185393E-13</v>
      </c>
      <c r="DR127" s="22">
        <f t="shared" si="70"/>
        <v>1.1580684803728015E-12</v>
      </c>
      <c r="DS127" s="62">
        <f t="shared" si="71"/>
        <v>293.33333333333445</v>
      </c>
      <c r="DT127" s="62">
        <f ca="1">AVERAGE(OFFSET($DS$3,0,0,'Données projet'!$E$14+1,1))-AVERAGE(OFFSET($H$3,0,0,'Données projet'!$E$14+1,1))</f>
        <v>210.08998695869161</v>
      </c>
      <c r="DU127" s="62">
        <f t="shared" si="98"/>
        <v>207.30911916430881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>
        <f>EXP(-LN(2)/35)*EA126+(1-EXP(-LN(2)/35))/(LN(2)/35)*DW127*DX127*VLOOKUP('Données projet'!$B$14,Paramètres!$A$1:$I$89,3,0)*0.475*44/12</f>
        <v>7.147807203613063E-2</v>
      </c>
      <c r="EB127" s="23">
        <f>EXP(-LN(2)/25)*EB126+(1-EXP(-LN(2)/25))/(LN(2)/25)*Calculateur!DW127*Calculateur!DY127*VLOOKUP('Données projet'!$B$14,Paramètres!$A$1:$I$89,3,0)*0.475*44/12</f>
        <v>0</v>
      </c>
      <c r="EC127" s="23">
        <f>EXP(-LN(2)/2)*EC126+(1-EXP(-LN(2)/2))/(LN(2)/2)*DW127*DZ127*VLOOKUP('Données projet'!$B$14,Paramètres!$A$1:$I$89,3,0)*0.475*44/12</f>
        <v>0</v>
      </c>
      <c r="ED127" s="24">
        <f t="shared" si="72"/>
        <v>7.147807203613063E-2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5.6843418860808015E-14</v>
      </c>
      <c r="EK127" s="18">
        <f>EJ127*VLOOKUP('Données projet'!$B$15,Paramètres!$A$1:$I$89,3,0)*VLOOKUP('Données projet'!$B$15,Paramètres!$A$1:$I$89,5,0)</f>
        <v>4.4337866711430253E-14</v>
      </c>
      <c r="EL127" s="14">
        <f t="shared" si="99"/>
        <v>7.3222115536967035E-13</v>
      </c>
      <c r="EM127" s="22">
        <f t="shared" si="73"/>
        <v>1.3525069634579169E-12</v>
      </c>
      <c r="EN127" s="62">
        <f t="shared" si="74"/>
        <v>293.33333333333468</v>
      </c>
      <c r="EO127" s="62">
        <f ca="1">AVERAGE(OFFSET($EN$3,0,0,'Données projet'!$E$15+1,1))-AVERAGE(OFFSET($H$3,0,0,'Données projet'!$E$15+1,1))</f>
        <v>288.82868507674738</v>
      </c>
      <c r="EP127" s="62">
        <f t="shared" si="100"/>
        <v>283.48738729114024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>
        <f>EXP(-LN(2)/35)*EV126+(1-EXP(-LN(2)/35))/(LN(2)/35)*ER127*ES127*VLOOKUP('Données projet'!$B$15,Paramètres!$A$1:$I$89,3,0)*0.475*44/12</f>
        <v>0.2818506778311185</v>
      </c>
      <c r="EW127" s="23">
        <f>EXP(-LN(2)/25)*EW126+(1-EXP(-LN(2)/25))/(LN(2)/25)*Calculateur!ER127*Calculateur!ET127*VLOOKUP('Données projet'!$B$15,Paramètres!$A$1:$I$89,3,0)*0.475*44/12</f>
        <v>0</v>
      </c>
      <c r="EX127" s="23">
        <f>EXP(-LN(2)/2)*EX126+(1-EXP(-LN(2)/2))/(LN(2)/2)*ER127*EU127*VLOOKUP('Données projet'!$B$15,Paramètres!$A$1:$I$89,3,0)*0.475*44/12</f>
        <v>0</v>
      </c>
      <c r="EY127" s="24">
        <f t="shared" si="75"/>
        <v>0.2818506778311185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3.4106051316484809E-13</v>
      </c>
      <c r="O128" s="14">
        <f>N128*VLOOKUP('Données projet'!$B$9,Paramètres!$A$1:$I$89,3,0)*VLOOKUP('Données projet'!$B$9,Paramètres!$A$1:$I$89,5,0)</f>
        <v>1.5961632016114892E-13</v>
      </c>
      <c r="P128" s="14">
        <f t="shared" si="87"/>
        <v>2.2708641912150958E-12</v>
      </c>
      <c r="Q128" s="22">
        <f t="shared" si="107"/>
        <v>4.2330868906469593E-12</v>
      </c>
      <c r="R128" s="62">
        <f t="shared" si="55"/>
        <v>293.33333333333752</v>
      </c>
      <c r="S128" s="62">
        <f ca="1">AVERAGE(OFFSET($R$3,0,0,'Données projet'!$E$9+1,1))-AVERAGE(OFFSET($H$3,0,0,'Données projet'!$E$9+1,1))</f>
        <v>317.54276561627643</v>
      </c>
      <c r="T128" s="62">
        <f t="shared" si="88"/>
        <v>238.92443174298893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-1.1368683772161603E-13</v>
      </c>
      <c r="AJ128" s="14">
        <f>AI128*VLOOKUP('Données projet'!$B$10,Paramètres!$A$1:$I$89,3,0)*VLOOKUP('Données projet'!$B$10,Paramètres!$A$1:$I$89,5,0)</f>
        <v>-9.9316821433603781E-14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327.826081588335</v>
      </c>
      <c r="AO128" s="62">
        <f t="shared" si="90"/>
        <v>348.84706693879735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0.9365015271691064</v>
      </c>
      <c r="AV128" s="23">
        <f>EXP(-LN(2)/25)*AV127+(1-EXP(-LN(2)/25))/(LN(2)/25)*Calculateur!AQ128*Calculateur!AS128*VLOOKUP('Données projet'!$B$10,Paramètres!$A$1:$I$89,3,0)*0.475*44/12</f>
        <v>0.98497230408801928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1.9214738312571256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>
        <f>BD128*VLOOKUP('Données projet'!$B$11,Paramètres!$A$1:$I$89,3,0)*VLOOKUP('Données projet'!$B$11,Paramètres!$A$1:$I$89,5,0)</f>
        <v>0</v>
      </c>
      <c r="BF128" s="14" t="e">
        <f t="shared" si="91"/>
        <v>#NUM!</v>
      </c>
      <c r="BG128" s="22" t="e">
        <f t="shared" si="61"/>
        <v>#NUM!</v>
      </c>
      <c r="BH128" s="62" t="e">
        <f t="shared" si="62"/>
        <v>#NUM!</v>
      </c>
      <c r="BI128" s="62">
        <f ca="1">AVERAGE(OFFSET($BH$3,0,0,'Données projet'!$E$11+1,1))-AVERAGE(OFFSET($H$3,0,0,'Données projet'!$E$11+1,1))</f>
        <v>487.04124684635974</v>
      </c>
      <c r="BJ128" s="62">
        <f t="shared" si="92"/>
        <v>306.61893266146666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0.4113013463918373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0.4113013463918373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>
        <f>BY128*VLOOKUP('Données projet'!$B$12,Paramètres!$A$1:$I$89,3,0)*VLOOKUP('Données projet'!$B$12,Paramètres!$A$1:$I$89,5,0)</f>
        <v>0</v>
      </c>
      <c r="CA128" s="14" t="e">
        <f t="shared" si="93"/>
        <v>#NUM!</v>
      </c>
      <c r="CB128" s="22" t="e">
        <f t="shared" si="64"/>
        <v>#NUM!</v>
      </c>
      <c r="CC128" s="62" t="e">
        <f t="shared" si="65"/>
        <v>#NUM!</v>
      </c>
      <c r="CD128" s="62">
        <f ca="1">AVERAGE(OFFSET($CC$3,0,0,'Données projet'!$E$12+1,1))-AVERAGE(OFFSET($H$3,0,0,'Données projet'!$E$12+1,1))</f>
        <v>439.06700232017681</v>
      </c>
      <c r="CE128" s="62">
        <f t="shared" si="94"/>
        <v>278.21741231699929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0.367007355241947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0.367007355241947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317.99999999999972</v>
      </c>
      <c r="CU128" s="18">
        <f>CT128*VLOOKUP('Données projet'!$B$13,Paramètres!$A$1:$I$89,3,0)*VLOOKUP('Données projet'!$B$13,Paramètres!$A$1:$I$89,5,0)</f>
        <v>233.1575999999998</v>
      </c>
      <c r="CV128" s="14">
        <f t="shared" si="95"/>
        <v>56.964885721091697</v>
      </c>
      <c r="CW128" s="22">
        <f t="shared" si="67"/>
        <v>505.29666263090093</v>
      </c>
      <c r="CX128" s="62">
        <f t="shared" si="68"/>
        <v>798.62999596423424</v>
      </c>
      <c r="CY128" s="62">
        <f ca="1">AVERAGE(OFFSET($CX$3,0,0,'Données projet'!$E$13+1,1))-AVERAGE(OFFSET($H$3,0,0,'Données projet'!$E$13+1,1))</f>
        <v>327.81662150328646</v>
      </c>
      <c r="CZ128" s="62">
        <f t="shared" si="96"/>
        <v>320.24200483294322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0.30496224445542575</v>
      </c>
      <c r="DG128" s="23">
        <f>EXP(-LN(2)/25)*DG127+(1-EXP(-LN(2)/25))/(LN(2)/25)*Calculateur!DB128*Calculateur!DD128*VLOOKUP('Données projet'!$B$13,Paramètres!$A$1:$I$89,3,0)*0.475*44/12</f>
        <v>0</v>
      </c>
      <c r="DH128" s="23">
        <f>EXP(-LN(2)/2)*DH127+(1-EXP(-LN(2)/2))/(LN(2)/2)*DB128*DE128*VLOOKUP('Données projet'!$B$13,Paramètres!$A$1:$I$89,3,0)*0.475*44/12</f>
        <v>0</v>
      </c>
      <c r="DI128" s="24">
        <f t="shared" si="69"/>
        <v>0.30496224445542575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5.6843418860808015E-14</v>
      </c>
      <c r="DP128" s="18">
        <f>DO128*VLOOKUP('Données projet'!$B$14,Paramètres!$A$1:$I$89,3,0)*VLOOKUP('Données projet'!$B$14,Paramètres!$A$1:$I$89,5,0)</f>
        <v>3.7243808037601412E-14</v>
      </c>
      <c r="DQ128" s="14">
        <f t="shared" si="97"/>
        <v>6.2767589361185393E-13</v>
      </c>
      <c r="DR128" s="22">
        <f t="shared" si="70"/>
        <v>1.1580684803728015E-12</v>
      </c>
      <c r="DS128" s="62">
        <f t="shared" si="71"/>
        <v>293.33333333333445</v>
      </c>
      <c r="DT128" s="62">
        <f ca="1">AVERAGE(OFFSET($DS$3,0,0,'Données projet'!$E$14+1,1))-AVERAGE(OFFSET($H$3,0,0,'Données projet'!$E$14+1,1))</f>
        <v>210.08998695869161</v>
      </c>
      <c r="DU128" s="62">
        <f t="shared" si="98"/>
        <v>207.30911916430881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>
        <f>EXP(-LN(2)/35)*EA127+(1-EXP(-LN(2)/35))/(LN(2)/35)*DW128*DX128*VLOOKUP('Données projet'!$B$14,Paramètres!$A$1:$I$89,3,0)*0.475*44/12</f>
        <v>7.0076430640821169E-2</v>
      </c>
      <c r="EB128" s="23">
        <f>EXP(-LN(2)/25)*EB127+(1-EXP(-LN(2)/25))/(LN(2)/25)*Calculateur!DW128*Calculateur!DY128*VLOOKUP('Données projet'!$B$14,Paramètres!$A$1:$I$89,3,0)*0.475*44/12</f>
        <v>0</v>
      </c>
      <c r="EC128" s="23">
        <f>EXP(-LN(2)/2)*EC127+(1-EXP(-LN(2)/2))/(LN(2)/2)*DW128*DZ128*VLOOKUP('Données projet'!$B$14,Paramètres!$A$1:$I$89,3,0)*0.475*44/12</f>
        <v>0</v>
      </c>
      <c r="ED128" s="24">
        <f t="shared" si="72"/>
        <v>7.0076430640821169E-2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5.6843418860808015E-14</v>
      </c>
      <c r="EK128" s="18">
        <f>EJ128*VLOOKUP('Données projet'!$B$15,Paramètres!$A$1:$I$89,3,0)*VLOOKUP('Données projet'!$B$15,Paramètres!$A$1:$I$89,5,0)</f>
        <v>4.4337866711430253E-14</v>
      </c>
      <c r="EL128" s="14">
        <f t="shared" si="99"/>
        <v>7.3222115536967035E-13</v>
      </c>
      <c r="EM128" s="22">
        <f t="shared" si="73"/>
        <v>1.3525069634579169E-12</v>
      </c>
      <c r="EN128" s="62">
        <f t="shared" si="74"/>
        <v>293.33333333333468</v>
      </c>
      <c r="EO128" s="62">
        <f ca="1">AVERAGE(OFFSET($EN$3,0,0,'Données projet'!$E$15+1,1))-AVERAGE(OFFSET($H$3,0,0,'Données projet'!$E$15+1,1))</f>
        <v>288.82868507674738</v>
      </c>
      <c r="EP128" s="62">
        <f t="shared" si="100"/>
        <v>283.48738729114024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>
        <f>EXP(-LN(2)/35)*EV127+(1-EXP(-LN(2)/35))/(LN(2)/35)*ER128*ES128*VLOOKUP('Données projet'!$B$15,Paramètres!$A$1:$I$89,3,0)*0.475*44/12</f>
        <v>0.27632375795078884</v>
      </c>
      <c r="EW128" s="23">
        <f>EXP(-LN(2)/25)*EW127+(1-EXP(-LN(2)/25))/(LN(2)/25)*Calculateur!ER128*Calculateur!ET128*VLOOKUP('Données projet'!$B$15,Paramètres!$A$1:$I$89,3,0)*0.475*44/12</f>
        <v>0</v>
      </c>
      <c r="EX128" s="23">
        <f>EXP(-LN(2)/2)*EX127+(1-EXP(-LN(2)/2))/(LN(2)/2)*ER128*EU128*VLOOKUP('Données projet'!$B$15,Paramètres!$A$1:$I$89,3,0)*0.475*44/12</f>
        <v>0</v>
      </c>
      <c r="EY128" s="24">
        <f t="shared" si="75"/>
        <v>0.27632375795078884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3.4106051316484809E-13</v>
      </c>
      <c r="O129" s="14">
        <f>N129*VLOOKUP('Données projet'!$B$9,Paramètres!$A$1:$I$89,3,0)*VLOOKUP('Données projet'!$B$9,Paramètres!$A$1:$I$89,5,0)</f>
        <v>1.5961632016114892E-13</v>
      </c>
      <c r="P129" s="14">
        <f t="shared" si="87"/>
        <v>2.2708641912150958E-12</v>
      </c>
      <c r="Q129" s="22">
        <f t="shared" si="107"/>
        <v>4.2330868906469593E-12</v>
      </c>
      <c r="R129" s="62">
        <f t="shared" si="55"/>
        <v>293.33333333333752</v>
      </c>
      <c r="S129" s="62">
        <f ca="1">AVERAGE(OFFSET($R$3,0,0,'Données projet'!$E$9+1,1))-AVERAGE(OFFSET($H$3,0,0,'Données projet'!$E$9+1,1))</f>
        <v>317.54276561627643</v>
      </c>
      <c r="T129" s="62">
        <f t="shared" si="88"/>
        <v>238.92443174298893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-1.1368683772161603E-13</v>
      </c>
      <c r="AJ129" s="14">
        <f>AI129*VLOOKUP('Données projet'!$B$10,Paramètres!$A$1:$I$89,3,0)*VLOOKUP('Données projet'!$B$10,Paramètres!$A$1:$I$89,5,0)</f>
        <v>-9.9316821433603781E-14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327.826081588335</v>
      </c>
      <c r="AO129" s="62">
        <f t="shared" si="90"/>
        <v>348.84706693879735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0.91813730343084954</v>
      </c>
      <c r="AV129" s="23">
        <f>EXP(-LN(2)/25)*AV128+(1-EXP(-LN(2)/25))/(LN(2)/25)*Calculateur!AQ129*Calculateur!AS129*VLOOKUP('Données projet'!$B$10,Paramètres!$A$1:$I$89,3,0)*0.475*44/12</f>
        <v>0.95803818463529011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1.8761754880661397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>
        <f>BD129*VLOOKUP('Données projet'!$B$11,Paramètres!$A$1:$I$89,3,0)*VLOOKUP('Données projet'!$B$11,Paramètres!$A$1:$I$89,5,0)</f>
        <v>0</v>
      </c>
      <c r="BF129" s="14" t="e">
        <f t="shared" si="91"/>
        <v>#NUM!</v>
      </c>
      <c r="BG129" s="22" t="e">
        <f t="shared" si="61"/>
        <v>#NUM!</v>
      </c>
      <c r="BH129" s="62" t="e">
        <f t="shared" si="62"/>
        <v>#NUM!</v>
      </c>
      <c r="BI129" s="62">
        <f ca="1">AVERAGE(OFFSET($BH$3,0,0,'Données projet'!$E$11+1,1))-AVERAGE(OFFSET($H$3,0,0,'Données projet'!$E$11+1,1))</f>
        <v>487.04124684635974</v>
      </c>
      <c r="BJ129" s="62">
        <f t="shared" si="92"/>
        <v>306.61893266146666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0.40323597785814341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0.40323597785814341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>
        <f>BY129*VLOOKUP('Données projet'!$B$12,Paramètres!$A$1:$I$89,3,0)*VLOOKUP('Données projet'!$B$12,Paramètres!$A$1:$I$89,5,0)</f>
        <v>0</v>
      </c>
      <c r="CA129" s="14" t="e">
        <f t="shared" si="93"/>
        <v>#NUM!</v>
      </c>
      <c r="CB129" s="22" t="e">
        <f t="shared" si="64"/>
        <v>#NUM!</v>
      </c>
      <c r="CC129" s="62" t="e">
        <f t="shared" si="65"/>
        <v>#NUM!</v>
      </c>
      <c r="CD129" s="62">
        <f ca="1">AVERAGE(OFFSET($CC$3,0,0,'Données projet'!$E$12+1,1))-AVERAGE(OFFSET($H$3,0,0,'Données projet'!$E$12+1,1))</f>
        <v>439.06700232017681</v>
      </c>
      <c r="CE129" s="62">
        <f t="shared" si="94"/>
        <v>278.21741231699929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0.35981056485803553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0.35981056485803553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317.99999999999972</v>
      </c>
      <c r="CU129" s="18">
        <f>CT129*VLOOKUP('Données projet'!$B$13,Paramètres!$A$1:$I$89,3,0)*VLOOKUP('Données projet'!$B$13,Paramètres!$A$1:$I$89,5,0)</f>
        <v>233.1575999999998</v>
      </c>
      <c r="CV129" s="14">
        <f t="shared" si="95"/>
        <v>56.964885721091697</v>
      </c>
      <c r="CW129" s="22">
        <f t="shared" si="67"/>
        <v>505.29666263090093</v>
      </c>
      <c r="CX129" s="62">
        <f t="shared" si="68"/>
        <v>798.62999596423424</v>
      </c>
      <c r="CY129" s="62">
        <f ca="1">AVERAGE(OFFSET($CX$3,0,0,'Données projet'!$E$13+1,1))-AVERAGE(OFFSET($H$3,0,0,'Données projet'!$E$13+1,1))</f>
        <v>327.81662150328646</v>
      </c>
      <c r="CZ129" s="62">
        <f t="shared" si="96"/>
        <v>320.24200483294322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0.29898212085025716</v>
      </c>
      <c r="DG129" s="23">
        <f>EXP(-LN(2)/25)*DG128+(1-EXP(-LN(2)/25))/(LN(2)/25)*Calculateur!DB129*Calculateur!DD129*VLOOKUP('Données projet'!$B$13,Paramètres!$A$1:$I$89,3,0)*0.475*44/12</f>
        <v>0</v>
      </c>
      <c r="DH129" s="23">
        <f>EXP(-LN(2)/2)*DH128+(1-EXP(-LN(2)/2))/(LN(2)/2)*DB129*DE129*VLOOKUP('Données projet'!$B$13,Paramètres!$A$1:$I$89,3,0)*0.475*44/12</f>
        <v>0</v>
      </c>
      <c r="DI129" s="24">
        <f t="shared" si="69"/>
        <v>0.29898212085025716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5.6843418860808015E-14</v>
      </c>
      <c r="DP129" s="18">
        <f>DO129*VLOOKUP('Données projet'!$B$14,Paramètres!$A$1:$I$89,3,0)*VLOOKUP('Données projet'!$B$14,Paramètres!$A$1:$I$89,5,0)</f>
        <v>3.7243808037601412E-14</v>
      </c>
      <c r="DQ129" s="14">
        <f t="shared" si="97"/>
        <v>6.2767589361185393E-13</v>
      </c>
      <c r="DR129" s="22">
        <f t="shared" si="70"/>
        <v>1.1580684803728015E-12</v>
      </c>
      <c r="DS129" s="62">
        <f t="shared" si="71"/>
        <v>293.33333333333445</v>
      </c>
      <c r="DT129" s="62">
        <f ca="1">AVERAGE(OFFSET($DS$3,0,0,'Données projet'!$E$14+1,1))-AVERAGE(OFFSET($H$3,0,0,'Données projet'!$E$14+1,1))</f>
        <v>210.08998695869161</v>
      </c>
      <c r="DU129" s="62">
        <f t="shared" si="98"/>
        <v>207.30911916430881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>
        <f>EXP(-LN(2)/35)*EA128+(1-EXP(-LN(2)/35))/(LN(2)/35)*DW129*DX129*VLOOKUP('Données projet'!$B$14,Paramètres!$A$1:$I$89,3,0)*0.475*44/12</f>
        <v>6.8702274578356898E-2</v>
      </c>
      <c r="EB129" s="23">
        <f>EXP(-LN(2)/25)*EB128+(1-EXP(-LN(2)/25))/(LN(2)/25)*Calculateur!DW129*Calculateur!DY129*VLOOKUP('Données projet'!$B$14,Paramètres!$A$1:$I$89,3,0)*0.475*44/12</f>
        <v>0</v>
      </c>
      <c r="EC129" s="23">
        <f>EXP(-LN(2)/2)*EC128+(1-EXP(-LN(2)/2))/(LN(2)/2)*DW129*DZ129*VLOOKUP('Données projet'!$B$14,Paramètres!$A$1:$I$89,3,0)*0.475*44/12</f>
        <v>0</v>
      </c>
      <c r="ED129" s="24">
        <f t="shared" si="72"/>
        <v>6.8702274578356898E-2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5.6843418860808015E-14</v>
      </c>
      <c r="EK129" s="18">
        <f>EJ129*VLOOKUP('Données projet'!$B$15,Paramètres!$A$1:$I$89,3,0)*VLOOKUP('Données projet'!$B$15,Paramètres!$A$1:$I$89,5,0)</f>
        <v>4.4337866711430253E-14</v>
      </c>
      <c r="EL129" s="14">
        <f t="shared" si="99"/>
        <v>7.3222115536967035E-13</v>
      </c>
      <c r="EM129" s="22">
        <f t="shared" si="73"/>
        <v>1.3525069634579169E-12</v>
      </c>
      <c r="EN129" s="62">
        <f t="shared" si="74"/>
        <v>293.33333333333468</v>
      </c>
      <c r="EO129" s="62">
        <f ca="1">AVERAGE(OFFSET($EN$3,0,0,'Données projet'!$E$15+1,1))-AVERAGE(OFFSET($H$3,0,0,'Données projet'!$E$15+1,1))</f>
        <v>288.82868507674738</v>
      </c>
      <c r="EP129" s="62">
        <f t="shared" si="100"/>
        <v>283.48738729114024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>
        <f>EXP(-LN(2)/35)*EV128+(1-EXP(-LN(2)/35))/(LN(2)/35)*ER129*ES129*VLOOKUP('Données projet'!$B$15,Paramètres!$A$1:$I$89,3,0)*0.475*44/12</f>
        <v>0.27090521759822417</v>
      </c>
      <c r="EW129" s="23">
        <f>EXP(-LN(2)/25)*EW128+(1-EXP(-LN(2)/25))/(LN(2)/25)*Calculateur!ER129*Calculateur!ET129*VLOOKUP('Données projet'!$B$15,Paramètres!$A$1:$I$89,3,0)*0.475*44/12</f>
        <v>0</v>
      </c>
      <c r="EX129" s="23">
        <f>EXP(-LN(2)/2)*EX128+(1-EXP(-LN(2)/2))/(LN(2)/2)*ER129*EU129*VLOOKUP('Données projet'!$B$15,Paramètres!$A$1:$I$89,3,0)*0.475*44/12</f>
        <v>0</v>
      </c>
      <c r="EY129" s="24">
        <f t="shared" si="75"/>
        <v>0.27090521759822417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3.4106051316484809E-13</v>
      </c>
      <c r="O130" s="14">
        <f>N130*VLOOKUP('Données projet'!$B$9,Paramètres!$A$1:$I$89,3,0)*VLOOKUP('Données projet'!$B$9,Paramètres!$A$1:$I$89,5,0)</f>
        <v>1.5961632016114892E-13</v>
      </c>
      <c r="P130" s="14">
        <f t="shared" si="87"/>
        <v>2.2708641912150958E-12</v>
      </c>
      <c r="Q130" s="22">
        <f t="shared" si="107"/>
        <v>4.2330868906469593E-12</v>
      </c>
      <c r="R130" s="62">
        <f t="shared" si="55"/>
        <v>293.33333333333752</v>
      </c>
      <c r="S130" s="62">
        <f ca="1">AVERAGE(OFFSET($R$3,0,0,'Données projet'!$E$9+1,1))-AVERAGE(OFFSET($H$3,0,0,'Données projet'!$E$9+1,1))</f>
        <v>317.54276561627643</v>
      </c>
      <c r="T130" s="62">
        <f t="shared" si="88"/>
        <v>238.92443174298893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-1.1368683772161603E-13</v>
      </c>
      <c r="AJ130" s="14">
        <f>AI130*VLOOKUP('Données projet'!$B$10,Paramètres!$A$1:$I$89,3,0)*VLOOKUP('Données projet'!$B$10,Paramètres!$A$1:$I$89,5,0)</f>
        <v>-9.9316821433603781E-14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327.826081588335</v>
      </c>
      <c r="AO130" s="62">
        <f t="shared" si="90"/>
        <v>348.84706693879735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0.90013319091902944</v>
      </c>
      <c r="AV130" s="23">
        <f>EXP(-LN(2)/25)*AV129+(1-EXP(-LN(2)/25))/(LN(2)/25)*Calculateur!AQ130*Calculateur!AS130*VLOOKUP('Données projet'!$B$10,Paramètres!$A$1:$I$89,3,0)*0.475*44/12</f>
        <v>0.93184058009539961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1.831973771014429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>
        <f>BD130*VLOOKUP('Données projet'!$B$11,Paramètres!$A$1:$I$89,3,0)*VLOOKUP('Données projet'!$B$11,Paramètres!$A$1:$I$89,5,0)</f>
        <v>0</v>
      </c>
      <c r="BF130" s="14" t="e">
        <f t="shared" si="91"/>
        <v>#NUM!</v>
      </c>
      <c r="BG130" s="22" t="e">
        <f t="shared" si="61"/>
        <v>#NUM!</v>
      </c>
      <c r="BH130" s="62" t="e">
        <f t="shared" si="62"/>
        <v>#NUM!</v>
      </c>
      <c r="BI130" s="62">
        <f ca="1">AVERAGE(OFFSET($BH$3,0,0,'Données projet'!$E$11+1,1))-AVERAGE(OFFSET($H$3,0,0,'Données projet'!$E$11+1,1))</f>
        <v>487.04124684635974</v>
      </c>
      <c r="BJ130" s="62">
        <f t="shared" si="92"/>
        <v>306.61893266146666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0.39532876628200619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0.39532876628200619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>
        <f>BY130*VLOOKUP('Données projet'!$B$12,Paramètres!$A$1:$I$89,3,0)*VLOOKUP('Données projet'!$B$12,Paramètres!$A$1:$I$89,5,0)</f>
        <v>0</v>
      </c>
      <c r="CA130" s="14" t="e">
        <f t="shared" si="93"/>
        <v>#NUM!</v>
      </c>
      <c r="CB130" s="22" t="e">
        <f t="shared" si="64"/>
        <v>#NUM!</v>
      </c>
      <c r="CC130" s="62" t="e">
        <f t="shared" si="65"/>
        <v>#NUM!</v>
      </c>
      <c r="CD130" s="62">
        <f ca="1">AVERAGE(OFFSET($CC$3,0,0,'Données projet'!$E$12+1,1))-AVERAGE(OFFSET($H$3,0,0,'Données projet'!$E$12+1,1))</f>
        <v>439.06700232017681</v>
      </c>
      <c r="CE130" s="62">
        <f t="shared" si="94"/>
        <v>278.21741231699929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0.35275489914394387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0.35275489914394387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317.99999999999972</v>
      </c>
      <c r="CU130" s="18">
        <f>CT130*VLOOKUP('Données projet'!$B$13,Paramètres!$A$1:$I$89,3,0)*VLOOKUP('Données projet'!$B$13,Paramètres!$A$1:$I$89,5,0)</f>
        <v>233.1575999999998</v>
      </c>
      <c r="CV130" s="14">
        <f t="shared" si="95"/>
        <v>56.964885721091697</v>
      </c>
      <c r="CW130" s="22">
        <f t="shared" si="67"/>
        <v>505.29666263090093</v>
      </c>
      <c r="CX130" s="62">
        <f t="shared" si="68"/>
        <v>798.62999596423424</v>
      </c>
      <c r="CY130" s="62">
        <f ca="1">AVERAGE(OFFSET($CX$3,0,0,'Données projet'!$E$13+1,1))-AVERAGE(OFFSET($H$3,0,0,'Données projet'!$E$13+1,1))</f>
        <v>327.81662150328646</v>
      </c>
      <c r="CZ130" s="62">
        <f t="shared" si="96"/>
        <v>320.24200483294322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0.29311926382147069</v>
      </c>
      <c r="DG130" s="23">
        <f>EXP(-LN(2)/25)*DG129+(1-EXP(-LN(2)/25))/(LN(2)/25)*Calculateur!DB130*Calculateur!DD130*VLOOKUP('Données projet'!$B$13,Paramètres!$A$1:$I$89,3,0)*0.475*44/12</f>
        <v>0</v>
      </c>
      <c r="DH130" s="23">
        <f>EXP(-LN(2)/2)*DH129+(1-EXP(-LN(2)/2))/(LN(2)/2)*DB130*DE130*VLOOKUP('Données projet'!$B$13,Paramètres!$A$1:$I$89,3,0)*0.475*44/12</f>
        <v>0</v>
      </c>
      <c r="DI130" s="24">
        <f t="shared" si="69"/>
        <v>0.29311926382147069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5.6843418860808015E-14</v>
      </c>
      <c r="DP130" s="18">
        <f>DO130*VLOOKUP('Données projet'!$B$14,Paramètres!$A$1:$I$89,3,0)*VLOOKUP('Données projet'!$B$14,Paramètres!$A$1:$I$89,5,0)</f>
        <v>3.7243808037601412E-14</v>
      </c>
      <c r="DQ130" s="14">
        <f t="shared" si="97"/>
        <v>6.2767589361185393E-13</v>
      </c>
      <c r="DR130" s="22">
        <f t="shared" si="70"/>
        <v>1.1580684803728015E-12</v>
      </c>
      <c r="DS130" s="62">
        <f t="shared" si="71"/>
        <v>293.33333333333445</v>
      </c>
      <c r="DT130" s="62">
        <f ca="1">AVERAGE(OFFSET($DS$3,0,0,'Données projet'!$E$14+1,1))-AVERAGE(OFFSET($H$3,0,0,'Données projet'!$E$14+1,1))</f>
        <v>210.08998695869161</v>
      </c>
      <c r="DU130" s="62">
        <f t="shared" si="98"/>
        <v>207.30911916430881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>
        <f>EXP(-LN(2)/35)*EA129+(1-EXP(-LN(2)/35))/(LN(2)/35)*DW130*DX130*VLOOKUP('Données projet'!$B$14,Paramètres!$A$1:$I$89,3,0)*0.475*44/12</f>
        <v>6.7355064878125107E-2</v>
      </c>
      <c r="EB130" s="23">
        <f>EXP(-LN(2)/25)*EB129+(1-EXP(-LN(2)/25))/(LN(2)/25)*Calculateur!DW130*Calculateur!DY130*VLOOKUP('Données projet'!$B$14,Paramètres!$A$1:$I$89,3,0)*0.475*44/12</f>
        <v>0</v>
      </c>
      <c r="EC130" s="23">
        <f>EXP(-LN(2)/2)*EC129+(1-EXP(-LN(2)/2))/(LN(2)/2)*DW130*DZ130*VLOOKUP('Données projet'!$B$14,Paramètres!$A$1:$I$89,3,0)*0.475*44/12</f>
        <v>0</v>
      </c>
      <c r="ED130" s="24">
        <f t="shared" si="72"/>
        <v>6.7355064878125107E-2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5.6843418860808015E-14</v>
      </c>
      <c r="EK130" s="18">
        <f>EJ130*VLOOKUP('Données projet'!$B$15,Paramètres!$A$1:$I$89,3,0)*VLOOKUP('Données projet'!$B$15,Paramètres!$A$1:$I$89,5,0)</f>
        <v>4.4337866711430253E-14</v>
      </c>
      <c r="EL130" s="14">
        <f t="shared" si="99"/>
        <v>7.3222115536967035E-13</v>
      </c>
      <c r="EM130" s="22">
        <f t="shared" si="73"/>
        <v>1.3525069634579169E-12</v>
      </c>
      <c r="EN130" s="62">
        <f t="shared" si="74"/>
        <v>293.33333333333468</v>
      </c>
      <c r="EO130" s="62">
        <f ca="1">AVERAGE(OFFSET($EN$3,0,0,'Données projet'!$E$15+1,1))-AVERAGE(OFFSET($H$3,0,0,'Données projet'!$E$15+1,1))</f>
        <v>288.82868507674738</v>
      </c>
      <c r="EP130" s="62">
        <f t="shared" si="100"/>
        <v>283.48738729114024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>
        <f>EXP(-LN(2)/35)*EV129+(1-EXP(-LN(2)/35))/(LN(2)/35)*ER130*ES130*VLOOKUP('Données projet'!$B$15,Paramètres!$A$1:$I$89,3,0)*0.475*44/12</f>
        <v>0.26559293151699004</v>
      </c>
      <c r="EW130" s="23">
        <f>EXP(-LN(2)/25)*EW129+(1-EXP(-LN(2)/25))/(LN(2)/25)*Calculateur!ER130*Calculateur!ET130*VLOOKUP('Données projet'!$B$15,Paramètres!$A$1:$I$89,3,0)*0.475*44/12</f>
        <v>0</v>
      </c>
      <c r="EX130" s="23">
        <f>EXP(-LN(2)/2)*EX129+(1-EXP(-LN(2)/2))/(LN(2)/2)*ER130*EU130*VLOOKUP('Données projet'!$B$15,Paramètres!$A$1:$I$89,3,0)*0.475*44/12</f>
        <v>0</v>
      </c>
      <c r="EY130" s="24">
        <f t="shared" si="75"/>
        <v>0.26559293151699004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3.4106051316484809E-13</v>
      </c>
      <c r="O131" s="14">
        <f>N131*VLOOKUP('Données projet'!$B$9,Paramètres!$A$1:$I$89,3,0)*VLOOKUP('Données projet'!$B$9,Paramètres!$A$1:$I$89,5,0)</f>
        <v>1.5961632016114892E-13</v>
      </c>
      <c r="P131" s="14">
        <f t="shared" si="87"/>
        <v>2.2708641912150958E-12</v>
      </c>
      <c r="Q131" s="22">
        <f t="shared" ref="Q131:Q153" si="108">(O131+P131)*0.475*44/12</f>
        <v>4.2330868906469593E-12</v>
      </c>
      <c r="R131" s="62">
        <f t="shared" ref="R131:R194" si="109">Q131+(I131+J131)*44/12</f>
        <v>293.33333333333752</v>
      </c>
      <c r="S131" s="62">
        <f ca="1">AVERAGE(OFFSET($R$3,0,0,'Données projet'!$E$9+1,1))-AVERAGE(OFFSET($H$3,0,0,'Données projet'!$E$9+1,1))</f>
        <v>317.54276561627643</v>
      </c>
      <c r="T131" s="62">
        <f t="shared" si="88"/>
        <v>238.92443174298893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-1.1368683772161603E-13</v>
      </c>
      <c r="AJ131" s="14">
        <f>AI131*VLOOKUP('Données projet'!$B$10,Paramètres!$A$1:$I$89,3,0)*VLOOKUP('Données projet'!$B$10,Paramètres!$A$1:$I$89,5,0)</f>
        <v>-9.9316821433603781E-14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327.826081588335</v>
      </c>
      <c r="AO131" s="62">
        <f t="shared" si="90"/>
        <v>348.84706693879735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0.88248212807214177</v>
      </c>
      <c r="AV131" s="23">
        <f>EXP(-LN(2)/25)*AV130+(1-EXP(-LN(2)/25))/(LN(2)/25)*Calculateur!AQ131*Calculateur!AS131*VLOOKUP('Données projet'!$B$10,Paramètres!$A$1:$I$89,3,0)*0.475*44/12</f>
        <v>0.90635935042932458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1.7888414785014664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>
        <f>BD131*VLOOKUP('Données projet'!$B$11,Paramètres!$A$1:$I$89,3,0)*VLOOKUP('Données projet'!$B$11,Paramètres!$A$1:$I$89,5,0)</f>
        <v>0</v>
      </c>
      <c r="BF131" s="14" t="e">
        <f t="shared" si="91"/>
        <v>#NUM!</v>
      </c>
      <c r="BG131" s="22" t="e">
        <f t="shared" si="61"/>
        <v>#NUM!</v>
      </c>
      <c r="BH131" s="62" t="e">
        <f t="shared" si="62"/>
        <v>#NUM!</v>
      </c>
      <c r="BI131" s="62">
        <f ca="1">AVERAGE(OFFSET($BH$3,0,0,'Données projet'!$E$11+1,1))-AVERAGE(OFFSET($H$3,0,0,'Données projet'!$E$11+1,1))</f>
        <v>487.04124684635974</v>
      </c>
      <c r="BJ131" s="62">
        <f t="shared" si="92"/>
        <v>306.61893266146666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0.38757661030195417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0.38757661030195417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>
        <f>BY131*VLOOKUP('Données projet'!$B$12,Paramètres!$A$1:$I$89,3,0)*VLOOKUP('Données projet'!$B$12,Paramètres!$A$1:$I$89,5,0)</f>
        <v>0</v>
      </c>
      <c r="CA131" s="14" t="e">
        <f t="shared" si="93"/>
        <v>#NUM!</v>
      </c>
      <c r="CB131" s="22" t="e">
        <f t="shared" si="64"/>
        <v>#NUM!</v>
      </c>
      <c r="CC131" s="62" t="e">
        <f t="shared" si="65"/>
        <v>#NUM!</v>
      </c>
      <c r="CD131" s="62">
        <f ca="1">AVERAGE(OFFSET($CC$3,0,0,'Données projet'!$E$12+1,1))-AVERAGE(OFFSET($H$3,0,0,'Données projet'!$E$12+1,1))</f>
        <v>439.06700232017681</v>
      </c>
      <c r="CE131" s="62">
        <f t="shared" si="94"/>
        <v>278.21741231699929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0.34583759073097442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0.34583759073097442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317.99999999999972</v>
      </c>
      <c r="CU131" s="18">
        <f>CT131*VLOOKUP('Données projet'!$B$13,Paramètres!$A$1:$I$89,3,0)*VLOOKUP('Données projet'!$B$13,Paramètres!$A$1:$I$89,5,0)</f>
        <v>233.1575999999998</v>
      </c>
      <c r="CV131" s="14">
        <f t="shared" si="95"/>
        <v>56.964885721091697</v>
      </c>
      <c r="CW131" s="22">
        <f t="shared" si="67"/>
        <v>505.29666263090093</v>
      </c>
      <c r="CX131" s="62">
        <f t="shared" si="68"/>
        <v>798.62999596423424</v>
      </c>
      <c r="CY131" s="62">
        <f ca="1">AVERAGE(OFFSET($CX$3,0,0,'Données projet'!$E$13+1,1))-AVERAGE(OFFSET($H$3,0,0,'Données projet'!$E$13+1,1))</f>
        <v>327.81662150328646</v>
      </c>
      <c r="CZ131" s="62">
        <f t="shared" si="96"/>
        <v>320.24200483294322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0.28737137384302902</v>
      </c>
      <c r="DG131" s="23">
        <f>EXP(-LN(2)/25)*DG130+(1-EXP(-LN(2)/25))/(LN(2)/25)*Calculateur!DB131*Calculateur!DD131*VLOOKUP('Données projet'!$B$13,Paramètres!$A$1:$I$89,3,0)*0.475*44/12</f>
        <v>0</v>
      </c>
      <c r="DH131" s="23">
        <f>EXP(-LN(2)/2)*DH130+(1-EXP(-LN(2)/2))/(LN(2)/2)*DB131*DE131*VLOOKUP('Données projet'!$B$13,Paramètres!$A$1:$I$89,3,0)*0.475*44/12</f>
        <v>0</v>
      </c>
      <c r="DI131" s="24">
        <f t="shared" si="69"/>
        <v>0.28737137384302902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5.6843418860808015E-14</v>
      </c>
      <c r="DP131" s="18">
        <f>DO131*VLOOKUP('Données projet'!$B$14,Paramètres!$A$1:$I$89,3,0)*VLOOKUP('Données projet'!$B$14,Paramètres!$A$1:$I$89,5,0)</f>
        <v>3.7243808037601412E-14</v>
      </c>
      <c r="DQ131" s="14">
        <f t="shared" si="97"/>
        <v>6.2767589361185393E-13</v>
      </c>
      <c r="DR131" s="22">
        <f t="shared" si="70"/>
        <v>1.1580684803728015E-12</v>
      </c>
      <c r="DS131" s="62">
        <f t="shared" si="71"/>
        <v>293.33333333333445</v>
      </c>
      <c r="DT131" s="62">
        <f ca="1">AVERAGE(OFFSET($DS$3,0,0,'Données projet'!$E$14+1,1))-AVERAGE(OFFSET($H$3,0,0,'Données projet'!$E$14+1,1))</f>
        <v>210.08998695869161</v>
      </c>
      <c r="DU131" s="62">
        <f t="shared" si="98"/>
        <v>207.30911916430881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>
        <f>EXP(-LN(2)/35)*EA130+(1-EXP(-LN(2)/35))/(LN(2)/35)*DW131*DX131*VLOOKUP('Données projet'!$B$14,Paramètres!$A$1:$I$89,3,0)*0.475*44/12</f>
        <v>6.6034273138398089E-2</v>
      </c>
      <c r="EB131" s="23">
        <f>EXP(-LN(2)/25)*EB130+(1-EXP(-LN(2)/25))/(LN(2)/25)*Calculateur!DW131*Calculateur!DY131*VLOOKUP('Données projet'!$B$14,Paramètres!$A$1:$I$89,3,0)*0.475*44/12</f>
        <v>0</v>
      </c>
      <c r="EC131" s="23">
        <f>EXP(-LN(2)/2)*EC130+(1-EXP(-LN(2)/2))/(LN(2)/2)*DW131*DZ131*VLOOKUP('Données projet'!$B$14,Paramètres!$A$1:$I$89,3,0)*0.475*44/12</f>
        <v>0</v>
      </c>
      <c r="ED131" s="24">
        <f t="shared" si="72"/>
        <v>6.6034273138398089E-2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5.6843418860808015E-14</v>
      </c>
      <c r="EK131" s="18">
        <f>EJ131*VLOOKUP('Données projet'!$B$15,Paramètres!$A$1:$I$89,3,0)*VLOOKUP('Données projet'!$B$15,Paramètres!$A$1:$I$89,5,0)</f>
        <v>4.4337866711430253E-14</v>
      </c>
      <c r="EL131" s="14">
        <f t="shared" si="99"/>
        <v>7.3222115536967035E-13</v>
      </c>
      <c r="EM131" s="22">
        <f t="shared" si="73"/>
        <v>1.3525069634579169E-12</v>
      </c>
      <c r="EN131" s="62">
        <f t="shared" si="74"/>
        <v>293.33333333333468</v>
      </c>
      <c r="EO131" s="62">
        <f ca="1">AVERAGE(OFFSET($EN$3,0,0,'Données projet'!$E$15+1,1))-AVERAGE(OFFSET($H$3,0,0,'Données projet'!$E$15+1,1))</f>
        <v>288.82868507674738</v>
      </c>
      <c r="EP131" s="62">
        <f t="shared" si="100"/>
        <v>283.48738729114024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>
        <f>EXP(-LN(2)/35)*EV130+(1-EXP(-LN(2)/35))/(LN(2)/35)*ER131*ES131*VLOOKUP('Données projet'!$B$15,Paramètres!$A$1:$I$89,3,0)*0.475*44/12</f>
        <v>0.26038481612563436</v>
      </c>
      <c r="EW131" s="23">
        <f>EXP(-LN(2)/25)*EW130+(1-EXP(-LN(2)/25))/(LN(2)/25)*Calculateur!ER131*Calculateur!ET131*VLOOKUP('Données projet'!$B$15,Paramètres!$A$1:$I$89,3,0)*0.475*44/12</f>
        <v>0</v>
      </c>
      <c r="EX131" s="23">
        <f>EXP(-LN(2)/2)*EX130+(1-EXP(-LN(2)/2))/(LN(2)/2)*ER131*EU131*VLOOKUP('Données projet'!$B$15,Paramètres!$A$1:$I$89,3,0)*0.475*44/12</f>
        <v>0</v>
      </c>
      <c r="EY131" s="24">
        <f t="shared" si="75"/>
        <v>0.26038481612563436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3.4106051316484809E-13</v>
      </c>
      <c r="O132" s="14">
        <f>N132*VLOOKUP('Données projet'!$B$9,Paramètres!$A$1:$I$89,3,0)*VLOOKUP('Données projet'!$B$9,Paramètres!$A$1:$I$89,5,0)</f>
        <v>1.5961632016114892E-13</v>
      </c>
      <c r="P132" s="14">
        <f t="shared" si="87"/>
        <v>2.2708641912150958E-12</v>
      </c>
      <c r="Q132" s="22">
        <f t="shared" si="108"/>
        <v>4.2330868906469593E-12</v>
      </c>
      <c r="R132" s="62">
        <f t="shared" si="109"/>
        <v>293.33333333333752</v>
      </c>
      <c r="S132" s="62">
        <f ca="1">AVERAGE(OFFSET($R$3,0,0,'Données projet'!$E$9+1,1))-AVERAGE(OFFSET($H$3,0,0,'Données projet'!$E$9+1,1))</f>
        <v>317.54276561627643</v>
      </c>
      <c r="T132" s="62">
        <f t="shared" si="88"/>
        <v>238.92443174298893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-1.1368683772161603E-13</v>
      </c>
      <c r="AJ132" s="14">
        <f>AI132*VLOOKUP('Données projet'!$B$10,Paramètres!$A$1:$I$89,3,0)*VLOOKUP('Données projet'!$B$10,Paramètres!$A$1:$I$89,5,0)</f>
        <v>-9.9316821433603781E-14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327.826081588335</v>
      </c>
      <c r="AO132" s="62">
        <f t="shared" si="90"/>
        <v>348.84706693879735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0.86517719180159636</v>
      </c>
      <c r="AV132" s="23">
        <f>EXP(-LN(2)/25)*AV131+(1-EXP(-LN(2)/25))/(LN(2)/25)*Calculateur!AQ132*Calculateur!AS132*VLOOKUP('Données projet'!$B$10,Paramètres!$A$1:$I$89,3,0)*0.475*44/12</f>
        <v>0.88157490632846802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1.7467520981300644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>
        <f>BD132*VLOOKUP('Données projet'!$B$11,Paramètres!$A$1:$I$89,3,0)*VLOOKUP('Données projet'!$B$11,Paramètres!$A$1:$I$89,5,0)</f>
        <v>0</v>
      </c>
      <c r="BF132" s="14" t="e">
        <f t="shared" si="91"/>
        <v>#NUM!</v>
      </c>
      <c r="BG132" s="22" t="e">
        <f t="shared" ref="BG132:BG153" si="115">(BE132+BF132)*0.475*44/12</f>
        <v>#NUM!</v>
      </c>
      <c r="BH132" s="62" t="e">
        <f t="shared" ref="BH132:BH195" si="116">BG132+(AY132+AZ132)*44/12</f>
        <v>#NUM!</v>
      </c>
      <c r="BI132" s="62">
        <f ca="1">AVERAGE(OFFSET($BH$3,0,0,'Données projet'!$E$11+1,1))-AVERAGE(OFFSET($H$3,0,0,'Données projet'!$E$11+1,1))</f>
        <v>487.04124684635974</v>
      </c>
      <c r="BJ132" s="62">
        <f t="shared" si="92"/>
        <v>306.61893266146666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0.37997646937232271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0.37997646937232271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>
        <f>BY132*VLOOKUP('Données projet'!$B$12,Paramètres!$A$1:$I$89,3,0)*VLOOKUP('Données projet'!$B$12,Paramètres!$A$1:$I$89,5,0)</f>
        <v>0</v>
      </c>
      <c r="CA132" s="14" t="e">
        <f t="shared" si="93"/>
        <v>#NUM!</v>
      </c>
      <c r="CB132" s="22" t="e">
        <f t="shared" ref="CB132:CB153" si="118">(BZ132+CA132)*0.475*44/12</f>
        <v>#NUM!</v>
      </c>
      <c r="CC132" s="62" t="e">
        <f t="shared" ref="CC132:CC195" si="119">CB132+(BT132+BU132)*44/12</f>
        <v>#NUM!</v>
      </c>
      <c r="CD132" s="62">
        <f ca="1">AVERAGE(OFFSET($CC$3,0,0,'Données projet'!$E$12+1,1))-AVERAGE(OFFSET($H$3,0,0,'Données projet'!$E$12+1,1))</f>
        <v>439.06700232017681</v>
      </c>
      <c r="CE132" s="62">
        <f t="shared" si="94"/>
        <v>278.21741231699929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0.33905592651684174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0.33905592651684174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317.99999999999972</v>
      </c>
      <c r="CU132" s="18">
        <f>CT132*VLOOKUP('Données projet'!$B$13,Paramètres!$A$1:$I$89,3,0)*VLOOKUP('Données projet'!$B$13,Paramètres!$A$1:$I$89,5,0)</f>
        <v>233.1575999999998</v>
      </c>
      <c r="CV132" s="14">
        <f t="shared" si="95"/>
        <v>56.964885721091697</v>
      </c>
      <c r="CW132" s="22">
        <f t="shared" ref="CW132:CW153" si="121">(CU132+CV132)*0.475*44/12</f>
        <v>505.29666263090093</v>
      </c>
      <c r="CX132" s="62">
        <f t="shared" ref="CX132:CX195" si="122">CW132+(CO132+CP132)*44/12</f>
        <v>798.62999596423424</v>
      </c>
      <c r="CY132" s="62">
        <f ca="1">AVERAGE(OFFSET($CX$3,0,0,'Données projet'!$E$13+1,1))-AVERAGE(OFFSET($H$3,0,0,'Données projet'!$E$13+1,1))</f>
        <v>327.81662150328646</v>
      </c>
      <c r="CZ132" s="62">
        <f t="shared" si="96"/>
        <v>320.24200483294322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0.28173619648119785</v>
      </c>
      <c r="DG132" s="23">
        <f>EXP(-LN(2)/25)*DG131+(1-EXP(-LN(2)/25))/(LN(2)/25)*Calculateur!DB132*Calculateur!DD132*VLOOKUP('Données projet'!$B$13,Paramètres!$A$1:$I$89,3,0)*0.475*44/12</f>
        <v>0</v>
      </c>
      <c r="DH132" s="23">
        <f>EXP(-LN(2)/2)*DH131+(1-EXP(-LN(2)/2))/(LN(2)/2)*DB132*DE132*VLOOKUP('Données projet'!$B$13,Paramètres!$A$1:$I$89,3,0)*0.475*44/12</f>
        <v>0</v>
      </c>
      <c r="DI132" s="24">
        <f t="shared" ref="DI132:DI153" si="123">SUM(DF132:DH132)</f>
        <v>0.28173619648119785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5.6843418860808015E-14</v>
      </c>
      <c r="DP132" s="18">
        <f>DO132*VLOOKUP('Données projet'!$B$14,Paramètres!$A$1:$I$89,3,0)*VLOOKUP('Données projet'!$B$14,Paramètres!$A$1:$I$89,5,0)</f>
        <v>3.7243808037601412E-14</v>
      </c>
      <c r="DQ132" s="14">
        <f t="shared" si="97"/>
        <v>6.2767589361185393E-13</v>
      </c>
      <c r="DR132" s="22">
        <f t="shared" ref="DR132:DR153" si="124">(DP132+DQ132)*0.475*44/12</f>
        <v>1.1580684803728015E-12</v>
      </c>
      <c r="DS132" s="62">
        <f t="shared" ref="DS132:DS195" si="125">DR132+(DJ132+DK132)*44/12</f>
        <v>293.33333333333445</v>
      </c>
      <c r="DT132" s="62">
        <f ca="1">AVERAGE(OFFSET($DS$3,0,0,'Données projet'!$E$14+1,1))-AVERAGE(OFFSET($H$3,0,0,'Données projet'!$E$14+1,1))</f>
        <v>210.08998695869161</v>
      </c>
      <c r="DU132" s="62">
        <f t="shared" si="98"/>
        <v>207.30911916430881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>
        <f>EXP(-LN(2)/35)*EA131+(1-EXP(-LN(2)/35))/(LN(2)/35)*DW132*DX132*VLOOKUP('Données projet'!$B$14,Paramètres!$A$1:$I$89,3,0)*0.475*44/12</f>
        <v>6.4739381319083703E-2</v>
      </c>
      <c r="EB132" s="23">
        <f>EXP(-LN(2)/25)*EB131+(1-EXP(-LN(2)/25))/(LN(2)/25)*Calculateur!DW132*Calculateur!DY132*VLOOKUP('Données projet'!$B$14,Paramètres!$A$1:$I$89,3,0)*0.475*44/12</f>
        <v>0</v>
      </c>
      <c r="EC132" s="23">
        <f>EXP(-LN(2)/2)*EC131+(1-EXP(-LN(2)/2))/(LN(2)/2)*DW132*DZ132*VLOOKUP('Données projet'!$B$14,Paramètres!$A$1:$I$89,3,0)*0.475*44/12</f>
        <v>0</v>
      </c>
      <c r="ED132" s="24">
        <f t="shared" ref="ED132:ED153" si="126">SUM(EA132:EC132)</f>
        <v>6.4739381319083703E-2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5.6843418860808015E-14</v>
      </c>
      <c r="EK132" s="18">
        <f>EJ132*VLOOKUP('Données projet'!$B$15,Paramètres!$A$1:$I$89,3,0)*VLOOKUP('Données projet'!$B$15,Paramètres!$A$1:$I$89,5,0)</f>
        <v>4.4337866711430253E-14</v>
      </c>
      <c r="EL132" s="14">
        <f t="shared" si="99"/>
        <v>7.3222115536967035E-13</v>
      </c>
      <c r="EM132" s="22">
        <f t="shared" ref="EM132:EM153" si="127">(EK132+EL132)*0.475*44/12</f>
        <v>1.3525069634579169E-12</v>
      </c>
      <c r="EN132" s="62">
        <f t="shared" ref="EN132:EN195" si="128">EM132+(EE132+EF132)*44/12</f>
        <v>293.33333333333468</v>
      </c>
      <c r="EO132" s="62">
        <f ca="1">AVERAGE(OFFSET($EN$3,0,0,'Données projet'!$E$15+1,1))-AVERAGE(OFFSET($H$3,0,0,'Données projet'!$E$15+1,1))</f>
        <v>288.82868507674738</v>
      </c>
      <c r="EP132" s="62">
        <f t="shared" si="100"/>
        <v>283.48738729114024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>
        <f>EXP(-LN(2)/35)*EV131+(1-EXP(-LN(2)/35))/(LN(2)/35)*ER132*ES132*VLOOKUP('Données projet'!$B$15,Paramètres!$A$1:$I$89,3,0)*0.475*44/12</f>
        <v>0.25527882870046642</v>
      </c>
      <c r="EW132" s="23">
        <f>EXP(-LN(2)/25)*EW131+(1-EXP(-LN(2)/25))/(LN(2)/25)*Calculateur!ER132*Calculateur!ET132*VLOOKUP('Données projet'!$B$15,Paramètres!$A$1:$I$89,3,0)*0.475*44/12</f>
        <v>0</v>
      </c>
      <c r="EX132" s="23">
        <f>EXP(-LN(2)/2)*EX131+(1-EXP(-LN(2)/2))/(LN(2)/2)*ER132*EU132*VLOOKUP('Données projet'!$B$15,Paramètres!$A$1:$I$89,3,0)*0.475*44/12</f>
        <v>0</v>
      </c>
      <c r="EY132" s="24">
        <f t="shared" ref="EY132:EY153" si="129">SUM(EV132:EX132)</f>
        <v>0.25527882870046642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3.4106051316484809E-13</v>
      </c>
      <c r="O133" s="14">
        <f>N133*VLOOKUP('Données projet'!$B$9,Paramètres!$A$1:$I$89,3,0)*VLOOKUP('Données projet'!$B$9,Paramètres!$A$1:$I$89,5,0)</f>
        <v>1.5961632016114892E-13</v>
      </c>
      <c r="P133" s="14">
        <f t="shared" ref="P133:P196" si="141">EXP(-1.0587+0.8836*LN(O133)+0.284)</f>
        <v>2.2708641912150958E-12</v>
      </c>
      <c r="Q133" s="22">
        <f t="shared" si="108"/>
        <v>4.2330868906469593E-12</v>
      </c>
      <c r="R133" s="62">
        <f t="shared" si="109"/>
        <v>293.33333333333752</v>
      </c>
      <c r="S133" s="62">
        <f ca="1">AVERAGE(OFFSET($R$3,0,0,'Données projet'!$E$9+1,1))-AVERAGE(OFFSET($H$3,0,0,'Données projet'!$E$9+1,1))</f>
        <v>317.54276561627643</v>
      </c>
      <c r="T133" s="62">
        <f t="shared" ref="T133:T196" si="142">$T$3</f>
        <v>238.92443174298893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-1.1368683772161603E-13</v>
      </c>
      <c r="AJ133" s="14">
        <f>AI133*VLOOKUP('Données projet'!$B$10,Paramètres!$A$1:$I$89,3,0)*VLOOKUP('Données projet'!$B$10,Paramètres!$A$1:$I$89,5,0)</f>
        <v>-9.9316821433603781E-14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327.826081588335</v>
      </c>
      <c r="AO133" s="62">
        <f t="shared" ref="AO133:AO196" si="144">$AO$3</f>
        <v>348.84706693879735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0.84821159477634744</v>
      </c>
      <c r="AV133" s="23">
        <f>EXP(-LN(2)/25)*AV132+(1-EXP(-LN(2)/25))/(LN(2)/25)*Calculateur!AQ133*Calculateur!AS133*VLOOKUP('Données projet'!$B$10,Paramètres!$A$1:$I$89,3,0)*0.475*44/12</f>
        <v>0.8574681941549066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1.705679788931254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>
        <f>BD133*VLOOKUP('Données projet'!$B$11,Paramètres!$A$1:$I$89,3,0)*VLOOKUP('Données projet'!$B$11,Paramètres!$A$1:$I$89,5,0)</f>
        <v>0</v>
      </c>
      <c r="BF133" s="14" t="e">
        <f t="shared" ref="BF133:BF153" si="145">EXP(-1.0587+0.8836*LN(BE133)+0.284)</f>
        <v>#NUM!</v>
      </c>
      <c r="BG133" s="22" t="e">
        <f t="shared" si="115"/>
        <v>#NUM!</v>
      </c>
      <c r="BH133" s="62" t="e">
        <f t="shared" si="116"/>
        <v>#NUM!</v>
      </c>
      <c r="BI133" s="62">
        <f ca="1">AVERAGE(OFFSET($BH$3,0,0,'Données projet'!$E$11+1,1))-AVERAGE(OFFSET($H$3,0,0,'Données projet'!$E$11+1,1))</f>
        <v>487.04124684635974</v>
      </c>
      <c r="BJ133" s="62">
        <f t="shared" ref="BJ133:BJ196" si="146">$BJ$3</f>
        <v>306.61893266146666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0.37252536257069313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0.37252536257069313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>
        <f>BY133*VLOOKUP('Données projet'!$B$12,Paramètres!$A$1:$I$89,3,0)*VLOOKUP('Données projet'!$B$12,Paramètres!$A$1:$I$89,5,0)</f>
        <v>0</v>
      </c>
      <c r="CA133" s="14" t="e">
        <f t="shared" ref="CA133:CA153" si="147">EXP(-1.0587+0.8836*LN(BZ133)+0.284)</f>
        <v>#NUM!</v>
      </c>
      <c r="CB133" s="22" t="e">
        <f t="shared" si="118"/>
        <v>#NUM!</v>
      </c>
      <c r="CC133" s="62" t="e">
        <f t="shared" si="119"/>
        <v>#NUM!</v>
      </c>
      <c r="CD133" s="62">
        <f ca="1">AVERAGE(OFFSET($CC$3,0,0,'Données projet'!$E$12+1,1))-AVERAGE(OFFSET($H$3,0,0,'Données projet'!$E$12+1,1))</f>
        <v>439.06700232017681</v>
      </c>
      <c r="CE133" s="62">
        <f t="shared" ref="CE133:CE196" si="148">$CE$3</f>
        <v>278.21741231699929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0.33240724660154147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0.33240724660154147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317.99999999999972</v>
      </c>
      <c r="CU133" s="18">
        <f>CT133*VLOOKUP('Données projet'!$B$13,Paramètres!$A$1:$I$89,3,0)*VLOOKUP('Données projet'!$B$13,Paramètres!$A$1:$I$89,5,0)</f>
        <v>233.1575999999998</v>
      </c>
      <c r="CV133" s="14">
        <f t="shared" ref="CV133:CV153" si="149">EXP(-1.0587+0.8836*LN(CU133)+0.284)</f>
        <v>56.964885721091697</v>
      </c>
      <c r="CW133" s="22">
        <f t="shared" si="121"/>
        <v>505.29666263090093</v>
      </c>
      <c r="CX133" s="62">
        <f t="shared" si="122"/>
        <v>798.62999596423424</v>
      </c>
      <c r="CY133" s="62">
        <f ca="1">AVERAGE(OFFSET($CX$3,0,0,'Données projet'!$E$13+1,1))-AVERAGE(OFFSET($H$3,0,0,'Données projet'!$E$13+1,1))</f>
        <v>327.81662150328646</v>
      </c>
      <c r="CZ133" s="62">
        <f t="shared" ref="CZ133:CZ196" si="150">$CZ$3</f>
        <v>320.24200483294322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0.27621152151031342</v>
      </c>
      <c r="DG133" s="23">
        <f>EXP(-LN(2)/25)*DG132+(1-EXP(-LN(2)/25))/(LN(2)/25)*Calculateur!DB133*Calculateur!DD133*VLOOKUP('Données projet'!$B$13,Paramètres!$A$1:$I$89,3,0)*0.475*44/12</f>
        <v>0</v>
      </c>
      <c r="DH133" s="23">
        <f>EXP(-LN(2)/2)*DH132+(1-EXP(-LN(2)/2))/(LN(2)/2)*DB133*DE133*VLOOKUP('Données projet'!$B$13,Paramètres!$A$1:$I$89,3,0)*0.475*44/12</f>
        <v>0</v>
      </c>
      <c r="DI133" s="24">
        <f t="shared" si="123"/>
        <v>0.27621152151031342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5.6843418860808015E-14</v>
      </c>
      <c r="DP133" s="18">
        <f>DO133*VLOOKUP('Données projet'!$B$14,Paramètres!$A$1:$I$89,3,0)*VLOOKUP('Données projet'!$B$14,Paramètres!$A$1:$I$89,5,0)</f>
        <v>3.7243808037601412E-14</v>
      </c>
      <c r="DQ133" s="14">
        <f t="shared" ref="DQ133:DQ153" si="151">EXP(-1.0587+0.8836*LN(DP133)+0.284)</f>
        <v>6.2767589361185393E-13</v>
      </c>
      <c r="DR133" s="22">
        <f t="shared" si="124"/>
        <v>1.1580684803728015E-12</v>
      </c>
      <c r="DS133" s="62">
        <f t="shared" si="125"/>
        <v>293.33333333333445</v>
      </c>
      <c r="DT133" s="62">
        <f ca="1">AVERAGE(OFFSET($DS$3,0,0,'Données projet'!$E$14+1,1))-AVERAGE(OFFSET($H$3,0,0,'Données projet'!$E$14+1,1))</f>
        <v>210.08998695869161</v>
      </c>
      <c r="DU133" s="62">
        <f t="shared" ref="DU133:DU196" si="152">$DU$3</f>
        <v>207.30911916430881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>
        <f>EXP(-LN(2)/35)*EA132+(1-EXP(-LN(2)/35))/(LN(2)/35)*DW133*DX133*VLOOKUP('Données projet'!$B$14,Paramètres!$A$1:$I$89,3,0)*0.475*44/12</f>
        <v>6.3469881538540052E-2</v>
      </c>
      <c r="EB133" s="23">
        <f>EXP(-LN(2)/25)*EB132+(1-EXP(-LN(2)/25))/(LN(2)/25)*Calculateur!DW133*Calculateur!DY133*VLOOKUP('Données projet'!$B$14,Paramètres!$A$1:$I$89,3,0)*0.475*44/12</f>
        <v>0</v>
      </c>
      <c r="EC133" s="23">
        <f>EXP(-LN(2)/2)*EC132+(1-EXP(-LN(2)/2))/(LN(2)/2)*DW133*DZ133*VLOOKUP('Données projet'!$B$14,Paramètres!$A$1:$I$89,3,0)*0.475*44/12</f>
        <v>0</v>
      </c>
      <c r="ED133" s="24">
        <f t="shared" si="126"/>
        <v>6.3469881538540052E-2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5.6843418860808015E-14</v>
      </c>
      <c r="EK133" s="18">
        <f>EJ133*VLOOKUP('Données projet'!$B$15,Paramètres!$A$1:$I$89,3,0)*VLOOKUP('Données projet'!$B$15,Paramètres!$A$1:$I$89,5,0)</f>
        <v>4.4337866711430253E-14</v>
      </c>
      <c r="EL133" s="14">
        <f t="shared" ref="EL133:EL153" si="153">EXP(-1.0587+0.8836*LN(EK133)+0.284)</f>
        <v>7.3222115536967035E-13</v>
      </c>
      <c r="EM133" s="22">
        <f t="shared" si="127"/>
        <v>1.3525069634579169E-12</v>
      </c>
      <c r="EN133" s="62">
        <f t="shared" si="128"/>
        <v>293.33333333333468</v>
      </c>
      <c r="EO133" s="62">
        <f ca="1">AVERAGE(OFFSET($EN$3,0,0,'Données projet'!$E$15+1,1))-AVERAGE(OFFSET($H$3,0,0,'Données projet'!$E$15+1,1))</f>
        <v>288.82868507674738</v>
      </c>
      <c r="EP133" s="62">
        <f t="shared" ref="EP133:EP196" si="154">$EP$3</f>
        <v>283.48738729114024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>
        <f>EXP(-LN(2)/35)*EV132+(1-EXP(-LN(2)/35))/(LN(2)/35)*ER133*ES133*VLOOKUP('Données projet'!$B$15,Paramètres!$A$1:$I$89,3,0)*0.475*44/12</f>
        <v>0.25027296657436121</v>
      </c>
      <c r="EW133" s="23">
        <f>EXP(-LN(2)/25)*EW132+(1-EXP(-LN(2)/25))/(LN(2)/25)*Calculateur!ER133*Calculateur!ET133*VLOOKUP('Données projet'!$B$15,Paramètres!$A$1:$I$89,3,0)*0.475*44/12</f>
        <v>0</v>
      </c>
      <c r="EX133" s="23">
        <f>EXP(-LN(2)/2)*EX132+(1-EXP(-LN(2)/2))/(LN(2)/2)*ER133*EU133*VLOOKUP('Données projet'!$B$15,Paramètres!$A$1:$I$89,3,0)*0.475*44/12</f>
        <v>0</v>
      </c>
      <c r="EY133" s="24">
        <f t="shared" si="129"/>
        <v>0.25027296657436121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3.4106051316484809E-13</v>
      </c>
      <c r="O134" s="14">
        <f>N134*VLOOKUP('Données projet'!$B$9,Paramètres!$A$1:$I$89,3,0)*VLOOKUP('Données projet'!$B$9,Paramètres!$A$1:$I$89,5,0)</f>
        <v>1.5961632016114892E-13</v>
      </c>
      <c r="P134" s="14">
        <f t="shared" si="141"/>
        <v>2.2708641912150958E-12</v>
      </c>
      <c r="Q134" s="22">
        <f t="shared" si="108"/>
        <v>4.2330868906469593E-12</v>
      </c>
      <c r="R134" s="62">
        <f t="shared" si="109"/>
        <v>293.33333333333752</v>
      </c>
      <c r="S134" s="62">
        <f ca="1">AVERAGE(OFFSET($R$3,0,0,'Données projet'!$E$9+1,1))-AVERAGE(OFFSET($H$3,0,0,'Données projet'!$E$9+1,1))</f>
        <v>317.54276561627643</v>
      </c>
      <c r="T134" s="62">
        <f t="shared" si="142"/>
        <v>238.92443174298893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-1.1368683772161603E-13</v>
      </c>
      <c r="AJ134" s="14">
        <f>AI134*VLOOKUP('Données projet'!$B$10,Paramètres!$A$1:$I$89,3,0)*VLOOKUP('Données projet'!$B$10,Paramètres!$A$1:$I$89,5,0)</f>
        <v>-9.9316821433603781E-14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327.826081588335</v>
      </c>
      <c r="AO134" s="62">
        <f t="shared" si="144"/>
        <v>348.84706693879735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0.83157868276077118</v>
      </c>
      <c r="AV134" s="23">
        <f>EXP(-LN(2)/25)*AV133+(1-EXP(-LN(2)/25))/(LN(2)/25)*Calculateur!AQ134*Calculateur!AS134*VLOOKUP('Données projet'!$B$10,Paramètres!$A$1:$I$89,3,0)*0.475*44/12</f>
        <v>0.83402068129344809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1.6655993640542193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>
        <f>BD134*VLOOKUP('Données projet'!$B$11,Paramètres!$A$1:$I$89,3,0)*VLOOKUP('Données projet'!$B$11,Paramètres!$A$1:$I$89,5,0)</f>
        <v>0</v>
      </c>
      <c r="BF134" s="14" t="e">
        <f t="shared" si="145"/>
        <v>#NUM!</v>
      </c>
      <c r="BG134" s="22" t="e">
        <f t="shared" si="115"/>
        <v>#NUM!</v>
      </c>
      <c r="BH134" s="62" t="e">
        <f t="shared" si="116"/>
        <v>#NUM!</v>
      </c>
      <c r="BI134" s="62">
        <f ca="1">AVERAGE(OFFSET($BH$3,0,0,'Données projet'!$E$11+1,1))-AVERAGE(OFFSET($H$3,0,0,'Données projet'!$E$11+1,1))</f>
        <v>487.04124684635974</v>
      </c>
      <c r="BJ134" s="62">
        <f t="shared" si="146"/>
        <v>306.61893266146666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0.36522036742871711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0.36522036742871711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>
        <f>BY134*VLOOKUP('Données projet'!$B$12,Paramètres!$A$1:$I$89,3,0)*VLOOKUP('Données projet'!$B$12,Paramètres!$A$1:$I$89,5,0)</f>
        <v>0</v>
      </c>
      <c r="CA134" s="14" t="e">
        <f t="shared" si="147"/>
        <v>#NUM!</v>
      </c>
      <c r="CB134" s="22" t="e">
        <f t="shared" si="118"/>
        <v>#NUM!</v>
      </c>
      <c r="CC134" s="62" t="e">
        <f t="shared" si="119"/>
        <v>#NUM!</v>
      </c>
      <c r="CD134" s="62">
        <f ca="1">AVERAGE(OFFSET($CC$3,0,0,'Données projet'!$E$12+1,1))-AVERAGE(OFFSET($H$3,0,0,'Données projet'!$E$12+1,1))</f>
        <v>439.06700232017681</v>
      </c>
      <c r="CE134" s="62">
        <f t="shared" si="148"/>
        <v>278.21741231699929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0.3258889432440859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0.3258889432440859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317.99999999999972</v>
      </c>
      <c r="CU134" s="18">
        <f>CT134*VLOOKUP('Données projet'!$B$13,Paramètres!$A$1:$I$89,3,0)*VLOOKUP('Données projet'!$B$13,Paramètres!$A$1:$I$89,5,0)</f>
        <v>233.1575999999998</v>
      </c>
      <c r="CV134" s="14">
        <f t="shared" si="149"/>
        <v>56.964885721091697</v>
      </c>
      <c r="CW134" s="22">
        <f t="shared" si="121"/>
        <v>505.29666263090093</v>
      </c>
      <c r="CX134" s="62">
        <f t="shared" si="122"/>
        <v>798.62999596423424</v>
      </c>
      <c r="CY134" s="62">
        <f ca="1">AVERAGE(OFFSET($CX$3,0,0,'Données projet'!$E$13+1,1))-AVERAGE(OFFSET($H$3,0,0,'Données projet'!$E$13+1,1))</f>
        <v>327.81662150328646</v>
      </c>
      <c r="CZ134" s="62">
        <f t="shared" si="150"/>
        <v>320.24200483294322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0.27079518204588904</v>
      </c>
      <c r="DG134" s="23">
        <f>EXP(-LN(2)/25)*DG133+(1-EXP(-LN(2)/25))/(LN(2)/25)*Calculateur!DB134*Calculateur!DD134*VLOOKUP('Données projet'!$B$13,Paramètres!$A$1:$I$89,3,0)*0.475*44/12</f>
        <v>0</v>
      </c>
      <c r="DH134" s="23">
        <f>EXP(-LN(2)/2)*DH133+(1-EXP(-LN(2)/2))/(LN(2)/2)*DB134*DE134*VLOOKUP('Données projet'!$B$13,Paramètres!$A$1:$I$89,3,0)*0.475*44/12</f>
        <v>0</v>
      </c>
      <c r="DI134" s="24">
        <f t="shared" si="123"/>
        <v>0.27079518204588904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5.6843418860808015E-14</v>
      </c>
      <c r="DP134" s="18">
        <f>DO134*VLOOKUP('Données projet'!$B$14,Paramètres!$A$1:$I$89,3,0)*VLOOKUP('Données projet'!$B$14,Paramètres!$A$1:$I$89,5,0)</f>
        <v>3.7243808037601412E-14</v>
      </c>
      <c r="DQ134" s="14">
        <f t="shared" si="151"/>
        <v>6.2767589361185393E-13</v>
      </c>
      <c r="DR134" s="22">
        <f t="shared" si="124"/>
        <v>1.1580684803728015E-12</v>
      </c>
      <c r="DS134" s="62">
        <f t="shared" si="125"/>
        <v>293.33333333333445</v>
      </c>
      <c r="DT134" s="62">
        <f ca="1">AVERAGE(OFFSET($DS$3,0,0,'Données projet'!$E$14+1,1))-AVERAGE(OFFSET($H$3,0,0,'Données projet'!$E$14+1,1))</f>
        <v>210.08998695869161</v>
      </c>
      <c r="DU134" s="62">
        <f t="shared" si="152"/>
        <v>207.30911916430881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>
        <f>EXP(-LN(2)/35)*EA133+(1-EXP(-LN(2)/35))/(LN(2)/35)*DW134*DX134*VLOOKUP('Données projet'!$B$14,Paramètres!$A$1:$I$89,3,0)*0.475*44/12</f>
        <v>6.2225275874374444E-2</v>
      </c>
      <c r="EB134" s="23">
        <f>EXP(-LN(2)/25)*EB133+(1-EXP(-LN(2)/25))/(LN(2)/25)*Calculateur!DW134*Calculateur!DY134*VLOOKUP('Données projet'!$B$14,Paramètres!$A$1:$I$89,3,0)*0.475*44/12</f>
        <v>0</v>
      </c>
      <c r="EC134" s="23">
        <f>EXP(-LN(2)/2)*EC133+(1-EXP(-LN(2)/2))/(LN(2)/2)*DW134*DZ134*VLOOKUP('Données projet'!$B$14,Paramètres!$A$1:$I$89,3,0)*0.475*44/12</f>
        <v>0</v>
      </c>
      <c r="ED134" s="24">
        <f t="shared" si="126"/>
        <v>6.2225275874374444E-2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5.6843418860808015E-14</v>
      </c>
      <c r="EK134" s="18">
        <f>EJ134*VLOOKUP('Données projet'!$B$15,Paramètres!$A$1:$I$89,3,0)*VLOOKUP('Données projet'!$B$15,Paramètres!$A$1:$I$89,5,0)</f>
        <v>4.4337866711430253E-14</v>
      </c>
      <c r="EL134" s="14">
        <f t="shared" si="153"/>
        <v>7.3222115536967035E-13</v>
      </c>
      <c r="EM134" s="22">
        <f t="shared" si="127"/>
        <v>1.3525069634579169E-12</v>
      </c>
      <c r="EN134" s="62">
        <f t="shared" si="128"/>
        <v>293.33333333333468</v>
      </c>
      <c r="EO134" s="62">
        <f ca="1">AVERAGE(OFFSET($EN$3,0,0,'Données projet'!$E$15+1,1))-AVERAGE(OFFSET($H$3,0,0,'Données projet'!$E$15+1,1))</f>
        <v>288.82868507674738</v>
      </c>
      <c r="EP134" s="62">
        <f t="shared" si="154"/>
        <v>283.48738729114024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>
        <f>EXP(-LN(2)/35)*EV133+(1-EXP(-LN(2)/35))/(LN(2)/35)*ER134*ES134*VLOOKUP('Données projet'!$B$15,Paramètres!$A$1:$I$89,3,0)*0.475*44/12</f>
        <v>0.24536526635127451</v>
      </c>
      <c r="EW134" s="23">
        <f>EXP(-LN(2)/25)*EW133+(1-EXP(-LN(2)/25))/(LN(2)/25)*Calculateur!ER134*Calculateur!ET134*VLOOKUP('Données projet'!$B$15,Paramètres!$A$1:$I$89,3,0)*0.475*44/12</f>
        <v>0</v>
      </c>
      <c r="EX134" s="23">
        <f>EXP(-LN(2)/2)*EX133+(1-EXP(-LN(2)/2))/(LN(2)/2)*ER134*EU134*VLOOKUP('Données projet'!$B$15,Paramètres!$A$1:$I$89,3,0)*0.475*44/12</f>
        <v>0</v>
      </c>
      <c r="EY134" s="24">
        <f t="shared" si="129"/>
        <v>0.24536526635127451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3.4106051316484809E-13</v>
      </c>
      <c r="O135" s="14">
        <f>N135*VLOOKUP('Données projet'!$B$9,Paramètres!$A$1:$I$89,3,0)*VLOOKUP('Données projet'!$B$9,Paramètres!$A$1:$I$89,5,0)</f>
        <v>1.5961632016114892E-13</v>
      </c>
      <c r="P135" s="14">
        <f t="shared" si="141"/>
        <v>2.2708641912150958E-12</v>
      </c>
      <c r="Q135" s="22">
        <f t="shared" si="108"/>
        <v>4.2330868906469593E-12</v>
      </c>
      <c r="R135" s="62">
        <f t="shared" si="109"/>
        <v>293.33333333333752</v>
      </c>
      <c r="S135" s="62">
        <f ca="1">AVERAGE(OFFSET($R$3,0,0,'Données projet'!$E$9+1,1))-AVERAGE(OFFSET($H$3,0,0,'Données projet'!$E$9+1,1))</f>
        <v>317.54276561627643</v>
      </c>
      <c r="T135" s="62">
        <f t="shared" si="142"/>
        <v>238.92443174298893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-1.1368683772161603E-13</v>
      </c>
      <c r="AJ135" s="14">
        <f>AI135*VLOOKUP('Données projet'!$B$10,Paramètres!$A$1:$I$89,3,0)*VLOOKUP('Données projet'!$B$10,Paramètres!$A$1:$I$89,5,0)</f>
        <v>-9.9316821433603781E-14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327.826081588335</v>
      </c>
      <c r="AO135" s="62">
        <f t="shared" si="144"/>
        <v>348.84706693879735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0.81527193200474579</v>
      </c>
      <c r="AV135" s="23">
        <f>EXP(-LN(2)/25)*AV134+(1-EXP(-LN(2)/25))/(LN(2)/25)*Calculateur!AQ135*Calculateur!AS135*VLOOKUP('Données projet'!$B$10,Paramètres!$A$1:$I$89,3,0)*0.475*44/12</f>
        <v>0.81121434190423725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1.6264862739089829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>
        <f>BD135*VLOOKUP('Données projet'!$B$11,Paramètres!$A$1:$I$89,3,0)*VLOOKUP('Données projet'!$B$11,Paramètres!$A$1:$I$89,5,0)</f>
        <v>0</v>
      </c>
      <c r="BF135" s="14" t="e">
        <f t="shared" si="145"/>
        <v>#NUM!</v>
      </c>
      <c r="BG135" s="22" t="e">
        <f t="shared" si="115"/>
        <v>#NUM!</v>
      </c>
      <c r="BH135" s="62" t="e">
        <f t="shared" si="116"/>
        <v>#NUM!</v>
      </c>
      <c r="BI135" s="62">
        <f ca="1">AVERAGE(OFFSET($BH$3,0,0,'Données projet'!$E$11+1,1))-AVERAGE(OFFSET($H$3,0,0,'Données projet'!$E$11+1,1))</f>
        <v>487.04124684635974</v>
      </c>
      <c r="BJ135" s="62">
        <f t="shared" si="146"/>
        <v>306.61893266146666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0.35805861878586814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0.35805861878586814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>
        <f>BY135*VLOOKUP('Données projet'!$B$12,Paramètres!$A$1:$I$89,3,0)*VLOOKUP('Données projet'!$B$12,Paramètres!$A$1:$I$89,5,0)</f>
        <v>0</v>
      </c>
      <c r="CA135" s="14" t="e">
        <f t="shared" si="147"/>
        <v>#NUM!</v>
      </c>
      <c r="CB135" s="22" t="e">
        <f t="shared" si="118"/>
        <v>#NUM!</v>
      </c>
      <c r="CC135" s="62" t="e">
        <f t="shared" si="119"/>
        <v>#NUM!</v>
      </c>
      <c r="CD135" s="62">
        <f ca="1">AVERAGE(OFFSET($CC$3,0,0,'Données projet'!$E$12+1,1))-AVERAGE(OFFSET($H$3,0,0,'Données projet'!$E$12+1,1))</f>
        <v>439.06700232017681</v>
      </c>
      <c r="CE135" s="62">
        <f t="shared" si="148"/>
        <v>278.21741231699929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0.3194984598396976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0.3194984598396976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317.99999999999972</v>
      </c>
      <c r="CU135" s="18">
        <f>CT135*VLOOKUP('Données projet'!$B$13,Paramètres!$A$1:$I$89,3,0)*VLOOKUP('Données projet'!$B$13,Paramètres!$A$1:$I$89,5,0)</f>
        <v>233.1575999999998</v>
      </c>
      <c r="CV135" s="14">
        <f t="shared" si="149"/>
        <v>56.964885721091697</v>
      </c>
      <c r="CW135" s="22">
        <f t="shared" si="121"/>
        <v>505.29666263090093</v>
      </c>
      <c r="CX135" s="62">
        <f t="shared" si="122"/>
        <v>798.62999596423424</v>
      </c>
      <c r="CY135" s="62">
        <f ca="1">AVERAGE(OFFSET($CX$3,0,0,'Données projet'!$E$13+1,1))-AVERAGE(OFFSET($H$3,0,0,'Données projet'!$E$13+1,1))</f>
        <v>327.81662150328646</v>
      </c>
      <c r="CZ135" s="62">
        <f t="shared" si="150"/>
        <v>320.24200483294322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0.26548505369472114</v>
      </c>
      <c r="DG135" s="23">
        <f>EXP(-LN(2)/25)*DG134+(1-EXP(-LN(2)/25))/(LN(2)/25)*Calculateur!DB135*Calculateur!DD135*VLOOKUP('Données projet'!$B$13,Paramètres!$A$1:$I$89,3,0)*0.475*44/12</f>
        <v>0</v>
      </c>
      <c r="DH135" s="23">
        <f>EXP(-LN(2)/2)*DH134+(1-EXP(-LN(2)/2))/(LN(2)/2)*DB135*DE135*VLOOKUP('Données projet'!$B$13,Paramètres!$A$1:$I$89,3,0)*0.475*44/12</f>
        <v>0</v>
      </c>
      <c r="DI135" s="24">
        <f t="shared" si="123"/>
        <v>0.26548505369472114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5.6843418860808015E-14</v>
      </c>
      <c r="DP135" s="18">
        <f>DO135*VLOOKUP('Données projet'!$B$14,Paramètres!$A$1:$I$89,3,0)*VLOOKUP('Données projet'!$B$14,Paramètres!$A$1:$I$89,5,0)</f>
        <v>3.7243808037601412E-14</v>
      </c>
      <c r="DQ135" s="14">
        <f t="shared" si="151"/>
        <v>6.2767589361185393E-13</v>
      </c>
      <c r="DR135" s="22">
        <f t="shared" si="124"/>
        <v>1.1580684803728015E-12</v>
      </c>
      <c r="DS135" s="62">
        <f t="shared" si="125"/>
        <v>293.33333333333445</v>
      </c>
      <c r="DT135" s="62">
        <f ca="1">AVERAGE(OFFSET($DS$3,0,0,'Données projet'!$E$14+1,1))-AVERAGE(OFFSET($H$3,0,0,'Données projet'!$E$14+1,1))</f>
        <v>210.08998695869161</v>
      </c>
      <c r="DU135" s="62">
        <f t="shared" si="152"/>
        <v>207.30911916430881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>
        <f>EXP(-LN(2)/35)*EA134+(1-EXP(-LN(2)/35))/(LN(2)/35)*DW135*DX135*VLOOKUP('Données projet'!$B$14,Paramètres!$A$1:$I$89,3,0)*0.475*44/12</f>
        <v>6.1005076168148632E-2</v>
      </c>
      <c r="EB135" s="23">
        <f>EXP(-LN(2)/25)*EB134+(1-EXP(-LN(2)/25))/(LN(2)/25)*Calculateur!DW135*Calculateur!DY135*VLOOKUP('Données projet'!$B$14,Paramètres!$A$1:$I$89,3,0)*0.475*44/12</f>
        <v>0</v>
      </c>
      <c r="EC135" s="23">
        <f>EXP(-LN(2)/2)*EC134+(1-EXP(-LN(2)/2))/(LN(2)/2)*DW135*DZ135*VLOOKUP('Données projet'!$B$14,Paramètres!$A$1:$I$89,3,0)*0.475*44/12</f>
        <v>0</v>
      </c>
      <c r="ED135" s="24">
        <f t="shared" si="126"/>
        <v>6.1005076168148632E-2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5.6843418860808015E-14</v>
      </c>
      <c r="EK135" s="18">
        <f>EJ135*VLOOKUP('Données projet'!$B$15,Paramètres!$A$1:$I$89,3,0)*VLOOKUP('Données projet'!$B$15,Paramètres!$A$1:$I$89,5,0)</f>
        <v>4.4337866711430253E-14</v>
      </c>
      <c r="EL135" s="14">
        <f t="shared" si="153"/>
        <v>7.3222115536967035E-13</v>
      </c>
      <c r="EM135" s="22">
        <f t="shared" si="127"/>
        <v>1.3525069634579169E-12</v>
      </c>
      <c r="EN135" s="62">
        <f t="shared" si="128"/>
        <v>293.33333333333468</v>
      </c>
      <c r="EO135" s="62">
        <f ca="1">AVERAGE(OFFSET($EN$3,0,0,'Données projet'!$E$15+1,1))-AVERAGE(OFFSET($H$3,0,0,'Données projet'!$E$15+1,1))</f>
        <v>288.82868507674738</v>
      </c>
      <c r="EP135" s="62">
        <f t="shared" si="154"/>
        <v>283.48738729114024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>
        <f>EXP(-LN(2)/35)*EV134+(1-EXP(-LN(2)/35))/(LN(2)/35)*ER135*ES135*VLOOKUP('Données projet'!$B$15,Paramètres!$A$1:$I$89,3,0)*0.475*44/12</f>
        <v>0.24055380313616098</v>
      </c>
      <c r="EW135" s="23">
        <f>EXP(-LN(2)/25)*EW134+(1-EXP(-LN(2)/25))/(LN(2)/25)*Calculateur!ER135*Calculateur!ET135*VLOOKUP('Données projet'!$B$15,Paramètres!$A$1:$I$89,3,0)*0.475*44/12</f>
        <v>0</v>
      </c>
      <c r="EX135" s="23">
        <f>EXP(-LN(2)/2)*EX134+(1-EXP(-LN(2)/2))/(LN(2)/2)*ER135*EU135*VLOOKUP('Données projet'!$B$15,Paramètres!$A$1:$I$89,3,0)*0.475*44/12</f>
        <v>0</v>
      </c>
      <c r="EY135" s="24">
        <f t="shared" si="129"/>
        <v>0.24055380313616098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3.4106051316484809E-13</v>
      </c>
      <c r="O136" s="14">
        <f>N136*VLOOKUP('Données projet'!$B$9,Paramètres!$A$1:$I$89,3,0)*VLOOKUP('Données projet'!$B$9,Paramètres!$A$1:$I$89,5,0)</f>
        <v>1.5961632016114892E-13</v>
      </c>
      <c r="P136" s="14">
        <f t="shared" si="141"/>
        <v>2.2708641912150958E-12</v>
      </c>
      <c r="Q136" s="22">
        <f t="shared" si="108"/>
        <v>4.2330868906469593E-12</v>
      </c>
      <c r="R136" s="62">
        <f t="shared" si="109"/>
        <v>293.33333333333752</v>
      </c>
      <c r="S136" s="62">
        <f ca="1">AVERAGE(OFFSET($R$3,0,0,'Données projet'!$E$9+1,1))-AVERAGE(OFFSET($H$3,0,0,'Données projet'!$E$9+1,1))</f>
        <v>317.54276561627643</v>
      </c>
      <c r="T136" s="62">
        <f t="shared" si="142"/>
        <v>238.92443174298893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-1.1368683772161603E-13</v>
      </c>
      <c r="AJ136" s="14">
        <f>AI136*VLOOKUP('Données projet'!$B$10,Paramètres!$A$1:$I$89,3,0)*VLOOKUP('Données projet'!$B$10,Paramètres!$A$1:$I$89,5,0)</f>
        <v>-9.9316821433603781E-14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327.826081588335</v>
      </c>
      <c r="AO136" s="62">
        <f t="shared" si="144"/>
        <v>348.84706693879735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0.79928494668491024</v>
      </c>
      <c r="AV136" s="23">
        <f>EXP(-LN(2)/25)*AV135+(1-EXP(-LN(2)/25))/(LN(2)/25)*Calculateur!AQ136*Calculateur!AS136*VLOOKUP('Données projet'!$B$10,Paramètres!$A$1:$I$89,3,0)*0.475*44/12</f>
        <v>0.78903164306495766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1.5883165897498679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>
        <f>BD136*VLOOKUP('Données projet'!$B$11,Paramètres!$A$1:$I$89,3,0)*VLOOKUP('Données projet'!$B$11,Paramètres!$A$1:$I$89,5,0)</f>
        <v>0</v>
      </c>
      <c r="BF136" s="14" t="e">
        <f t="shared" si="145"/>
        <v>#NUM!</v>
      </c>
      <c r="BG136" s="22" t="e">
        <f t="shared" si="115"/>
        <v>#NUM!</v>
      </c>
      <c r="BH136" s="62" t="e">
        <f t="shared" si="116"/>
        <v>#NUM!</v>
      </c>
      <c r="BI136" s="62">
        <f ca="1">AVERAGE(OFFSET($BH$3,0,0,'Données projet'!$E$11+1,1))-AVERAGE(OFFSET($H$3,0,0,'Données projet'!$E$11+1,1))</f>
        <v>487.04124684635974</v>
      </c>
      <c r="BJ136" s="62">
        <f t="shared" si="146"/>
        <v>306.61893266146666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0.3510373076656701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0.3510373076656701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>
        <f>BY136*VLOOKUP('Données projet'!$B$12,Paramètres!$A$1:$I$89,3,0)*VLOOKUP('Données projet'!$B$12,Paramètres!$A$1:$I$89,5,0)</f>
        <v>0</v>
      </c>
      <c r="CA136" s="14" t="e">
        <f t="shared" si="147"/>
        <v>#NUM!</v>
      </c>
      <c r="CB136" s="22" t="e">
        <f t="shared" si="118"/>
        <v>#NUM!</v>
      </c>
      <c r="CC136" s="62" t="e">
        <f t="shared" si="119"/>
        <v>#NUM!</v>
      </c>
      <c r="CD136" s="62">
        <f ca="1">AVERAGE(OFFSET($CC$3,0,0,'Données projet'!$E$12+1,1))-AVERAGE(OFFSET($H$3,0,0,'Données projet'!$E$12+1,1))</f>
        <v>439.06700232017681</v>
      </c>
      <c r="CE136" s="62">
        <f t="shared" si="148"/>
        <v>278.21741231699929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0.31323328991705934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0.31323328991705934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317.99999999999972</v>
      </c>
      <c r="CU136" s="18">
        <f>CT136*VLOOKUP('Données projet'!$B$13,Paramètres!$A$1:$I$89,3,0)*VLOOKUP('Données projet'!$B$13,Paramètres!$A$1:$I$89,5,0)</f>
        <v>233.1575999999998</v>
      </c>
      <c r="CV136" s="14">
        <f t="shared" si="149"/>
        <v>56.964885721091697</v>
      </c>
      <c r="CW136" s="22">
        <f t="shared" si="121"/>
        <v>505.29666263090093</v>
      </c>
      <c r="CX136" s="62">
        <f t="shared" si="122"/>
        <v>798.62999596423424</v>
      </c>
      <c r="CY136" s="62">
        <f ca="1">AVERAGE(OFFSET($CX$3,0,0,'Données projet'!$E$13+1,1))-AVERAGE(OFFSET($H$3,0,0,'Données projet'!$E$13+1,1))</f>
        <v>327.81662150328646</v>
      </c>
      <c r="CZ136" s="62">
        <f t="shared" si="150"/>
        <v>320.24200483294322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0.26027905372166116</v>
      </c>
      <c r="DG136" s="23">
        <f>EXP(-LN(2)/25)*DG135+(1-EXP(-LN(2)/25))/(LN(2)/25)*Calculateur!DB136*Calculateur!DD136*VLOOKUP('Données projet'!$B$13,Paramètres!$A$1:$I$89,3,0)*0.475*44/12</f>
        <v>0</v>
      </c>
      <c r="DH136" s="23">
        <f>EXP(-LN(2)/2)*DH135+(1-EXP(-LN(2)/2))/(LN(2)/2)*DB136*DE136*VLOOKUP('Données projet'!$B$13,Paramètres!$A$1:$I$89,3,0)*0.475*44/12</f>
        <v>0</v>
      </c>
      <c r="DI136" s="24">
        <f t="shared" si="123"/>
        <v>0.26027905372166116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5.6843418860808015E-14</v>
      </c>
      <c r="DP136" s="18">
        <f>DO136*VLOOKUP('Données projet'!$B$14,Paramètres!$A$1:$I$89,3,0)*VLOOKUP('Données projet'!$B$14,Paramètres!$A$1:$I$89,5,0)</f>
        <v>3.7243808037601412E-14</v>
      </c>
      <c r="DQ136" s="14">
        <f t="shared" si="151"/>
        <v>6.2767589361185393E-13</v>
      </c>
      <c r="DR136" s="22">
        <f t="shared" si="124"/>
        <v>1.1580684803728015E-12</v>
      </c>
      <c r="DS136" s="62">
        <f t="shared" si="125"/>
        <v>293.33333333333445</v>
      </c>
      <c r="DT136" s="62">
        <f ca="1">AVERAGE(OFFSET($DS$3,0,0,'Données projet'!$E$14+1,1))-AVERAGE(OFFSET($H$3,0,0,'Données projet'!$E$14+1,1))</f>
        <v>210.08998695869161</v>
      </c>
      <c r="DU136" s="62">
        <f t="shared" si="152"/>
        <v>207.30911916430881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>
        <f>EXP(-LN(2)/35)*EA135+(1-EXP(-LN(2)/35))/(LN(2)/35)*DW136*DX136*VLOOKUP('Données projet'!$B$14,Paramètres!$A$1:$I$89,3,0)*0.475*44/12</f>
        <v>5.9808803833913578E-2</v>
      </c>
      <c r="EB136" s="23">
        <f>EXP(-LN(2)/25)*EB135+(1-EXP(-LN(2)/25))/(LN(2)/25)*Calculateur!DW136*Calculateur!DY136*VLOOKUP('Données projet'!$B$14,Paramètres!$A$1:$I$89,3,0)*0.475*44/12</f>
        <v>0</v>
      </c>
      <c r="EC136" s="23">
        <f>EXP(-LN(2)/2)*EC135+(1-EXP(-LN(2)/2))/(LN(2)/2)*DW136*DZ136*VLOOKUP('Données projet'!$B$14,Paramètres!$A$1:$I$89,3,0)*0.475*44/12</f>
        <v>0</v>
      </c>
      <c r="ED136" s="24">
        <f t="shared" si="126"/>
        <v>5.9808803833913578E-2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5.6843418860808015E-14</v>
      </c>
      <c r="EK136" s="18">
        <f>EJ136*VLOOKUP('Données projet'!$B$15,Paramètres!$A$1:$I$89,3,0)*VLOOKUP('Données projet'!$B$15,Paramètres!$A$1:$I$89,5,0)</f>
        <v>4.4337866711430253E-14</v>
      </c>
      <c r="EL136" s="14">
        <f t="shared" si="153"/>
        <v>7.3222115536967035E-13</v>
      </c>
      <c r="EM136" s="22">
        <f t="shared" si="127"/>
        <v>1.3525069634579169E-12</v>
      </c>
      <c r="EN136" s="62">
        <f t="shared" si="128"/>
        <v>293.33333333333468</v>
      </c>
      <c r="EO136" s="62">
        <f ca="1">AVERAGE(OFFSET($EN$3,0,0,'Données projet'!$E$15+1,1))-AVERAGE(OFFSET($H$3,0,0,'Données projet'!$E$15+1,1))</f>
        <v>288.82868507674738</v>
      </c>
      <c r="EP136" s="62">
        <f t="shared" si="154"/>
        <v>283.48738729114024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>
        <f>EXP(-LN(2)/35)*EV135+(1-EXP(-LN(2)/35))/(LN(2)/35)*ER136*ES136*VLOOKUP('Données projet'!$B$15,Paramètres!$A$1:$I$89,3,0)*0.475*44/12</f>
        <v>0.23583668977999306</v>
      </c>
      <c r="EW136" s="23">
        <f>EXP(-LN(2)/25)*EW135+(1-EXP(-LN(2)/25))/(LN(2)/25)*Calculateur!ER136*Calculateur!ET136*VLOOKUP('Données projet'!$B$15,Paramètres!$A$1:$I$89,3,0)*0.475*44/12</f>
        <v>0</v>
      </c>
      <c r="EX136" s="23">
        <f>EXP(-LN(2)/2)*EX135+(1-EXP(-LN(2)/2))/(LN(2)/2)*ER136*EU136*VLOOKUP('Données projet'!$B$15,Paramètres!$A$1:$I$89,3,0)*0.475*44/12</f>
        <v>0</v>
      </c>
      <c r="EY136" s="24">
        <f t="shared" si="129"/>
        <v>0.23583668977999306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3.4106051316484809E-13</v>
      </c>
      <c r="O137" s="14">
        <f>N137*VLOOKUP('Données projet'!$B$9,Paramètres!$A$1:$I$89,3,0)*VLOOKUP('Données projet'!$B$9,Paramètres!$A$1:$I$89,5,0)</f>
        <v>1.5961632016114892E-13</v>
      </c>
      <c r="P137" s="14">
        <f t="shared" si="141"/>
        <v>2.2708641912150958E-12</v>
      </c>
      <c r="Q137" s="22">
        <f t="shared" si="108"/>
        <v>4.2330868906469593E-12</v>
      </c>
      <c r="R137" s="62">
        <f t="shared" si="109"/>
        <v>293.33333333333752</v>
      </c>
      <c r="S137" s="62">
        <f ca="1">AVERAGE(OFFSET($R$3,0,0,'Données projet'!$E$9+1,1))-AVERAGE(OFFSET($H$3,0,0,'Données projet'!$E$9+1,1))</f>
        <v>317.54276561627643</v>
      </c>
      <c r="T137" s="62">
        <f t="shared" si="142"/>
        <v>238.92443174298893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-1.1368683772161603E-13</v>
      </c>
      <c r="AJ137" s="14">
        <f>AI137*VLOOKUP('Données projet'!$B$10,Paramètres!$A$1:$I$89,3,0)*VLOOKUP('Données projet'!$B$10,Paramètres!$A$1:$I$89,5,0)</f>
        <v>-9.9316821433603781E-14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327.826081588335</v>
      </c>
      <c r="AO137" s="62">
        <f t="shared" si="144"/>
        <v>348.84706693879735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0.78361145639609842</v>
      </c>
      <c r="AV137" s="23">
        <f>EXP(-LN(2)/25)*AV136+(1-EXP(-LN(2)/25))/(LN(2)/25)*Calculateur!AQ137*Calculateur!AS137*VLOOKUP('Données projet'!$B$10,Paramètres!$A$1:$I$89,3,0)*0.475*44/12</f>
        <v>0.76745553129197563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1.5510669876880741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>
        <f>BD137*VLOOKUP('Données projet'!$B$11,Paramètres!$A$1:$I$89,3,0)*VLOOKUP('Données projet'!$B$11,Paramètres!$A$1:$I$89,5,0)</f>
        <v>0</v>
      </c>
      <c r="BF137" s="14" t="e">
        <f t="shared" si="145"/>
        <v>#NUM!</v>
      </c>
      <c r="BG137" s="22" t="e">
        <f t="shared" si="115"/>
        <v>#NUM!</v>
      </c>
      <c r="BH137" s="62" t="e">
        <f t="shared" si="116"/>
        <v>#NUM!</v>
      </c>
      <c r="BI137" s="62">
        <f ca="1">AVERAGE(OFFSET($BH$3,0,0,'Données projet'!$E$11+1,1))-AVERAGE(OFFSET($H$3,0,0,'Données projet'!$E$11+1,1))</f>
        <v>487.04124684635974</v>
      </c>
      <c r="BJ137" s="62">
        <f t="shared" si="146"/>
        <v>306.61893266146666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0.3441536801739622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0.3441536801739622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>
        <f>BY137*VLOOKUP('Données projet'!$B$12,Paramètres!$A$1:$I$89,3,0)*VLOOKUP('Données projet'!$B$12,Paramètres!$A$1:$I$89,5,0)</f>
        <v>0</v>
      </c>
      <c r="CA137" s="14" t="e">
        <f t="shared" si="147"/>
        <v>#NUM!</v>
      </c>
      <c r="CB137" s="22" t="e">
        <f t="shared" si="118"/>
        <v>#NUM!</v>
      </c>
      <c r="CC137" s="62" t="e">
        <f t="shared" si="119"/>
        <v>#NUM!</v>
      </c>
      <c r="CD137" s="62">
        <f ca="1">AVERAGE(OFFSET($CC$3,0,0,'Données projet'!$E$12+1,1))-AVERAGE(OFFSET($H$3,0,0,'Données projet'!$E$12+1,1))</f>
        <v>439.06700232017681</v>
      </c>
      <c r="CE137" s="62">
        <f t="shared" si="148"/>
        <v>278.21741231699929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0.30709097615522768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0.30709097615522768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317.99999999999972</v>
      </c>
      <c r="CU137" s="18">
        <f>CT137*VLOOKUP('Données projet'!$B$13,Paramètres!$A$1:$I$89,3,0)*VLOOKUP('Données projet'!$B$13,Paramètres!$A$1:$I$89,5,0)</f>
        <v>233.1575999999998</v>
      </c>
      <c r="CV137" s="14">
        <f t="shared" si="149"/>
        <v>56.964885721091697</v>
      </c>
      <c r="CW137" s="22">
        <f t="shared" si="121"/>
        <v>505.29666263090093</v>
      </c>
      <c r="CX137" s="62">
        <f t="shared" si="122"/>
        <v>798.62999596423424</v>
      </c>
      <c r="CY137" s="62">
        <f ca="1">AVERAGE(OFFSET($CX$3,0,0,'Données projet'!$E$13+1,1))-AVERAGE(OFFSET($H$3,0,0,'Données projet'!$E$13+1,1))</f>
        <v>327.81662150328646</v>
      </c>
      <c r="CZ137" s="62">
        <f t="shared" si="150"/>
        <v>320.24200483294322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0.25517514023272642</v>
      </c>
      <c r="DG137" s="23">
        <f>EXP(-LN(2)/25)*DG136+(1-EXP(-LN(2)/25))/(LN(2)/25)*Calculateur!DB137*Calculateur!DD137*VLOOKUP('Données projet'!$B$13,Paramètres!$A$1:$I$89,3,0)*0.475*44/12</f>
        <v>0</v>
      </c>
      <c r="DH137" s="23">
        <f>EXP(-LN(2)/2)*DH136+(1-EXP(-LN(2)/2))/(LN(2)/2)*DB137*DE137*VLOOKUP('Données projet'!$B$13,Paramètres!$A$1:$I$89,3,0)*0.475*44/12</f>
        <v>0</v>
      </c>
      <c r="DI137" s="24">
        <f t="shared" si="123"/>
        <v>0.25517514023272642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5.6843418860808015E-14</v>
      </c>
      <c r="DP137" s="18">
        <f>DO137*VLOOKUP('Données projet'!$B$14,Paramètres!$A$1:$I$89,3,0)*VLOOKUP('Données projet'!$B$14,Paramètres!$A$1:$I$89,5,0)</f>
        <v>3.7243808037601412E-14</v>
      </c>
      <c r="DQ137" s="14">
        <f t="shared" si="151"/>
        <v>6.2767589361185393E-13</v>
      </c>
      <c r="DR137" s="22">
        <f t="shared" si="124"/>
        <v>1.1580684803728015E-12</v>
      </c>
      <c r="DS137" s="62">
        <f t="shared" si="125"/>
        <v>293.33333333333445</v>
      </c>
      <c r="DT137" s="62">
        <f ca="1">AVERAGE(OFFSET($DS$3,0,0,'Données projet'!$E$14+1,1))-AVERAGE(OFFSET($H$3,0,0,'Données projet'!$E$14+1,1))</f>
        <v>210.08998695869161</v>
      </c>
      <c r="DU137" s="62">
        <f t="shared" si="152"/>
        <v>207.30911916430881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>
        <f>EXP(-LN(2)/35)*EA136+(1-EXP(-LN(2)/35))/(LN(2)/35)*DW137*DX137*VLOOKUP('Données projet'!$B$14,Paramètres!$A$1:$I$89,3,0)*0.475*44/12</f>
        <v>5.8635989670498795E-2</v>
      </c>
      <c r="EB137" s="23">
        <f>EXP(-LN(2)/25)*EB136+(1-EXP(-LN(2)/25))/(LN(2)/25)*Calculateur!DW137*Calculateur!DY137*VLOOKUP('Données projet'!$B$14,Paramètres!$A$1:$I$89,3,0)*0.475*44/12</f>
        <v>0</v>
      </c>
      <c r="EC137" s="23">
        <f>EXP(-LN(2)/2)*EC136+(1-EXP(-LN(2)/2))/(LN(2)/2)*DW137*DZ137*VLOOKUP('Données projet'!$B$14,Paramètres!$A$1:$I$89,3,0)*0.475*44/12</f>
        <v>0</v>
      </c>
      <c r="ED137" s="24">
        <f t="shared" si="126"/>
        <v>5.8635989670498795E-2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5.6843418860808015E-14</v>
      </c>
      <c r="EK137" s="18">
        <f>EJ137*VLOOKUP('Données projet'!$B$15,Paramètres!$A$1:$I$89,3,0)*VLOOKUP('Données projet'!$B$15,Paramètres!$A$1:$I$89,5,0)</f>
        <v>4.4337866711430253E-14</v>
      </c>
      <c r="EL137" s="14">
        <f t="shared" si="153"/>
        <v>7.3222115536967035E-13</v>
      </c>
      <c r="EM137" s="22">
        <f t="shared" si="127"/>
        <v>1.3525069634579169E-12</v>
      </c>
      <c r="EN137" s="62">
        <f t="shared" si="128"/>
        <v>293.33333333333468</v>
      </c>
      <c r="EO137" s="62">
        <f ca="1">AVERAGE(OFFSET($EN$3,0,0,'Données projet'!$E$15+1,1))-AVERAGE(OFFSET($H$3,0,0,'Données projet'!$E$15+1,1))</f>
        <v>288.82868507674738</v>
      </c>
      <c r="EP137" s="62">
        <f t="shared" si="154"/>
        <v>283.48738729114024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>
        <f>EXP(-LN(2)/35)*EV136+(1-EXP(-LN(2)/35))/(LN(2)/35)*ER137*ES137*VLOOKUP('Données projet'!$B$15,Paramètres!$A$1:$I$89,3,0)*0.475*44/12</f>
        <v>0.23121207613958453</v>
      </c>
      <c r="EW137" s="23">
        <f>EXP(-LN(2)/25)*EW136+(1-EXP(-LN(2)/25))/(LN(2)/25)*Calculateur!ER137*Calculateur!ET137*VLOOKUP('Données projet'!$B$15,Paramètres!$A$1:$I$89,3,0)*0.475*44/12</f>
        <v>0</v>
      </c>
      <c r="EX137" s="23">
        <f>EXP(-LN(2)/2)*EX136+(1-EXP(-LN(2)/2))/(LN(2)/2)*ER137*EU137*VLOOKUP('Données projet'!$B$15,Paramètres!$A$1:$I$89,3,0)*0.475*44/12</f>
        <v>0</v>
      </c>
      <c r="EY137" s="24">
        <f t="shared" si="129"/>
        <v>0.23121207613958453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3.4106051316484809E-13</v>
      </c>
      <c r="O138" s="14">
        <f>N138*VLOOKUP('Données projet'!$B$9,Paramètres!$A$1:$I$89,3,0)*VLOOKUP('Données projet'!$B$9,Paramètres!$A$1:$I$89,5,0)</f>
        <v>1.5961632016114892E-13</v>
      </c>
      <c r="P138" s="14">
        <f t="shared" si="141"/>
        <v>2.2708641912150958E-12</v>
      </c>
      <c r="Q138" s="22">
        <f t="shared" si="108"/>
        <v>4.2330868906469593E-12</v>
      </c>
      <c r="R138" s="62">
        <f t="shared" si="109"/>
        <v>293.33333333333752</v>
      </c>
      <c r="S138" s="62">
        <f ca="1">AVERAGE(OFFSET($R$3,0,0,'Données projet'!$E$9+1,1))-AVERAGE(OFFSET($H$3,0,0,'Données projet'!$E$9+1,1))</f>
        <v>317.54276561627643</v>
      </c>
      <c r="T138" s="62">
        <f t="shared" si="142"/>
        <v>238.92443174298893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-1.1368683772161603E-13</v>
      </c>
      <c r="AJ138" s="14">
        <f>AI138*VLOOKUP('Données projet'!$B$10,Paramètres!$A$1:$I$89,3,0)*VLOOKUP('Données projet'!$B$10,Paramètres!$A$1:$I$89,5,0)</f>
        <v>-9.9316821433603781E-14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327.826081588335</v>
      </c>
      <c r="AO138" s="62">
        <f t="shared" si="144"/>
        <v>348.84706693879735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0.76824531369196514</v>
      </c>
      <c r="AV138" s="23">
        <f>EXP(-LN(2)/25)*AV137+(1-EXP(-LN(2)/25))/(LN(2)/25)*Calculateur!AQ138*Calculateur!AS138*VLOOKUP('Données projet'!$B$10,Paramètres!$A$1:$I$89,3,0)*0.475*44/12</f>
        <v>0.74646941943006417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1.5147147331220294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>
        <f>BD138*VLOOKUP('Données projet'!$B$11,Paramètres!$A$1:$I$89,3,0)*VLOOKUP('Données projet'!$B$11,Paramètres!$A$1:$I$89,5,0)</f>
        <v>0</v>
      </c>
      <c r="BF138" s="14" t="e">
        <f t="shared" si="145"/>
        <v>#NUM!</v>
      </c>
      <c r="BG138" s="22" t="e">
        <f t="shared" si="115"/>
        <v>#NUM!</v>
      </c>
      <c r="BH138" s="62" t="e">
        <f t="shared" si="116"/>
        <v>#NUM!</v>
      </c>
      <c r="BI138" s="62">
        <f ca="1">AVERAGE(OFFSET($BH$3,0,0,'Données projet'!$E$11+1,1))-AVERAGE(OFFSET($H$3,0,0,'Données projet'!$E$11+1,1))</f>
        <v>487.04124684635974</v>
      </c>
      <c r="BJ138" s="62">
        <f t="shared" si="146"/>
        <v>306.61893266146666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0.33740503641876851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0.33740503641876851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>
        <f>BY138*VLOOKUP('Données projet'!$B$12,Paramètres!$A$1:$I$89,3,0)*VLOOKUP('Données projet'!$B$12,Paramètres!$A$1:$I$89,5,0)</f>
        <v>0</v>
      </c>
      <c r="CA138" s="14" t="e">
        <f t="shared" si="147"/>
        <v>#NUM!</v>
      </c>
      <c r="CB138" s="22" t="e">
        <f t="shared" si="118"/>
        <v>#NUM!</v>
      </c>
      <c r="CC138" s="62" t="e">
        <f t="shared" si="119"/>
        <v>#NUM!</v>
      </c>
      <c r="CD138" s="62">
        <f ca="1">AVERAGE(OFFSET($CC$3,0,0,'Données projet'!$E$12+1,1))-AVERAGE(OFFSET($H$3,0,0,'Données projet'!$E$12+1,1))</f>
        <v>439.06700232017681</v>
      </c>
      <c r="CE138" s="62">
        <f t="shared" si="148"/>
        <v>278.21741231699929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0.30106910941982407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0.30106910941982407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317.99999999999972</v>
      </c>
      <c r="CU138" s="18">
        <f>CT138*VLOOKUP('Données projet'!$B$13,Paramètres!$A$1:$I$89,3,0)*VLOOKUP('Données projet'!$B$13,Paramètres!$A$1:$I$89,5,0)</f>
        <v>233.1575999999998</v>
      </c>
      <c r="CV138" s="14">
        <f t="shared" si="149"/>
        <v>56.964885721091697</v>
      </c>
      <c r="CW138" s="22">
        <f t="shared" si="121"/>
        <v>505.29666263090093</v>
      </c>
      <c r="CX138" s="62">
        <f t="shared" si="122"/>
        <v>798.62999596423424</v>
      </c>
      <c r="CY138" s="62">
        <f ca="1">AVERAGE(OFFSET($CX$3,0,0,'Données projet'!$E$13+1,1))-AVERAGE(OFFSET($H$3,0,0,'Données projet'!$E$13+1,1))</f>
        <v>327.81662150328646</v>
      </c>
      <c r="CZ138" s="62">
        <f t="shared" si="150"/>
        <v>320.24200483294322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0.25017131137422988</v>
      </c>
      <c r="DG138" s="23">
        <f>EXP(-LN(2)/25)*DG137+(1-EXP(-LN(2)/25))/(LN(2)/25)*Calculateur!DB138*Calculateur!DD138*VLOOKUP('Données projet'!$B$13,Paramètres!$A$1:$I$89,3,0)*0.475*44/12</f>
        <v>0</v>
      </c>
      <c r="DH138" s="23">
        <f>EXP(-LN(2)/2)*DH137+(1-EXP(-LN(2)/2))/(LN(2)/2)*DB138*DE138*VLOOKUP('Données projet'!$B$13,Paramètres!$A$1:$I$89,3,0)*0.475*44/12</f>
        <v>0</v>
      </c>
      <c r="DI138" s="24">
        <f t="shared" si="123"/>
        <v>0.25017131137422988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5.6843418860808015E-14</v>
      </c>
      <c r="DP138" s="18">
        <f>DO138*VLOOKUP('Données projet'!$B$14,Paramètres!$A$1:$I$89,3,0)*VLOOKUP('Données projet'!$B$14,Paramètres!$A$1:$I$89,5,0)</f>
        <v>3.7243808037601412E-14</v>
      </c>
      <c r="DQ138" s="14">
        <f t="shared" si="151"/>
        <v>6.2767589361185393E-13</v>
      </c>
      <c r="DR138" s="22">
        <f t="shared" si="124"/>
        <v>1.1580684803728015E-12</v>
      </c>
      <c r="DS138" s="62">
        <f t="shared" si="125"/>
        <v>293.33333333333445</v>
      </c>
      <c r="DT138" s="62">
        <f ca="1">AVERAGE(OFFSET($DS$3,0,0,'Données projet'!$E$14+1,1))-AVERAGE(OFFSET($H$3,0,0,'Données projet'!$E$14+1,1))</f>
        <v>210.08998695869161</v>
      </c>
      <c r="DU138" s="62">
        <f t="shared" si="152"/>
        <v>207.30911916430881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>
        <f>EXP(-LN(2)/35)*EA137+(1-EXP(-LN(2)/35))/(LN(2)/35)*DW138*DX138*VLOOKUP('Données projet'!$B$14,Paramètres!$A$1:$I$89,3,0)*0.475*44/12</f>
        <v>5.7486173677482572E-2</v>
      </c>
      <c r="EB138" s="23">
        <f>EXP(-LN(2)/25)*EB137+(1-EXP(-LN(2)/25))/(LN(2)/25)*Calculateur!DW138*Calculateur!DY138*VLOOKUP('Données projet'!$B$14,Paramètres!$A$1:$I$89,3,0)*0.475*44/12</f>
        <v>0</v>
      </c>
      <c r="EC138" s="23">
        <f>EXP(-LN(2)/2)*EC137+(1-EXP(-LN(2)/2))/(LN(2)/2)*DW138*DZ138*VLOOKUP('Données projet'!$B$14,Paramètres!$A$1:$I$89,3,0)*0.475*44/12</f>
        <v>0</v>
      </c>
      <c r="ED138" s="24">
        <f t="shared" si="126"/>
        <v>5.7486173677482572E-2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5.6843418860808015E-14</v>
      </c>
      <c r="EK138" s="18">
        <f>EJ138*VLOOKUP('Données projet'!$B$15,Paramètres!$A$1:$I$89,3,0)*VLOOKUP('Données projet'!$B$15,Paramètres!$A$1:$I$89,5,0)</f>
        <v>4.4337866711430253E-14</v>
      </c>
      <c r="EL138" s="14">
        <f t="shared" si="153"/>
        <v>7.3222115536967035E-13</v>
      </c>
      <c r="EM138" s="22">
        <f t="shared" si="127"/>
        <v>1.3525069634579169E-12</v>
      </c>
      <c r="EN138" s="62">
        <f t="shared" si="128"/>
        <v>293.33333333333468</v>
      </c>
      <c r="EO138" s="62">
        <f ca="1">AVERAGE(OFFSET($EN$3,0,0,'Données projet'!$E$15+1,1))-AVERAGE(OFFSET($H$3,0,0,'Données projet'!$E$15+1,1))</f>
        <v>288.82868507674738</v>
      </c>
      <c r="EP138" s="62">
        <f t="shared" si="154"/>
        <v>283.48738729114024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>
        <f>EXP(-LN(2)/35)*EV137+(1-EXP(-LN(2)/35))/(LN(2)/35)*ER138*ES138*VLOOKUP('Données projet'!$B$15,Paramètres!$A$1:$I$89,3,0)*0.475*44/12</f>
        <v>0.22667814835192862</v>
      </c>
      <c r="EW138" s="23">
        <f>EXP(-LN(2)/25)*EW137+(1-EXP(-LN(2)/25))/(LN(2)/25)*Calculateur!ER138*Calculateur!ET138*VLOOKUP('Données projet'!$B$15,Paramètres!$A$1:$I$89,3,0)*0.475*44/12</f>
        <v>0</v>
      </c>
      <c r="EX138" s="23">
        <f>EXP(-LN(2)/2)*EX137+(1-EXP(-LN(2)/2))/(LN(2)/2)*ER138*EU138*VLOOKUP('Données projet'!$B$15,Paramètres!$A$1:$I$89,3,0)*0.475*44/12</f>
        <v>0</v>
      </c>
      <c r="EY138" s="24">
        <f t="shared" si="129"/>
        <v>0.22667814835192862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3.4106051316484809E-13</v>
      </c>
      <c r="O139" s="14">
        <f>N139*VLOOKUP('Données projet'!$B$9,Paramètres!$A$1:$I$89,3,0)*VLOOKUP('Données projet'!$B$9,Paramètres!$A$1:$I$89,5,0)</f>
        <v>1.5961632016114892E-13</v>
      </c>
      <c r="P139" s="14">
        <f t="shared" si="141"/>
        <v>2.2708641912150958E-12</v>
      </c>
      <c r="Q139" s="22">
        <f t="shared" si="108"/>
        <v>4.2330868906469593E-12</v>
      </c>
      <c r="R139" s="62">
        <f t="shared" si="109"/>
        <v>293.33333333333752</v>
      </c>
      <c r="S139" s="62">
        <f ca="1">AVERAGE(OFFSET($R$3,0,0,'Données projet'!$E$9+1,1))-AVERAGE(OFFSET($H$3,0,0,'Données projet'!$E$9+1,1))</f>
        <v>317.54276561627643</v>
      </c>
      <c r="T139" s="62">
        <f t="shared" si="142"/>
        <v>238.92443174298893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-1.1368683772161603E-13</v>
      </c>
      <c r="AJ139" s="14">
        <f>AI139*VLOOKUP('Données projet'!$B$10,Paramètres!$A$1:$I$89,3,0)*VLOOKUP('Données projet'!$B$10,Paramètres!$A$1:$I$89,5,0)</f>
        <v>-9.9316821433603781E-14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327.826081588335</v>
      </c>
      <c r="AO139" s="62">
        <f t="shared" si="144"/>
        <v>348.84706693879735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0.75318049167383827</v>
      </c>
      <c r="AV139" s="23">
        <f>EXP(-LN(2)/25)*AV138+(1-EXP(-LN(2)/25))/(LN(2)/25)*Calculateur!AQ139*Calculateur!AS139*VLOOKUP('Données projet'!$B$10,Paramètres!$A$1:$I$89,3,0)*0.475*44/12</f>
        <v>0.72605717390062841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1.4792376655744666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>
        <f>BD139*VLOOKUP('Données projet'!$B$11,Paramètres!$A$1:$I$89,3,0)*VLOOKUP('Données projet'!$B$11,Paramètres!$A$1:$I$89,5,0)</f>
        <v>0</v>
      </c>
      <c r="BF139" s="14" t="e">
        <f t="shared" si="145"/>
        <v>#NUM!</v>
      </c>
      <c r="BG139" s="22" t="e">
        <f t="shared" si="115"/>
        <v>#NUM!</v>
      </c>
      <c r="BH139" s="62" t="e">
        <f t="shared" si="116"/>
        <v>#NUM!</v>
      </c>
      <c r="BI139" s="62">
        <f ca="1">AVERAGE(OFFSET($BH$3,0,0,'Données projet'!$E$11+1,1))-AVERAGE(OFFSET($H$3,0,0,'Données projet'!$E$11+1,1))</f>
        <v>487.04124684635974</v>
      </c>
      <c r="BJ139" s="62">
        <f t="shared" si="146"/>
        <v>306.61893266146666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0.33078872945134796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0.33078872945134796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>
        <f>BY139*VLOOKUP('Données projet'!$B$12,Paramètres!$A$1:$I$89,3,0)*VLOOKUP('Données projet'!$B$12,Paramètres!$A$1:$I$89,5,0)</f>
        <v>0</v>
      </c>
      <c r="CA139" s="14" t="e">
        <f t="shared" si="147"/>
        <v>#NUM!</v>
      </c>
      <c r="CB139" s="22" t="e">
        <f t="shared" si="118"/>
        <v>#NUM!</v>
      </c>
      <c r="CC139" s="62" t="e">
        <f t="shared" si="119"/>
        <v>#NUM!</v>
      </c>
      <c r="CD139" s="62">
        <f ca="1">AVERAGE(OFFSET($CC$3,0,0,'Données projet'!$E$12+1,1))-AVERAGE(OFFSET($H$3,0,0,'Données projet'!$E$12+1,1))</f>
        <v>439.06700232017681</v>
      </c>
      <c r="CE139" s="62">
        <f t="shared" si="148"/>
        <v>278.21741231699929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0.29516532781812571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0.29516532781812571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317.99999999999972</v>
      </c>
      <c r="CU139" s="18">
        <f>CT139*VLOOKUP('Données projet'!$B$13,Paramètres!$A$1:$I$89,3,0)*VLOOKUP('Données projet'!$B$13,Paramètres!$A$1:$I$89,5,0)</f>
        <v>233.1575999999998</v>
      </c>
      <c r="CV139" s="14">
        <f t="shared" si="149"/>
        <v>56.964885721091697</v>
      </c>
      <c r="CW139" s="22">
        <f t="shared" si="121"/>
        <v>505.29666263090093</v>
      </c>
      <c r="CX139" s="62">
        <f t="shared" si="122"/>
        <v>798.62999596423424</v>
      </c>
      <c r="CY139" s="62">
        <f ca="1">AVERAGE(OFFSET($CX$3,0,0,'Données projet'!$E$13+1,1))-AVERAGE(OFFSET($H$3,0,0,'Données projet'!$E$13+1,1))</f>
        <v>327.81662150328646</v>
      </c>
      <c r="CZ139" s="62">
        <f t="shared" si="150"/>
        <v>320.24200483294322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0.2452656045476142</v>
      </c>
      <c r="DG139" s="23">
        <f>EXP(-LN(2)/25)*DG138+(1-EXP(-LN(2)/25))/(LN(2)/25)*Calculateur!DB139*Calculateur!DD139*VLOOKUP('Données projet'!$B$13,Paramètres!$A$1:$I$89,3,0)*0.475*44/12</f>
        <v>0</v>
      </c>
      <c r="DH139" s="23">
        <f>EXP(-LN(2)/2)*DH138+(1-EXP(-LN(2)/2))/(LN(2)/2)*DB139*DE139*VLOOKUP('Données projet'!$B$13,Paramètres!$A$1:$I$89,3,0)*0.475*44/12</f>
        <v>0</v>
      </c>
      <c r="DI139" s="24">
        <f t="shared" si="123"/>
        <v>0.2452656045476142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5.6843418860808015E-14</v>
      </c>
      <c r="DP139" s="18">
        <f>DO139*VLOOKUP('Données projet'!$B$14,Paramètres!$A$1:$I$89,3,0)*VLOOKUP('Données projet'!$B$14,Paramètres!$A$1:$I$89,5,0)</f>
        <v>3.7243808037601412E-14</v>
      </c>
      <c r="DQ139" s="14">
        <f t="shared" si="151"/>
        <v>6.2767589361185393E-13</v>
      </c>
      <c r="DR139" s="22">
        <f t="shared" si="124"/>
        <v>1.1580684803728015E-12</v>
      </c>
      <c r="DS139" s="62">
        <f t="shared" si="125"/>
        <v>293.33333333333445</v>
      </c>
      <c r="DT139" s="62">
        <f ca="1">AVERAGE(OFFSET($DS$3,0,0,'Données projet'!$E$14+1,1))-AVERAGE(OFFSET($H$3,0,0,'Données projet'!$E$14+1,1))</f>
        <v>210.08998695869161</v>
      </c>
      <c r="DU139" s="62">
        <f t="shared" si="152"/>
        <v>207.30911916430881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>
        <f>EXP(-LN(2)/35)*EA138+(1-EXP(-LN(2)/35))/(LN(2)/35)*DW139*DX139*VLOOKUP('Données projet'!$B$14,Paramètres!$A$1:$I$89,3,0)*0.475*44/12</f>
        <v>5.6358904874770889E-2</v>
      </c>
      <c r="EB139" s="23">
        <f>EXP(-LN(2)/25)*EB138+(1-EXP(-LN(2)/25))/(LN(2)/25)*Calculateur!DW139*Calculateur!DY139*VLOOKUP('Données projet'!$B$14,Paramètres!$A$1:$I$89,3,0)*0.475*44/12</f>
        <v>0</v>
      </c>
      <c r="EC139" s="23">
        <f>EXP(-LN(2)/2)*EC138+(1-EXP(-LN(2)/2))/(LN(2)/2)*DW139*DZ139*VLOOKUP('Données projet'!$B$14,Paramètres!$A$1:$I$89,3,0)*0.475*44/12</f>
        <v>0</v>
      </c>
      <c r="ED139" s="24">
        <f t="shared" si="126"/>
        <v>5.6358904874770889E-2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5.6843418860808015E-14</v>
      </c>
      <c r="EK139" s="18">
        <f>EJ139*VLOOKUP('Données projet'!$B$15,Paramètres!$A$1:$I$89,3,0)*VLOOKUP('Données projet'!$B$15,Paramètres!$A$1:$I$89,5,0)</f>
        <v>4.4337866711430253E-14</v>
      </c>
      <c r="EL139" s="14">
        <f t="shared" si="153"/>
        <v>7.3222115536967035E-13</v>
      </c>
      <c r="EM139" s="22">
        <f t="shared" si="127"/>
        <v>1.3525069634579169E-12</v>
      </c>
      <c r="EN139" s="62">
        <f t="shared" si="128"/>
        <v>293.33333333333468</v>
      </c>
      <c r="EO139" s="62">
        <f ca="1">AVERAGE(OFFSET($EN$3,0,0,'Données projet'!$E$15+1,1))-AVERAGE(OFFSET($H$3,0,0,'Données projet'!$E$15+1,1))</f>
        <v>288.82868507674738</v>
      </c>
      <c r="EP139" s="62">
        <f t="shared" si="154"/>
        <v>283.48738729114024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>
        <f>EXP(-LN(2)/35)*EV138+(1-EXP(-LN(2)/35))/(LN(2)/35)*ER139*ES139*VLOOKUP('Données projet'!$B$15,Paramètres!$A$1:$I$89,3,0)*0.475*44/12</f>
        <v>0.22223312812276574</v>
      </c>
      <c r="EW139" s="23">
        <f>EXP(-LN(2)/25)*EW138+(1-EXP(-LN(2)/25))/(LN(2)/25)*Calculateur!ER139*Calculateur!ET139*VLOOKUP('Données projet'!$B$15,Paramètres!$A$1:$I$89,3,0)*0.475*44/12</f>
        <v>0</v>
      </c>
      <c r="EX139" s="23">
        <f>EXP(-LN(2)/2)*EX138+(1-EXP(-LN(2)/2))/(LN(2)/2)*ER139*EU139*VLOOKUP('Données projet'!$B$15,Paramètres!$A$1:$I$89,3,0)*0.475*44/12</f>
        <v>0</v>
      </c>
      <c r="EY139" s="24">
        <f t="shared" si="129"/>
        <v>0.22223312812276574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3.4106051316484809E-13</v>
      </c>
      <c r="O140" s="14">
        <f>N140*VLOOKUP('Données projet'!$B$9,Paramètres!$A$1:$I$89,3,0)*VLOOKUP('Données projet'!$B$9,Paramètres!$A$1:$I$89,5,0)</f>
        <v>1.5961632016114892E-13</v>
      </c>
      <c r="P140" s="14">
        <f t="shared" si="141"/>
        <v>2.2708641912150958E-12</v>
      </c>
      <c r="Q140" s="22">
        <f t="shared" si="108"/>
        <v>4.2330868906469593E-12</v>
      </c>
      <c r="R140" s="62">
        <f t="shared" si="109"/>
        <v>293.33333333333752</v>
      </c>
      <c r="S140" s="62">
        <f ca="1">AVERAGE(OFFSET($R$3,0,0,'Données projet'!$E$9+1,1))-AVERAGE(OFFSET($H$3,0,0,'Données projet'!$E$9+1,1))</f>
        <v>317.54276561627643</v>
      </c>
      <c r="T140" s="62">
        <f t="shared" si="142"/>
        <v>238.92443174298893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-1.1368683772161603E-13</v>
      </c>
      <c r="AJ140" s="14">
        <f>AI140*VLOOKUP('Données projet'!$B$10,Paramètres!$A$1:$I$89,3,0)*VLOOKUP('Données projet'!$B$10,Paramètres!$A$1:$I$89,5,0)</f>
        <v>-9.9316821433603781E-14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327.826081588335</v>
      </c>
      <c r="AO140" s="62">
        <f t="shared" si="144"/>
        <v>348.84706693879735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0.73841108162685276</v>
      </c>
      <c r="AV140" s="23">
        <f>EXP(-LN(2)/25)*AV139+(1-EXP(-LN(2)/25))/(LN(2)/25)*Calculateur!AQ140*Calculateur!AS140*VLOOKUP('Données projet'!$B$10,Paramètres!$A$1:$I$89,3,0)*0.475*44/12</f>
        <v>0.70620310229862837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1.4446141839254811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>
        <f>BD140*VLOOKUP('Données projet'!$B$11,Paramètres!$A$1:$I$89,3,0)*VLOOKUP('Données projet'!$B$11,Paramètres!$A$1:$I$89,5,0)</f>
        <v>0</v>
      </c>
      <c r="BF140" s="14" t="e">
        <f t="shared" si="145"/>
        <v>#NUM!</v>
      </c>
      <c r="BG140" s="22" t="e">
        <f t="shared" si="115"/>
        <v>#NUM!</v>
      </c>
      <c r="BH140" s="62" t="e">
        <f t="shared" si="116"/>
        <v>#NUM!</v>
      </c>
      <c r="BI140" s="62">
        <f ca="1">AVERAGE(OFFSET($BH$3,0,0,'Données projet'!$E$11+1,1))-AVERAGE(OFFSET($H$3,0,0,'Données projet'!$E$11+1,1))</f>
        <v>487.04124684635974</v>
      </c>
      <c r="BJ140" s="62">
        <f t="shared" si="146"/>
        <v>306.61893266146666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0.32430216422800973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0.32430216422800973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>
        <f>BY140*VLOOKUP('Données projet'!$B$12,Paramètres!$A$1:$I$89,3,0)*VLOOKUP('Données projet'!$B$12,Paramètres!$A$1:$I$89,5,0)</f>
        <v>0</v>
      </c>
      <c r="CA140" s="14" t="e">
        <f t="shared" si="147"/>
        <v>#NUM!</v>
      </c>
      <c r="CB140" s="22" t="e">
        <f t="shared" si="118"/>
        <v>#NUM!</v>
      </c>
      <c r="CC140" s="62" t="e">
        <f t="shared" si="119"/>
        <v>#NUM!</v>
      </c>
      <c r="CD140" s="62">
        <f ca="1">AVERAGE(OFFSET($CC$3,0,0,'Données projet'!$E$12+1,1))-AVERAGE(OFFSET($H$3,0,0,'Données projet'!$E$12+1,1))</f>
        <v>439.06700232017681</v>
      </c>
      <c r="CE140" s="62">
        <f t="shared" si="148"/>
        <v>278.21741231699929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0.28937731577268544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0.28937731577268544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317.99999999999972</v>
      </c>
      <c r="CU140" s="18">
        <f>CT140*VLOOKUP('Données projet'!$B$13,Paramètres!$A$1:$I$89,3,0)*VLOOKUP('Données projet'!$B$13,Paramètres!$A$1:$I$89,5,0)</f>
        <v>233.1575999999998</v>
      </c>
      <c r="CV140" s="14">
        <f t="shared" si="149"/>
        <v>56.964885721091697</v>
      </c>
      <c r="CW140" s="22">
        <f t="shared" si="121"/>
        <v>505.29666263090093</v>
      </c>
      <c r="CX140" s="62">
        <f t="shared" si="122"/>
        <v>798.62999596423424</v>
      </c>
      <c r="CY140" s="62">
        <f ca="1">AVERAGE(OFFSET($CX$3,0,0,'Données projet'!$E$13+1,1))-AVERAGE(OFFSET($H$3,0,0,'Données projet'!$E$13+1,1))</f>
        <v>327.81662150328646</v>
      </c>
      <c r="CZ140" s="62">
        <f t="shared" si="150"/>
        <v>320.24200483294322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0.24045609563968276</v>
      </c>
      <c r="DG140" s="23">
        <f>EXP(-LN(2)/25)*DG139+(1-EXP(-LN(2)/25))/(LN(2)/25)*Calculateur!DB140*Calculateur!DD140*VLOOKUP('Données projet'!$B$13,Paramètres!$A$1:$I$89,3,0)*0.475*44/12</f>
        <v>0</v>
      </c>
      <c r="DH140" s="23">
        <f>EXP(-LN(2)/2)*DH139+(1-EXP(-LN(2)/2))/(LN(2)/2)*DB140*DE140*VLOOKUP('Données projet'!$B$13,Paramètres!$A$1:$I$89,3,0)*0.475*44/12</f>
        <v>0</v>
      </c>
      <c r="DI140" s="24">
        <f t="shared" si="123"/>
        <v>0.24045609563968276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5.6843418860808015E-14</v>
      </c>
      <c r="DP140" s="18">
        <f>DO140*VLOOKUP('Données projet'!$B$14,Paramètres!$A$1:$I$89,3,0)*VLOOKUP('Données projet'!$B$14,Paramètres!$A$1:$I$89,5,0)</f>
        <v>3.7243808037601412E-14</v>
      </c>
      <c r="DQ140" s="14">
        <f t="shared" si="151"/>
        <v>6.2767589361185393E-13</v>
      </c>
      <c r="DR140" s="22">
        <f t="shared" si="124"/>
        <v>1.1580684803728015E-12</v>
      </c>
      <c r="DS140" s="62">
        <f t="shared" si="125"/>
        <v>293.33333333333445</v>
      </c>
      <c r="DT140" s="62">
        <f ca="1">AVERAGE(OFFSET($DS$3,0,0,'Données projet'!$E$14+1,1))-AVERAGE(OFFSET($H$3,0,0,'Données projet'!$E$14+1,1))</f>
        <v>210.08998695869161</v>
      </c>
      <c r="DU140" s="62">
        <f t="shared" si="152"/>
        <v>207.30911916430881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>
        <f>EXP(-LN(2)/35)*EA139+(1-EXP(-LN(2)/35))/(LN(2)/35)*DW140*DX140*VLOOKUP('Données projet'!$B$14,Paramètres!$A$1:$I$89,3,0)*0.475*44/12</f>
        <v>5.5253741125714302E-2</v>
      </c>
      <c r="EB140" s="23">
        <f>EXP(-LN(2)/25)*EB139+(1-EXP(-LN(2)/25))/(LN(2)/25)*Calculateur!DW140*Calculateur!DY140*VLOOKUP('Données projet'!$B$14,Paramètres!$A$1:$I$89,3,0)*0.475*44/12</f>
        <v>0</v>
      </c>
      <c r="EC140" s="23">
        <f>EXP(-LN(2)/2)*EC139+(1-EXP(-LN(2)/2))/(LN(2)/2)*DW140*DZ140*VLOOKUP('Données projet'!$B$14,Paramètres!$A$1:$I$89,3,0)*0.475*44/12</f>
        <v>0</v>
      </c>
      <c r="ED140" s="24">
        <f t="shared" si="126"/>
        <v>5.5253741125714302E-2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5.6843418860808015E-14</v>
      </c>
      <c r="EK140" s="18">
        <f>EJ140*VLOOKUP('Données projet'!$B$15,Paramètres!$A$1:$I$89,3,0)*VLOOKUP('Données projet'!$B$15,Paramètres!$A$1:$I$89,5,0)</f>
        <v>4.4337866711430253E-14</v>
      </c>
      <c r="EL140" s="14">
        <f t="shared" si="153"/>
        <v>7.3222115536967035E-13</v>
      </c>
      <c r="EM140" s="22">
        <f t="shared" si="127"/>
        <v>1.3525069634579169E-12</v>
      </c>
      <c r="EN140" s="62">
        <f t="shared" si="128"/>
        <v>293.33333333333468</v>
      </c>
      <c r="EO140" s="62">
        <f ca="1">AVERAGE(OFFSET($EN$3,0,0,'Données projet'!$E$15+1,1))-AVERAGE(OFFSET($H$3,0,0,'Données projet'!$E$15+1,1))</f>
        <v>288.82868507674738</v>
      </c>
      <c r="EP140" s="62">
        <f t="shared" si="154"/>
        <v>283.48738729114024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>
        <f>EXP(-LN(2)/35)*EV139+(1-EXP(-LN(2)/35))/(LN(2)/35)*ER140*ES140*VLOOKUP('Données projet'!$B$15,Paramètres!$A$1:$I$89,3,0)*0.475*44/12</f>
        <v>0.21787527202910212</v>
      </c>
      <c r="EW140" s="23">
        <f>EXP(-LN(2)/25)*EW139+(1-EXP(-LN(2)/25))/(LN(2)/25)*Calculateur!ER140*Calculateur!ET140*VLOOKUP('Données projet'!$B$15,Paramètres!$A$1:$I$89,3,0)*0.475*44/12</f>
        <v>0</v>
      </c>
      <c r="EX140" s="23">
        <f>EXP(-LN(2)/2)*EX139+(1-EXP(-LN(2)/2))/(LN(2)/2)*ER140*EU140*VLOOKUP('Données projet'!$B$15,Paramètres!$A$1:$I$89,3,0)*0.475*44/12</f>
        <v>0</v>
      </c>
      <c r="EY140" s="24">
        <f t="shared" si="129"/>
        <v>0.21787527202910212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3.4106051316484809E-13</v>
      </c>
      <c r="O141" s="14">
        <f>N141*VLOOKUP('Données projet'!$B$9,Paramètres!$A$1:$I$89,3,0)*VLOOKUP('Données projet'!$B$9,Paramètres!$A$1:$I$89,5,0)</f>
        <v>1.5961632016114892E-13</v>
      </c>
      <c r="P141" s="14">
        <f t="shared" si="141"/>
        <v>2.2708641912150958E-12</v>
      </c>
      <c r="Q141" s="22">
        <f t="shared" si="108"/>
        <v>4.2330868906469593E-12</v>
      </c>
      <c r="R141" s="62">
        <f t="shared" si="109"/>
        <v>293.33333333333752</v>
      </c>
      <c r="S141" s="62">
        <f ca="1">AVERAGE(OFFSET($R$3,0,0,'Données projet'!$E$9+1,1))-AVERAGE(OFFSET($H$3,0,0,'Données projet'!$E$9+1,1))</f>
        <v>317.54276561627643</v>
      </c>
      <c r="T141" s="62">
        <f t="shared" si="142"/>
        <v>238.92443174298893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-1.1368683772161603E-13</v>
      </c>
      <c r="AJ141" s="14">
        <f>AI141*VLOOKUP('Données projet'!$B$10,Paramètres!$A$1:$I$89,3,0)*VLOOKUP('Données projet'!$B$10,Paramètres!$A$1:$I$89,5,0)</f>
        <v>-9.9316821433603781E-14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327.826081588335</v>
      </c>
      <c r="AO141" s="62">
        <f t="shared" si="144"/>
        <v>348.84706693879735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0.723931290702438</v>
      </c>
      <c r="AV141" s="23">
        <f>EXP(-LN(2)/25)*AV140+(1-EXP(-LN(2)/25))/(LN(2)/25)*Calculateur!AQ141*Calculateur!AS141*VLOOKUP('Données projet'!$B$10,Paramètres!$A$1:$I$89,3,0)*0.475*44/12</f>
        <v>0.68689194132866527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1.4108232320311034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>
        <f>BD141*VLOOKUP('Données projet'!$B$11,Paramètres!$A$1:$I$89,3,0)*VLOOKUP('Données projet'!$B$11,Paramètres!$A$1:$I$89,5,0)</f>
        <v>0</v>
      </c>
      <c r="BF141" s="14" t="e">
        <f t="shared" si="145"/>
        <v>#NUM!</v>
      </c>
      <c r="BG141" s="22" t="e">
        <f t="shared" si="115"/>
        <v>#NUM!</v>
      </c>
      <c r="BH141" s="62" t="e">
        <f t="shared" si="116"/>
        <v>#NUM!</v>
      </c>
      <c r="BI141" s="62">
        <f ca="1">AVERAGE(OFFSET($BH$3,0,0,'Données projet'!$E$11+1,1))-AVERAGE(OFFSET($H$3,0,0,'Données projet'!$E$11+1,1))</f>
        <v>487.04124684635974</v>
      </c>
      <c r="BJ141" s="62">
        <f t="shared" si="146"/>
        <v>306.61893266146666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0.31794279659228702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0.31794279659228702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>
        <f>BY141*VLOOKUP('Données projet'!$B$12,Paramètres!$A$1:$I$89,3,0)*VLOOKUP('Données projet'!$B$12,Paramètres!$A$1:$I$89,5,0)</f>
        <v>0</v>
      </c>
      <c r="CA141" s="14" t="e">
        <f t="shared" si="147"/>
        <v>#NUM!</v>
      </c>
      <c r="CB141" s="22" t="e">
        <f t="shared" si="118"/>
        <v>#NUM!</v>
      </c>
      <c r="CC141" s="62" t="e">
        <f t="shared" si="119"/>
        <v>#NUM!</v>
      </c>
      <c r="CD141" s="62">
        <f ca="1">AVERAGE(OFFSET($CC$3,0,0,'Données projet'!$E$12+1,1))-AVERAGE(OFFSET($H$3,0,0,'Données projet'!$E$12+1,1))</f>
        <v>439.06700232017681</v>
      </c>
      <c r="CE141" s="62">
        <f t="shared" si="148"/>
        <v>278.21741231699929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0.28370280311311752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0.28370280311311752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317.99999999999972</v>
      </c>
      <c r="CU141" s="18">
        <f>CT141*VLOOKUP('Données projet'!$B$13,Paramètres!$A$1:$I$89,3,0)*VLOOKUP('Données projet'!$B$13,Paramètres!$A$1:$I$89,5,0)</f>
        <v>233.1575999999998</v>
      </c>
      <c r="CV141" s="14">
        <f t="shared" si="149"/>
        <v>56.964885721091697</v>
      </c>
      <c r="CW141" s="22">
        <f t="shared" si="121"/>
        <v>505.29666263090093</v>
      </c>
      <c r="CX141" s="62">
        <f t="shared" si="122"/>
        <v>798.62999596423424</v>
      </c>
      <c r="CY141" s="62">
        <f ca="1">AVERAGE(OFFSET($CX$3,0,0,'Données projet'!$E$13+1,1))-AVERAGE(OFFSET($H$3,0,0,'Données projet'!$E$13+1,1))</f>
        <v>327.81662150328646</v>
      </c>
      <c r="CZ141" s="62">
        <f t="shared" si="150"/>
        <v>320.24200483294322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0.23574089826792508</v>
      </c>
      <c r="DG141" s="23">
        <f>EXP(-LN(2)/25)*DG140+(1-EXP(-LN(2)/25))/(LN(2)/25)*Calculateur!DB141*Calculateur!DD141*VLOOKUP('Données projet'!$B$13,Paramètres!$A$1:$I$89,3,0)*0.475*44/12</f>
        <v>0</v>
      </c>
      <c r="DH141" s="23">
        <f>EXP(-LN(2)/2)*DH140+(1-EXP(-LN(2)/2))/(LN(2)/2)*DB141*DE141*VLOOKUP('Données projet'!$B$13,Paramètres!$A$1:$I$89,3,0)*0.475*44/12</f>
        <v>0</v>
      </c>
      <c r="DI141" s="24">
        <f t="shared" si="123"/>
        <v>0.23574089826792508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5.6843418860808015E-14</v>
      </c>
      <c r="DP141" s="18">
        <f>DO141*VLOOKUP('Données projet'!$B$14,Paramètres!$A$1:$I$89,3,0)*VLOOKUP('Données projet'!$B$14,Paramètres!$A$1:$I$89,5,0)</f>
        <v>3.7243808037601412E-14</v>
      </c>
      <c r="DQ141" s="14">
        <f t="shared" si="151"/>
        <v>6.2767589361185393E-13</v>
      </c>
      <c r="DR141" s="22">
        <f t="shared" si="124"/>
        <v>1.1580684803728015E-12</v>
      </c>
      <c r="DS141" s="62">
        <f t="shared" si="125"/>
        <v>293.33333333333445</v>
      </c>
      <c r="DT141" s="62">
        <f ca="1">AVERAGE(OFFSET($DS$3,0,0,'Données projet'!$E$14+1,1))-AVERAGE(OFFSET($H$3,0,0,'Données projet'!$E$14+1,1))</f>
        <v>210.08998695869161</v>
      </c>
      <c r="DU141" s="62">
        <f t="shared" si="152"/>
        <v>207.30911916430881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>
        <f>EXP(-LN(2)/35)*EA140+(1-EXP(-LN(2)/35))/(LN(2)/35)*DW141*DX141*VLOOKUP('Données projet'!$B$14,Paramètres!$A$1:$I$89,3,0)*0.475*44/12</f>
        <v>5.4170248963693386E-2</v>
      </c>
      <c r="EB141" s="23">
        <f>EXP(-LN(2)/25)*EB140+(1-EXP(-LN(2)/25))/(LN(2)/25)*Calculateur!DW141*Calculateur!DY141*VLOOKUP('Données projet'!$B$14,Paramètres!$A$1:$I$89,3,0)*0.475*44/12</f>
        <v>0</v>
      </c>
      <c r="EC141" s="23">
        <f>EXP(-LN(2)/2)*EC140+(1-EXP(-LN(2)/2))/(LN(2)/2)*DW141*DZ141*VLOOKUP('Données projet'!$B$14,Paramètres!$A$1:$I$89,3,0)*0.475*44/12</f>
        <v>0</v>
      </c>
      <c r="ED141" s="24">
        <f t="shared" si="126"/>
        <v>5.4170248963693386E-2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5.6843418860808015E-14</v>
      </c>
      <c r="EK141" s="18">
        <f>EJ141*VLOOKUP('Données projet'!$B$15,Paramètres!$A$1:$I$89,3,0)*VLOOKUP('Données projet'!$B$15,Paramètres!$A$1:$I$89,5,0)</f>
        <v>4.4337866711430253E-14</v>
      </c>
      <c r="EL141" s="14">
        <f t="shared" si="153"/>
        <v>7.3222115536967035E-13</v>
      </c>
      <c r="EM141" s="22">
        <f t="shared" si="127"/>
        <v>1.3525069634579169E-12</v>
      </c>
      <c r="EN141" s="62">
        <f t="shared" si="128"/>
        <v>293.33333333333468</v>
      </c>
      <c r="EO141" s="62">
        <f ca="1">AVERAGE(OFFSET($EN$3,0,0,'Données projet'!$E$15+1,1))-AVERAGE(OFFSET($H$3,0,0,'Données projet'!$E$15+1,1))</f>
        <v>288.82868507674738</v>
      </c>
      <c r="EP141" s="62">
        <f t="shared" si="154"/>
        <v>283.48738729114024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>
        <f>EXP(-LN(2)/35)*EV140+(1-EXP(-LN(2)/35))/(LN(2)/35)*ER141*ES141*VLOOKUP('Données projet'!$B$15,Paramètres!$A$1:$I$89,3,0)*0.475*44/12</f>
        <v>0.2136028708354055</v>
      </c>
      <c r="EW141" s="23">
        <f>EXP(-LN(2)/25)*EW140+(1-EXP(-LN(2)/25))/(LN(2)/25)*Calculateur!ER141*Calculateur!ET141*VLOOKUP('Données projet'!$B$15,Paramètres!$A$1:$I$89,3,0)*0.475*44/12</f>
        <v>0</v>
      </c>
      <c r="EX141" s="23">
        <f>EXP(-LN(2)/2)*EX140+(1-EXP(-LN(2)/2))/(LN(2)/2)*ER141*EU141*VLOOKUP('Données projet'!$B$15,Paramètres!$A$1:$I$89,3,0)*0.475*44/12</f>
        <v>0</v>
      </c>
      <c r="EY141" s="24">
        <f t="shared" si="129"/>
        <v>0.2136028708354055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3.4106051316484809E-13</v>
      </c>
      <c r="O142" s="14">
        <f>N142*VLOOKUP('Données projet'!$B$9,Paramètres!$A$1:$I$89,3,0)*VLOOKUP('Données projet'!$B$9,Paramètres!$A$1:$I$89,5,0)</f>
        <v>1.5961632016114892E-13</v>
      </c>
      <c r="P142" s="14">
        <f t="shared" si="141"/>
        <v>2.2708641912150958E-12</v>
      </c>
      <c r="Q142" s="22">
        <f t="shared" si="108"/>
        <v>4.2330868906469593E-12</v>
      </c>
      <c r="R142" s="62">
        <f t="shared" si="109"/>
        <v>293.33333333333752</v>
      </c>
      <c r="S142" s="62">
        <f ca="1">AVERAGE(OFFSET($R$3,0,0,'Données projet'!$E$9+1,1))-AVERAGE(OFFSET($H$3,0,0,'Données projet'!$E$9+1,1))</f>
        <v>317.54276561627643</v>
      </c>
      <c r="T142" s="62">
        <f t="shared" si="142"/>
        <v>238.92443174298893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-1.1368683772161603E-13</v>
      </c>
      <c r="AJ142" s="14">
        <f>AI142*VLOOKUP('Données projet'!$B$10,Paramètres!$A$1:$I$89,3,0)*VLOOKUP('Données projet'!$B$10,Paramètres!$A$1:$I$89,5,0)</f>
        <v>-9.9316821433603781E-14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327.826081588335</v>
      </c>
      <c r="AO142" s="62">
        <f t="shared" si="144"/>
        <v>348.84706693879735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0.70973543964625063</v>
      </c>
      <c r="AV142" s="23">
        <f>EXP(-LN(2)/25)*AV141+(1-EXP(-LN(2)/25))/(LN(2)/25)*Calculateur!AQ142*Calculateur!AS142*VLOOKUP('Données projet'!$B$10,Paramètres!$A$1:$I$89,3,0)*0.475*44/12</f>
        <v>0.66810884507095558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1.3778442847172063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>
        <f>BD142*VLOOKUP('Données projet'!$B$11,Paramètres!$A$1:$I$89,3,0)*VLOOKUP('Données projet'!$B$11,Paramètres!$A$1:$I$89,5,0)</f>
        <v>0</v>
      </c>
      <c r="BF142" s="14" t="e">
        <f t="shared" si="145"/>
        <v>#NUM!</v>
      </c>
      <c r="BG142" s="22" t="e">
        <f t="shared" si="115"/>
        <v>#NUM!</v>
      </c>
      <c r="BH142" s="62" t="e">
        <f t="shared" si="116"/>
        <v>#NUM!</v>
      </c>
      <c r="BI142" s="62">
        <f ca="1">AVERAGE(OFFSET($BH$3,0,0,'Données projet'!$E$11+1,1))-AVERAGE(OFFSET($H$3,0,0,'Données projet'!$E$11+1,1))</f>
        <v>487.04124684635974</v>
      </c>
      <c r="BJ142" s="62">
        <f t="shared" si="146"/>
        <v>306.61893266146666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0.31170813227706962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0.31170813227706962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>
        <f>BY142*VLOOKUP('Données projet'!$B$12,Paramètres!$A$1:$I$89,3,0)*VLOOKUP('Données projet'!$B$12,Paramètres!$A$1:$I$89,5,0)</f>
        <v>0</v>
      </c>
      <c r="CA142" s="14" t="e">
        <f t="shared" si="147"/>
        <v>#NUM!</v>
      </c>
      <c r="CB142" s="22" t="e">
        <f t="shared" si="118"/>
        <v>#NUM!</v>
      </c>
      <c r="CC142" s="62" t="e">
        <f t="shared" si="119"/>
        <v>#NUM!</v>
      </c>
      <c r="CD142" s="62">
        <f ca="1">AVERAGE(OFFSET($CC$3,0,0,'Données projet'!$E$12+1,1))-AVERAGE(OFFSET($H$3,0,0,'Données projet'!$E$12+1,1))</f>
        <v>439.06700232017681</v>
      </c>
      <c r="CE142" s="62">
        <f t="shared" si="148"/>
        <v>278.21741231699929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0.27813956418569274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0.27813956418569274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317.99999999999972</v>
      </c>
      <c r="CU142" s="18">
        <f>CT142*VLOOKUP('Données projet'!$B$13,Paramètres!$A$1:$I$89,3,0)*VLOOKUP('Données projet'!$B$13,Paramètres!$A$1:$I$89,5,0)</f>
        <v>233.1575999999998</v>
      </c>
      <c r="CV142" s="14">
        <f t="shared" si="149"/>
        <v>56.964885721091697</v>
      </c>
      <c r="CW142" s="22">
        <f t="shared" si="121"/>
        <v>505.29666263090093</v>
      </c>
      <c r="CX142" s="62">
        <f t="shared" si="122"/>
        <v>798.62999596423424</v>
      </c>
      <c r="CY142" s="62">
        <f ca="1">AVERAGE(OFFSET($CX$3,0,0,'Données projet'!$E$13+1,1))-AVERAGE(OFFSET($H$3,0,0,'Données projet'!$E$13+1,1))</f>
        <v>327.81662150328646</v>
      </c>
      <c r="CZ142" s="62">
        <f t="shared" si="150"/>
        <v>320.24200483294322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0.23111816304064114</v>
      </c>
      <c r="DG142" s="23">
        <f>EXP(-LN(2)/25)*DG141+(1-EXP(-LN(2)/25))/(LN(2)/25)*Calculateur!DB142*Calculateur!DD142*VLOOKUP('Données projet'!$B$13,Paramètres!$A$1:$I$89,3,0)*0.475*44/12</f>
        <v>0</v>
      </c>
      <c r="DH142" s="23">
        <f>EXP(-LN(2)/2)*DH141+(1-EXP(-LN(2)/2))/(LN(2)/2)*DB142*DE142*VLOOKUP('Données projet'!$B$13,Paramètres!$A$1:$I$89,3,0)*0.475*44/12</f>
        <v>0</v>
      </c>
      <c r="DI142" s="24">
        <f t="shared" si="123"/>
        <v>0.23111816304064114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5.6843418860808015E-14</v>
      </c>
      <c r="DP142" s="18">
        <f>DO142*VLOOKUP('Données projet'!$B$14,Paramètres!$A$1:$I$89,3,0)*VLOOKUP('Données projet'!$B$14,Paramètres!$A$1:$I$89,5,0)</f>
        <v>3.7243808037601412E-14</v>
      </c>
      <c r="DQ142" s="14">
        <f t="shared" si="151"/>
        <v>6.2767589361185393E-13</v>
      </c>
      <c r="DR142" s="22">
        <f t="shared" si="124"/>
        <v>1.1580684803728015E-12</v>
      </c>
      <c r="DS142" s="62">
        <f t="shared" si="125"/>
        <v>293.33333333333445</v>
      </c>
      <c r="DT142" s="62">
        <f ca="1">AVERAGE(OFFSET($DS$3,0,0,'Données projet'!$E$14+1,1))-AVERAGE(OFFSET($H$3,0,0,'Données projet'!$E$14+1,1))</f>
        <v>210.08998695869161</v>
      </c>
      <c r="DU142" s="62">
        <f t="shared" si="152"/>
        <v>207.30911916430881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>
        <f>EXP(-LN(2)/35)*EA141+(1-EXP(-LN(2)/35))/(LN(2)/35)*DW142*DX142*VLOOKUP('Données projet'!$B$14,Paramètres!$A$1:$I$89,3,0)*0.475*44/12</f>
        <v>5.3108003422104741E-2</v>
      </c>
      <c r="EB142" s="23">
        <f>EXP(-LN(2)/25)*EB141+(1-EXP(-LN(2)/25))/(LN(2)/25)*Calculateur!DW142*Calculateur!DY142*VLOOKUP('Données projet'!$B$14,Paramètres!$A$1:$I$89,3,0)*0.475*44/12</f>
        <v>0</v>
      </c>
      <c r="EC142" s="23">
        <f>EXP(-LN(2)/2)*EC141+(1-EXP(-LN(2)/2))/(LN(2)/2)*DW142*DZ142*VLOOKUP('Données projet'!$B$14,Paramètres!$A$1:$I$89,3,0)*0.475*44/12</f>
        <v>0</v>
      </c>
      <c r="ED142" s="24">
        <f t="shared" si="126"/>
        <v>5.3108003422104741E-2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5.6843418860808015E-14</v>
      </c>
      <c r="EK142" s="18">
        <f>EJ142*VLOOKUP('Données projet'!$B$15,Paramètres!$A$1:$I$89,3,0)*VLOOKUP('Données projet'!$B$15,Paramètres!$A$1:$I$89,5,0)</f>
        <v>4.4337866711430253E-14</v>
      </c>
      <c r="EL142" s="14">
        <f t="shared" si="153"/>
        <v>7.3222115536967035E-13</v>
      </c>
      <c r="EM142" s="22">
        <f t="shared" si="127"/>
        <v>1.3525069634579169E-12</v>
      </c>
      <c r="EN142" s="62">
        <f t="shared" si="128"/>
        <v>293.33333333333468</v>
      </c>
      <c r="EO142" s="62">
        <f ca="1">AVERAGE(OFFSET($EN$3,0,0,'Données projet'!$E$15+1,1))-AVERAGE(OFFSET($H$3,0,0,'Données projet'!$E$15+1,1))</f>
        <v>288.82868507674738</v>
      </c>
      <c r="EP142" s="62">
        <f t="shared" si="154"/>
        <v>283.48738729114024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>
        <f>EXP(-LN(2)/35)*EV141+(1-EXP(-LN(2)/35))/(LN(2)/35)*ER142*ES142*VLOOKUP('Données projet'!$B$15,Paramètres!$A$1:$I$89,3,0)*0.475*44/12</f>
        <v>0.20941424882320983</v>
      </c>
      <c r="EW142" s="23">
        <f>EXP(-LN(2)/25)*EW141+(1-EXP(-LN(2)/25))/(LN(2)/25)*Calculateur!ER142*Calculateur!ET142*VLOOKUP('Données projet'!$B$15,Paramètres!$A$1:$I$89,3,0)*0.475*44/12</f>
        <v>0</v>
      </c>
      <c r="EX142" s="23">
        <f>EXP(-LN(2)/2)*EX141+(1-EXP(-LN(2)/2))/(LN(2)/2)*ER142*EU142*VLOOKUP('Données projet'!$B$15,Paramètres!$A$1:$I$89,3,0)*0.475*44/12</f>
        <v>0</v>
      </c>
      <c r="EY142" s="24">
        <f t="shared" si="129"/>
        <v>0.20941424882320983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3.4106051316484809E-13</v>
      </c>
      <c r="O143" s="14">
        <f>N143*VLOOKUP('Données projet'!$B$9,Paramètres!$A$1:$I$89,3,0)*VLOOKUP('Données projet'!$B$9,Paramètres!$A$1:$I$89,5,0)</f>
        <v>1.5961632016114892E-13</v>
      </c>
      <c r="P143" s="14">
        <f t="shared" si="141"/>
        <v>2.2708641912150958E-12</v>
      </c>
      <c r="Q143" s="22">
        <f t="shared" si="108"/>
        <v>4.2330868906469593E-12</v>
      </c>
      <c r="R143" s="62">
        <f t="shared" si="109"/>
        <v>293.33333333333752</v>
      </c>
      <c r="S143" s="62">
        <f ca="1">AVERAGE(OFFSET($R$3,0,0,'Données projet'!$E$9+1,1))-AVERAGE(OFFSET($H$3,0,0,'Données projet'!$E$9+1,1))</f>
        <v>317.54276561627643</v>
      </c>
      <c r="T143" s="62">
        <f t="shared" si="142"/>
        <v>238.92443174298893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-1.1368683772161603E-13</v>
      </c>
      <c r="AJ143" s="14">
        <f>AI143*VLOOKUP('Données projet'!$B$10,Paramètres!$A$1:$I$89,3,0)*VLOOKUP('Données projet'!$B$10,Paramètres!$A$1:$I$89,5,0)</f>
        <v>-9.9316821433603781E-14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327.826081588335</v>
      </c>
      <c r="AO143" s="62">
        <f t="shared" si="144"/>
        <v>348.84706693879735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0.69581796057066092</v>
      </c>
      <c r="AV143" s="23">
        <f>EXP(-LN(2)/25)*AV142+(1-EXP(-LN(2)/25))/(LN(2)/25)*Calculateur!AQ143*Calculateur!AS143*VLOOKUP('Données projet'!$B$10,Paramètres!$A$1:$I$89,3,0)*0.475*44/12</f>
        <v>0.64983937356817312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1.345657334138834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>
        <f>BD143*VLOOKUP('Données projet'!$B$11,Paramètres!$A$1:$I$89,3,0)*VLOOKUP('Données projet'!$B$11,Paramètres!$A$1:$I$89,5,0)</f>
        <v>0</v>
      </c>
      <c r="BF143" s="14" t="e">
        <f t="shared" si="145"/>
        <v>#NUM!</v>
      </c>
      <c r="BG143" s="22" t="e">
        <f t="shared" si="115"/>
        <v>#NUM!</v>
      </c>
      <c r="BH143" s="62" t="e">
        <f t="shared" si="116"/>
        <v>#NUM!</v>
      </c>
      <c r="BI143" s="62">
        <f ca="1">AVERAGE(OFFSET($BH$3,0,0,'Données projet'!$E$11+1,1))-AVERAGE(OFFSET($H$3,0,0,'Données projet'!$E$11+1,1))</f>
        <v>487.04124684635974</v>
      </c>
      <c r="BJ143" s="62">
        <f t="shared" si="146"/>
        <v>306.61893266146666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0.30559572592630385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0.30559572592630385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>
        <f>BY143*VLOOKUP('Données projet'!$B$12,Paramètres!$A$1:$I$89,3,0)*VLOOKUP('Données projet'!$B$12,Paramètres!$A$1:$I$89,5,0)</f>
        <v>0</v>
      </c>
      <c r="CA143" s="14" t="e">
        <f t="shared" si="147"/>
        <v>#NUM!</v>
      </c>
      <c r="CB143" s="22" t="e">
        <f t="shared" si="118"/>
        <v>#NUM!</v>
      </c>
      <c r="CC143" s="62" t="e">
        <f t="shared" si="119"/>
        <v>#NUM!</v>
      </c>
      <c r="CD143" s="62">
        <f ca="1">AVERAGE(OFFSET($CC$3,0,0,'Données projet'!$E$12+1,1))-AVERAGE(OFFSET($H$3,0,0,'Données projet'!$E$12+1,1))</f>
        <v>439.06700232017681</v>
      </c>
      <c r="CE143" s="62">
        <f t="shared" si="148"/>
        <v>278.21741231699929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0.27268541698039406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0.27268541698039406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317.99999999999972</v>
      </c>
      <c r="CU143" s="18">
        <f>CT143*VLOOKUP('Données projet'!$B$13,Paramètres!$A$1:$I$89,3,0)*VLOOKUP('Données projet'!$B$13,Paramètres!$A$1:$I$89,5,0)</f>
        <v>233.1575999999998</v>
      </c>
      <c r="CV143" s="14">
        <f t="shared" si="149"/>
        <v>56.964885721091697</v>
      </c>
      <c r="CW143" s="22">
        <f t="shared" si="121"/>
        <v>505.29666263090093</v>
      </c>
      <c r="CX143" s="62">
        <f t="shared" si="122"/>
        <v>798.62999596423424</v>
      </c>
      <c r="CY143" s="62">
        <f ca="1">AVERAGE(OFFSET($CX$3,0,0,'Données projet'!$E$13+1,1))-AVERAGE(OFFSET($H$3,0,0,'Données projet'!$E$13+1,1))</f>
        <v>327.81662150328646</v>
      </c>
      <c r="CZ143" s="62">
        <f t="shared" si="150"/>
        <v>320.24200483294322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0.22658607683157417</v>
      </c>
      <c r="DG143" s="23">
        <f>EXP(-LN(2)/25)*DG142+(1-EXP(-LN(2)/25))/(LN(2)/25)*Calculateur!DB143*Calculateur!DD143*VLOOKUP('Données projet'!$B$13,Paramètres!$A$1:$I$89,3,0)*0.475*44/12</f>
        <v>0</v>
      </c>
      <c r="DH143" s="23">
        <f>EXP(-LN(2)/2)*DH142+(1-EXP(-LN(2)/2))/(LN(2)/2)*DB143*DE143*VLOOKUP('Données projet'!$B$13,Paramètres!$A$1:$I$89,3,0)*0.475*44/12</f>
        <v>0</v>
      </c>
      <c r="DI143" s="24">
        <f t="shared" si="123"/>
        <v>0.22658607683157417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5.6843418860808015E-14</v>
      </c>
      <c r="DP143" s="18">
        <f>DO143*VLOOKUP('Données projet'!$B$14,Paramètres!$A$1:$I$89,3,0)*VLOOKUP('Données projet'!$B$14,Paramètres!$A$1:$I$89,5,0)</f>
        <v>3.7243808037601412E-14</v>
      </c>
      <c r="DQ143" s="14">
        <f t="shared" si="151"/>
        <v>6.2767589361185393E-13</v>
      </c>
      <c r="DR143" s="22">
        <f t="shared" si="124"/>
        <v>1.1580684803728015E-12</v>
      </c>
      <c r="DS143" s="62">
        <f t="shared" si="125"/>
        <v>293.33333333333445</v>
      </c>
      <c r="DT143" s="62">
        <f ca="1">AVERAGE(OFFSET($DS$3,0,0,'Données projet'!$E$14+1,1))-AVERAGE(OFFSET($H$3,0,0,'Données projet'!$E$14+1,1))</f>
        <v>210.08998695869161</v>
      </c>
      <c r="DU143" s="62">
        <f t="shared" si="152"/>
        <v>207.30911916430881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>
        <f>EXP(-LN(2)/35)*EA142+(1-EXP(-LN(2)/35))/(LN(2)/35)*DW143*DX143*VLOOKUP('Données projet'!$B$14,Paramètres!$A$1:$I$89,3,0)*0.475*44/12</f>
        <v>5.2066587867680841E-2</v>
      </c>
      <c r="EB143" s="23">
        <f>EXP(-LN(2)/25)*EB142+(1-EXP(-LN(2)/25))/(LN(2)/25)*Calculateur!DW143*Calculateur!DY143*VLOOKUP('Données projet'!$B$14,Paramètres!$A$1:$I$89,3,0)*0.475*44/12</f>
        <v>0</v>
      </c>
      <c r="EC143" s="23">
        <f>EXP(-LN(2)/2)*EC142+(1-EXP(-LN(2)/2))/(LN(2)/2)*DW143*DZ143*VLOOKUP('Données projet'!$B$14,Paramètres!$A$1:$I$89,3,0)*0.475*44/12</f>
        <v>0</v>
      </c>
      <c r="ED143" s="24">
        <f t="shared" si="126"/>
        <v>5.2066587867680841E-2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5.6843418860808015E-14</v>
      </c>
      <c r="EK143" s="18">
        <f>EJ143*VLOOKUP('Données projet'!$B$15,Paramètres!$A$1:$I$89,3,0)*VLOOKUP('Données projet'!$B$15,Paramètres!$A$1:$I$89,5,0)</f>
        <v>4.4337866711430253E-14</v>
      </c>
      <c r="EL143" s="14">
        <f t="shared" si="153"/>
        <v>7.3222115536967035E-13</v>
      </c>
      <c r="EM143" s="22">
        <f t="shared" si="127"/>
        <v>1.3525069634579169E-12</v>
      </c>
      <c r="EN143" s="62">
        <f t="shared" si="128"/>
        <v>293.33333333333468</v>
      </c>
      <c r="EO143" s="62">
        <f ca="1">AVERAGE(OFFSET($EN$3,0,0,'Données projet'!$E$15+1,1))-AVERAGE(OFFSET($H$3,0,0,'Données projet'!$E$15+1,1))</f>
        <v>288.82868507674738</v>
      </c>
      <c r="EP143" s="62">
        <f t="shared" si="154"/>
        <v>283.48738729114024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>
        <f>EXP(-LN(2)/35)*EV142+(1-EXP(-LN(2)/35))/(LN(2)/35)*ER143*ES143*VLOOKUP('Données projet'!$B$15,Paramètres!$A$1:$I$89,3,0)*0.475*44/12</f>
        <v>0.20530776313386617</v>
      </c>
      <c r="EW143" s="23">
        <f>EXP(-LN(2)/25)*EW142+(1-EXP(-LN(2)/25))/(LN(2)/25)*Calculateur!ER143*Calculateur!ET143*VLOOKUP('Données projet'!$B$15,Paramètres!$A$1:$I$89,3,0)*0.475*44/12</f>
        <v>0</v>
      </c>
      <c r="EX143" s="23">
        <f>EXP(-LN(2)/2)*EX142+(1-EXP(-LN(2)/2))/(LN(2)/2)*ER143*EU143*VLOOKUP('Données projet'!$B$15,Paramètres!$A$1:$I$89,3,0)*0.475*44/12</f>
        <v>0</v>
      </c>
      <c r="EY143" s="24">
        <f t="shared" si="129"/>
        <v>0.20530776313386617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3.4106051316484809E-13</v>
      </c>
      <c r="O144" s="14">
        <f>N144*VLOOKUP('Données projet'!$B$9,Paramètres!$A$1:$I$89,3,0)*VLOOKUP('Données projet'!$B$9,Paramètres!$A$1:$I$89,5,0)</f>
        <v>1.5961632016114892E-13</v>
      </c>
      <c r="P144" s="14">
        <f t="shared" si="141"/>
        <v>2.2708641912150958E-12</v>
      </c>
      <c r="Q144" s="22">
        <f t="shared" si="108"/>
        <v>4.2330868906469593E-12</v>
      </c>
      <c r="R144" s="62">
        <f t="shared" si="109"/>
        <v>293.33333333333752</v>
      </c>
      <c r="S144" s="62">
        <f ca="1">AVERAGE(OFFSET($R$3,0,0,'Données projet'!$E$9+1,1))-AVERAGE(OFFSET($H$3,0,0,'Données projet'!$E$9+1,1))</f>
        <v>317.54276561627643</v>
      </c>
      <c r="T144" s="62">
        <f t="shared" si="142"/>
        <v>238.92443174298893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-1.1368683772161603E-13</v>
      </c>
      <c r="AJ144" s="14">
        <f>AI144*VLOOKUP('Données projet'!$B$10,Paramètres!$A$1:$I$89,3,0)*VLOOKUP('Données projet'!$B$10,Paramètres!$A$1:$I$89,5,0)</f>
        <v>-9.9316821433603781E-14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327.826081588335</v>
      </c>
      <c r="AO144" s="62">
        <f t="shared" si="144"/>
        <v>348.84706693879735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0.68217339477091954</v>
      </c>
      <c r="AV144" s="23">
        <f>EXP(-LN(2)/25)*AV143+(1-EXP(-LN(2)/25))/(LN(2)/25)*Calculateur!AQ144*Calculateur!AS144*VLOOKUP('Données projet'!$B$10,Paramètres!$A$1:$I$89,3,0)*0.475*44/12</f>
        <v>0.63206948172438404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1.3142428764953036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>
        <f>BD144*VLOOKUP('Données projet'!$B$11,Paramètres!$A$1:$I$89,3,0)*VLOOKUP('Données projet'!$B$11,Paramètres!$A$1:$I$89,5,0)</f>
        <v>0</v>
      </c>
      <c r="BF144" s="14" t="e">
        <f t="shared" si="145"/>
        <v>#NUM!</v>
      </c>
      <c r="BG144" s="22" t="e">
        <f t="shared" si="115"/>
        <v>#NUM!</v>
      </c>
      <c r="BH144" s="62" t="e">
        <f t="shared" si="116"/>
        <v>#NUM!</v>
      </c>
      <c r="BI144" s="62">
        <f ca="1">AVERAGE(OFFSET($BH$3,0,0,'Données projet'!$E$11+1,1))-AVERAGE(OFFSET($H$3,0,0,'Données projet'!$E$11+1,1))</f>
        <v>487.04124684635974</v>
      </c>
      <c r="BJ144" s="62">
        <f t="shared" si="146"/>
        <v>306.61893266146666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0.29960318013587689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0.29960318013587689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>
        <f>BY144*VLOOKUP('Données projet'!$B$12,Paramètres!$A$1:$I$89,3,0)*VLOOKUP('Données projet'!$B$12,Paramètres!$A$1:$I$89,5,0)</f>
        <v>0</v>
      </c>
      <c r="CA144" s="14" t="e">
        <f t="shared" si="147"/>
        <v>#NUM!</v>
      </c>
      <c r="CB144" s="22" t="e">
        <f t="shared" si="118"/>
        <v>#NUM!</v>
      </c>
      <c r="CC144" s="62" t="e">
        <f t="shared" si="119"/>
        <v>#NUM!</v>
      </c>
      <c r="CD144" s="62">
        <f ca="1">AVERAGE(OFFSET($CC$3,0,0,'Données projet'!$E$12+1,1))-AVERAGE(OFFSET($H$3,0,0,'Données projet'!$E$12+1,1))</f>
        <v>439.06700232017681</v>
      </c>
      <c r="CE144" s="62">
        <f t="shared" si="148"/>
        <v>278.21741231699929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0.26733822227508997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0.26733822227508997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317.99999999999972</v>
      </c>
      <c r="CU144" s="18">
        <f>CT144*VLOOKUP('Données projet'!$B$13,Paramètres!$A$1:$I$89,3,0)*VLOOKUP('Données projet'!$B$13,Paramètres!$A$1:$I$89,5,0)</f>
        <v>233.1575999999998</v>
      </c>
      <c r="CV144" s="14">
        <f t="shared" si="149"/>
        <v>56.964885721091697</v>
      </c>
      <c r="CW144" s="22">
        <f t="shared" si="121"/>
        <v>505.29666263090093</v>
      </c>
      <c r="CX144" s="62">
        <f t="shared" si="122"/>
        <v>798.62999596423424</v>
      </c>
      <c r="CY144" s="62">
        <f ca="1">AVERAGE(OFFSET($CX$3,0,0,'Données projet'!$E$13+1,1))-AVERAGE(OFFSET($H$3,0,0,'Données projet'!$E$13+1,1))</f>
        <v>327.81662150328646</v>
      </c>
      <c r="CZ144" s="62">
        <f t="shared" si="150"/>
        <v>320.24200483294322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0.22214286206876738</v>
      </c>
      <c r="DG144" s="23">
        <f>EXP(-LN(2)/25)*DG143+(1-EXP(-LN(2)/25))/(LN(2)/25)*Calculateur!DB144*Calculateur!DD144*VLOOKUP('Données projet'!$B$13,Paramètres!$A$1:$I$89,3,0)*0.475*44/12</f>
        <v>0</v>
      </c>
      <c r="DH144" s="23">
        <f>EXP(-LN(2)/2)*DH143+(1-EXP(-LN(2)/2))/(LN(2)/2)*DB144*DE144*VLOOKUP('Données projet'!$B$13,Paramètres!$A$1:$I$89,3,0)*0.475*44/12</f>
        <v>0</v>
      </c>
      <c r="DI144" s="24">
        <f t="shared" si="123"/>
        <v>0.22214286206876738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5.6843418860808015E-14</v>
      </c>
      <c r="DP144" s="18">
        <f>DO144*VLOOKUP('Données projet'!$B$14,Paramètres!$A$1:$I$89,3,0)*VLOOKUP('Données projet'!$B$14,Paramètres!$A$1:$I$89,5,0)</f>
        <v>3.7243808037601412E-14</v>
      </c>
      <c r="DQ144" s="14">
        <f t="shared" si="151"/>
        <v>6.2767589361185393E-13</v>
      </c>
      <c r="DR144" s="22">
        <f t="shared" si="124"/>
        <v>1.1580684803728015E-12</v>
      </c>
      <c r="DS144" s="62">
        <f t="shared" si="125"/>
        <v>293.33333333333445</v>
      </c>
      <c r="DT144" s="62">
        <f ca="1">AVERAGE(OFFSET($DS$3,0,0,'Données projet'!$E$14+1,1))-AVERAGE(OFFSET($H$3,0,0,'Données projet'!$E$14+1,1))</f>
        <v>210.08998695869161</v>
      </c>
      <c r="DU144" s="62">
        <f t="shared" si="152"/>
        <v>207.30911916430881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>
        <f>EXP(-LN(2)/35)*EA143+(1-EXP(-LN(2)/35))/(LN(2)/35)*DW144*DX144*VLOOKUP('Données projet'!$B$14,Paramètres!$A$1:$I$89,3,0)*0.475*44/12</f>
        <v>5.1045593837078428E-2</v>
      </c>
      <c r="EB144" s="23">
        <f>EXP(-LN(2)/25)*EB143+(1-EXP(-LN(2)/25))/(LN(2)/25)*Calculateur!DW144*Calculateur!DY144*VLOOKUP('Données projet'!$B$14,Paramètres!$A$1:$I$89,3,0)*0.475*44/12</f>
        <v>0</v>
      </c>
      <c r="EC144" s="23">
        <f>EXP(-LN(2)/2)*EC143+(1-EXP(-LN(2)/2))/(LN(2)/2)*DW144*DZ144*VLOOKUP('Données projet'!$B$14,Paramètres!$A$1:$I$89,3,0)*0.475*44/12</f>
        <v>0</v>
      </c>
      <c r="ED144" s="24">
        <f t="shared" si="126"/>
        <v>5.1045593837078428E-2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5.6843418860808015E-14</v>
      </c>
      <c r="EK144" s="18">
        <f>EJ144*VLOOKUP('Données projet'!$B$15,Paramètres!$A$1:$I$89,3,0)*VLOOKUP('Données projet'!$B$15,Paramètres!$A$1:$I$89,5,0)</f>
        <v>4.4337866711430253E-14</v>
      </c>
      <c r="EL144" s="14">
        <f t="shared" si="153"/>
        <v>7.3222115536967035E-13</v>
      </c>
      <c r="EM144" s="22">
        <f t="shared" si="127"/>
        <v>1.3525069634579169E-12</v>
      </c>
      <c r="EN144" s="62">
        <f t="shared" si="128"/>
        <v>293.33333333333468</v>
      </c>
      <c r="EO144" s="62">
        <f ca="1">AVERAGE(OFFSET($EN$3,0,0,'Données projet'!$E$15+1,1))-AVERAGE(OFFSET($H$3,0,0,'Données projet'!$E$15+1,1))</f>
        <v>288.82868507674738</v>
      </c>
      <c r="EP144" s="62">
        <f t="shared" si="154"/>
        <v>283.48738729114024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>
        <f>EXP(-LN(2)/35)*EV143+(1-EXP(-LN(2)/35))/(LN(2)/35)*ER144*ES144*VLOOKUP('Données projet'!$B$15,Paramètres!$A$1:$I$89,3,0)*0.475*44/12</f>
        <v>0.20128180312418159</v>
      </c>
      <c r="EW144" s="23">
        <f>EXP(-LN(2)/25)*EW143+(1-EXP(-LN(2)/25))/(LN(2)/25)*Calculateur!ER144*Calculateur!ET144*VLOOKUP('Données projet'!$B$15,Paramètres!$A$1:$I$89,3,0)*0.475*44/12</f>
        <v>0</v>
      </c>
      <c r="EX144" s="23">
        <f>EXP(-LN(2)/2)*EX143+(1-EXP(-LN(2)/2))/(LN(2)/2)*ER144*EU144*VLOOKUP('Données projet'!$B$15,Paramètres!$A$1:$I$89,3,0)*0.475*44/12</f>
        <v>0</v>
      </c>
      <c r="EY144" s="24">
        <f t="shared" si="129"/>
        <v>0.20128180312418159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3.4106051316484809E-13</v>
      </c>
      <c r="O145" s="14">
        <f>N145*VLOOKUP('Données projet'!$B$9,Paramètres!$A$1:$I$89,3,0)*VLOOKUP('Données projet'!$B$9,Paramètres!$A$1:$I$89,5,0)</f>
        <v>1.5961632016114892E-13</v>
      </c>
      <c r="P145" s="14">
        <f t="shared" si="141"/>
        <v>2.2708641912150958E-12</v>
      </c>
      <c r="Q145" s="22">
        <f t="shared" si="108"/>
        <v>4.2330868906469593E-12</v>
      </c>
      <c r="R145" s="62">
        <f t="shared" si="109"/>
        <v>293.33333333333752</v>
      </c>
      <c r="S145" s="62">
        <f ca="1">AVERAGE(OFFSET($R$3,0,0,'Données projet'!$E$9+1,1))-AVERAGE(OFFSET($H$3,0,0,'Données projet'!$E$9+1,1))</f>
        <v>317.54276561627643</v>
      </c>
      <c r="T145" s="62">
        <f t="shared" si="142"/>
        <v>238.92443174298893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-1.1368683772161603E-13</v>
      </c>
      <c r="AJ145" s="14">
        <f>AI145*VLOOKUP('Données projet'!$B$10,Paramètres!$A$1:$I$89,3,0)*VLOOKUP('Données projet'!$B$10,Paramètres!$A$1:$I$89,5,0)</f>
        <v>-9.9316821433603781E-14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327.826081588335</v>
      </c>
      <c r="AO145" s="62">
        <f t="shared" si="144"/>
        <v>348.84706693879735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0.66879639058414764</v>
      </c>
      <c r="AV145" s="23">
        <f>EXP(-LN(2)/25)*AV144+(1-EXP(-LN(2)/25))/(LN(2)/25)*Calculateur!AQ145*Calculateur!AS145*VLOOKUP('Données projet'!$B$10,Paramètres!$A$1:$I$89,3,0)*0.475*44/12</f>
        <v>0.61478550850754132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1.283581899091689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>
        <f>BD145*VLOOKUP('Données projet'!$B$11,Paramètres!$A$1:$I$89,3,0)*VLOOKUP('Données projet'!$B$11,Paramètres!$A$1:$I$89,5,0)</f>
        <v>0</v>
      </c>
      <c r="BF145" s="14" t="e">
        <f t="shared" si="145"/>
        <v>#NUM!</v>
      </c>
      <c r="BG145" s="22" t="e">
        <f t="shared" si="115"/>
        <v>#NUM!</v>
      </c>
      <c r="BH145" s="62" t="e">
        <f t="shared" si="116"/>
        <v>#NUM!</v>
      </c>
      <c r="BI145" s="62">
        <f ca="1">AVERAGE(OFFSET($BH$3,0,0,'Données projet'!$E$11+1,1))-AVERAGE(OFFSET($H$3,0,0,'Données projet'!$E$11+1,1))</f>
        <v>487.04124684635974</v>
      </c>
      <c r="BJ145" s="62">
        <f t="shared" si="146"/>
        <v>306.61893266146666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0.29372814451330814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0.29372814451330814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>
        <f>BY145*VLOOKUP('Données projet'!$B$12,Paramètres!$A$1:$I$89,3,0)*VLOOKUP('Données projet'!$B$12,Paramètres!$A$1:$I$89,5,0)</f>
        <v>0</v>
      </c>
      <c r="CA145" s="14" t="e">
        <f t="shared" si="147"/>
        <v>#NUM!</v>
      </c>
      <c r="CB145" s="22" t="e">
        <f t="shared" si="118"/>
        <v>#NUM!</v>
      </c>
      <c r="CC145" s="62" t="e">
        <f t="shared" si="119"/>
        <v>#NUM!</v>
      </c>
      <c r="CD145" s="62">
        <f ca="1">AVERAGE(OFFSET($CC$3,0,0,'Données projet'!$E$12+1,1))-AVERAGE(OFFSET($H$3,0,0,'Données projet'!$E$12+1,1))</f>
        <v>439.06700232017681</v>
      </c>
      <c r="CE145" s="62">
        <f t="shared" si="148"/>
        <v>278.21741231699929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0.26209588279649015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0.26209588279649015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317.99999999999972</v>
      </c>
      <c r="CU145" s="18">
        <f>CT145*VLOOKUP('Données projet'!$B$13,Paramètres!$A$1:$I$89,3,0)*VLOOKUP('Données projet'!$B$13,Paramètres!$A$1:$I$89,5,0)</f>
        <v>233.1575999999998</v>
      </c>
      <c r="CV145" s="14">
        <f t="shared" si="149"/>
        <v>56.964885721091697</v>
      </c>
      <c r="CW145" s="22">
        <f t="shared" si="121"/>
        <v>505.29666263090093</v>
      </c>
      <c r="CX145" s="62">
        <f t="shared" si="122"/>
        <v>798.62999596423424</v>
      </c>
      <c r="CY145" s="62">
        <f ca="1">AVERAGE(OFFSET($CX$3,0,0,'Données projet'!$E$13+1,1))-AVERAGE(OFFSET($H$3,0,0,'Données projet'!$E$13+1,1))</f>
        <v>327.81662150328646</v>
      </c>
      <c r="CZ145" s="62">
        <f t="shared" si="150"/>
        <v>320.24200483294322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0.21778677603736582</v>
      </c>
      <c r="DG145" s="23">
        <f>EXP(-LN(2)/25)*DG144+(1-EXP(-LN(2)/25))/(LN(2)/25)*Calculateur!DB145*Calculateur!DD145*VLOOKUP('Données projet'!$B$13,Paramètres!$A$1:$I$89,3,0)*0.475*44/12</f>
        <v>0</v>
      </c>
      <c r="DH145" s="23">
        <f>EXP(-LN(2)/2)*DH144+(1-EXP(-LN(2)/2))/(LN(2)/2)*DB145*DE145*VLOOKUP('Données projet'!$B$13,Paramètres!$A$1:$I$89,3,0)*0.475*44/12</f>
        <v>0</v>
      </c>
      <c r="DI145" s="24">
        <f t="shared" si="123"/>
        <v>0.21778677603736582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5.6843418860808015E-14</v>
      </c>
      <c r="DP145" s="18">
        <f>DO145*VLOOKUP('Données projet'!$B$14,Paramètres!$A$1:$I$89,3,0)*VLOOKUP('Données projet'!$B$14,Paramètres!$A$1:$I$89,5,0)</f>
        <v>3.7243808037601412E-14</v>
      </c>
      <c r="DQ145" s="14">
        <f t="shared" si="151"/>
        <v>6.2767589361185393E-13</v>
      </c>
      <c r="DR145" s="22">
        <f t="shared" si="124"/>
        <v>1.1580684803728015E-12</v>
      </c>
      <c r="DS145" s="62">
        <f t="shared" si="125"/>
        <v>293.33333333333445</v>
      </c>
      <c r="DT145" s="62">
        <f ca="1">AVERAGE(OFFSET($DS$3,0,0,'Données projet'!$E$14+1,1))-AVERAGE(OFFSET($H$3,0,0,'Données projet'!$E$14+1,1))</f>
        <v>210.08998695869161</v>
      </c>
      <c r="DU145" s="62">
        <f t="shared" si="152"/>
        <v>207.30911916430881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>
        <f>EXP(-LN(2)/35)*EA144+(1-EXP(-LN(2)/35))/(LN(2)/35)*DW145*DX145*VLOOKUP('Données projet'!$B$14,Paramètres!$A$1:$I$89,3,0)*0.475*44/12</f>
        <v>5.0044620876671261E-2</v>
      </c>
      <c r="EB145" s="23">
        <f>EXP(-LN(2)/25)*EB144+(1-EXP(-LN(2)/25))/(LN(2)/25)*Calculateur!DW145*Calculateur!DY145*VLOOKUP('Données projet'!$B$14,Paramètres!$A$1:$I$89,3,0)*0.475*44/12</f>
        <v>0</v>
      </c>
      <c r="EC145" s="23">
        <f>EXP(-LN(2)/2)*EC144+(1-EXP(-LN(2)/2))/(LN(2)/2)*DW145*DZ145*VLOOKUP('Données projet'!$B$14,Paramètres!$A$1:$I$89,3,0)*0.475*44/12</f>
        <v>0</v>
      </c>
      <c r="ED145" s="24">
        <f t="shared" si="126"/>
        <v>5.0044620876671261E-2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5.6843418860808015E-14</v>
      </c>
      <c r="EK145" s="18">
        <f>EJ145*VLOOKUP('Données projet'!$B$15,Paramètres!$A$1:$I$89,3,0)*VLOOKUP('Données projet'!$B$15,Paramètres!$A$1:$I$89,5,0)</f>
        <v>4.4337866711430253E-14</v>
      </c>
      <c r="EL145" s="14">
        <f t="shared" si="153"/>
        <v>7.3222115536967035E-13</v>
      </c>
      <c r="EM145" s="22">
        <f t="shared" si="127"/>
        <v>1.3525069634579169E-12</v>
      </c>
      <c r="EN145" s="62">
        <f t="shared" si="128"/>
        <v>293.33333333333468</v>
      </c>
      <c r="EO145" s="62">
        <f ca="1">AVERAGE(OFFSET($EN$3,0,0,'Données projet'!$E$15+1,1))-AVERAGE(OFFSET($H$3,0,0,'Données projet'!$E$15+1,1))</f>
        <v>288.82868507674738</v>
      </c>
      <c r="EP145" s="62">
        <f t="shared" si="154"/>
        <v>283.48738729114024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>
        <f>EXP(-LN(2)/35)*EV144+(1-EXP(-LN(2)/35))/(LN(2)/35)*ER145*ES145*VLOOKUP('Données projet'!$B$15,Paramètres!$A$1:$I$89,3,0)*0.475*44/12</f>
        <v>0.19733478973469379</v>
      </c>
      <c r="EW145" s="23">
        <f>EXP(-LN(2)/25)*EW144+(1-EXP(-LN(2)/25))/(LN(2)/25)*Calculateur!ER145*Calculateur!ET145*VLOOKUP('Données projet'!$B$15,Paramètres!$A$1:$I$89,3,0)*0.475*44/12</f>
        <v>0</v>
      </c>
      <c r="EX145" s="23">
        <f>EXP(-LN(2)/2)*EX144+(1-EXP(-LN(2)/2))/(LN(2)/2)*ER145*EU145*VLOOKUP('Données projet'!$B$15,Paramètres!$A$1:$I$89,3,0)*0.475*44/12</f>
        <v>0</v>
      </c>
      <c r="EY145" s="24">
        <f t="shared" si="129"/>
        <v>0.19733478973469379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3.4106051316484809E-13</v>
      </c>
      <c r="O146" s="14">
        <f>N146*VLOOKUP('Données projet'!$B$9,Paramètres!$A$1:$I$89,3,0)*VLOOKUP('Données projet'!$B$9,Paramètres!$A$1:$I$89,5,0)</f>
        <v>1.5961632016114892E-13</v>
      </c>
      <c r="P146" s="14">
        <f t="shared" si="141"/>
        <v>2.2708641912150958E-12</v>
      </c>
      <c r="Q146" s="22">
        <f t="shared" si="108"/>
        <v>4.2330868906469593E-12</v>
      </c>
      <c r="R146" s="62">
        <f t="shared" si="109"/>
        <v>293.33333333333752</v>
      </c>
      <c r="S146" s="62">
        <f ca="1">AVERAGE(OFFSET($R$3,0,0,'Données projet'!$E$9+1,1))-AVERAGE(OFFSET($H$3,0,0,'Données projet'!$E$9+1,1))</f>
        <v>317.54276561627643</v>
      </c>
      <c r="T146" s="62">
        <f t="shared" si="142"/>
        <v>238.92443174298893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-1.1368683772161603E-13</v>
      </c>
      <c r="AJ146" s="14">
        <f>AI146*VLOOKUP('Données projet'!$B$10,Paramètres!$A$1:$I$89,3,0)*VLOOKUP('Données projet'!$B$10,Paramètres!$A$1:$I$89,5,0)</f>
        <v>-9.9316821433603781E-14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327.826081588335</v>
      </c>
      <c r="AO146" s="62">
        <f t="shared" si="144"/>
        <v>348.84706693879735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0.65568170129031145</v>
      </c>
      <c r="AV146" s="23">
        <f>EXP(-LN(2)/25)*AV145+(1-EXP(-LN(2)/25))/(LN(2)/25)*Calculateur!AQ146*Calculateur!AS146*VLOOKUP('Données projet'!$B$10,Paramètres!$A$1:$I$89,3,0)*0.475*44/12</f>
        <v>0.59797416644723778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1.2536558677375491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>
        <f>BD146*VLOOKUP('Données projet'!$B$11,Paramètres!$A$1:$I$89,3,0)*VLOOKUP('Données projet'!$B$11,Paramètres!$A$1:$I$89,5,0)</f>
        <v>0</v>
      </c>
      <c r="BF146" s="14" t="e">
        <f t="shared" si="145"/>
        <v>#NUM!</v>
      </c>
      <c r="BG146" s="22" t="e">
        <f t="shared" si="115"/>
        <v>#NUM!</v>
      </c>
      <c r="BH146" s="62" t="e">
        <f t="shared" si="116"/>
        <v>#NUM!</v>
      </c>
      <c r="BI146" s="62">
        <f ca="1">AVERAGE(OFFSET($BH$3,0,0,'Données projet'!$E$11+1,1))-AVERAGE(OFFSET($H$3,0,0,'Données projet'!$E$11+1,1))</f>
        <v>487.04124684635974</v>
      </c>
      <c r="BJ146" s="62">
        <f t="shared" si="146"/>
        <v>306.61893266146666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0.28796831475588008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0.28796831475588008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>
        <f>BY146*VLOOKUP('Données projet'!$B$12,Paramètres!$A$1:$I$89,3,0)*VLOOKUP('Données projet'!$B$12,Paramètres!$A$1:$I$89,5,0)</f>
        <v>0</v>
      </c>
      <c r="CA146" s="14" t="e">
        <f t="shared" si="147"/>
        <v>#NUM!</v>
      </c>
      <c r="CB146" s="22" t="e">
        <f t="shared" si="118"/>
        <v>#NUM!</v>
      </c>
      <c r="CC146" s="62" t="e">
        <f t="shared" si="119"/>
        <v>#NUM!</v>
      </c>
      <c r="CD146" s="62">
        <f ca="1">AVERAGE(OFFSET($CC$3,0,0,'Données projet'!$E$12+1,1))-AVERAGE(OFFSET($H$3,0,0,'Données projet'!$E$12+1,1))</f>
        <v>439.06700232017681</v>
      </c>
      <c r="CE146" s="62">
        <f t="shared" si="148"/>
        <v>278.21741231699929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0.25695634239755438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0.25695634239755438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317.99999999999972</v>
      </c>
      <c r="CU146" s="18">
        <f>CT146*VLOOKUP('Données projet'!$B$13,Paramètres!$A$1:$I$89,3,0)*VLOOKUP('Données projet'!$B$13,Paramètres!$A$1:$I$89,5,0)</f>
        <v>233.1575999999998</v>
      </c>
      <c r="CV146" s="14">
        <f t="shared" si="149"/>
        <v>56.964885721091697</v>
      </c>
      <c r="CW146" s="22">
        <f t="shared" si="121"/>
        <v>505.29666263090093</v>
      </c>
      <c r="CX146" s="62">
        <f t="shared" si="122"/>
        <v>798.62999596423424</v>
      </c>
      <c r="CY146" s="62">
        <f ca="1">AVERAGE(OFFSET($CX$3,0,0,'Données projet'!$E$13+1,1))-AVERAGE(OFFSET($H$3,0,0,'Données projet'!$E$13+1,1))</f>
        <v>327.81662150328646</v>
      </c>
      <c r="CZ146" s="62">
        <f t="shared" si="150"/>
        <v>320.24200483294322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0.2135161101960899</v>
      </c>
      <c r="DG146" s="23">
        <f>EXP(-LN(2)/25)*DG145+(1-EXP(-LN(2)/25))/(LN(2)/25)*Calculateur!DB146*Calculateur!DD146*VLOOKUP('Données projet'!$B$13,Paramètres!$A$1:$I$89,3,0)*0.475*44/12</f>
        <v>0</v>
      </c>
      <c r="DH146" s="23">
        <f>EXP(-LN(2)/2)*DH145+(1-EXP(-LN(2)/2))/(LN(2)/2)*DB146*DE146*VLOOKUP('Données projet'!$B$13,Paramètres!$A$1:$I$89,3,0)*0.475*44/12</f>
        <v>0</v>
      </c>
      <c r="DI146" s="24">
        <f t="shared" si="123"/>
        <v>0.2135161101960899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5.6843418860808015E-14</v>
      </c>
      <c r="DP146" s="18">
        <f>DO146*VLOOKUP('Données projet'!$B$14,Paramètres!$A$1:$I$89,3,0)*VLOOKUP('Données projet'!$B$14,Paramètres!$A$1:$I$89,5,0)</f>
        <v>3.7243808037601412E-14</v>
      </c>
      <c r="DQ146" s="14">
        <f t="shared" si="151"/>
        <v>6.2767589361185393E-13</v>
      </c>
      <c r="DR146" s="22">
        <f t="shared" si="124"/>
        <v>1.1580684803728015E-12</v>
      </c>
      <c r="DS146" s="62">
        <f t="shared" si="125"/>
        <v>293.33333333333445</v>
      </c>
      <c r="DT146" s="62">
        <f ca="1">AVERAGE(OFFSET($DS$3,0,0,'Données projet'!$E$14+1,1))-AVERAGE(OFFSET($H$3,0,0,'Données projet'!$E$14+1,1))</f>
        <v>210.08998695869161</v>
      </c>
      <c r="DU146" s="62">
        <f t="shared" si="152"/>
        <v>207.30911916430881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>
        <f>EXP(-LN(2)/35)*EA145+(1-EXP(-LN(2)/35))/(LN(2)/35)*DW146*DX146*VLOOKUP('Données projet'!$B$14,Paramètres!$A$1:$I$89,3,0)*0.475*44/12</f>
        <v>4.906327638548446E-2</v>
      </c>
      <c r="EB146" s="23">
        <f>EXP(-LN(2)/25)*EB145+(1-EXP(-LN(2)/25))/(LN(2)/25)*Calculateur!DW146*Calculateur!DY146*VLOOKUP('Données projet'!$B$14,Paramètres!$A$1:$I$89,3,0)*0.475*44/12</f>
        <v>0</v>
      </c>
      <c r="EC146" s="23">
        <f>EXP(-LN(2)/2)*EC145+(1-EXP(-LN(2)/2))/(LN(2)/2)*DW146*DZ146*VLOOKUP('Données projet'!$B$14,Paramètres!$A$1:$I$89,3,0)*0.475*44/12</f>
        <v>0</v>
      </c>
      <c r="ED146" s="24">
        <f t="shared" si="126"/>
        <v>4.906327638548446E-2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5.6843418860808015E-14</v>
      </c>
      <c r="EK146" s="18">
        <f>EJ146*VLOOKUP('Données projet'!$B$15,Paramètres!$A$1:$I$89,3,0)*VLOOKUP('Données projet'!$B$15,Paramètres!$A$1:$I$89,5,0)</f>
        <v>4.4337866711430253E-14</v>
      </c>
      <c r="EL146" s="14">
        <f t="shared" si="153"/>
        <v>7.3222115536967035E-13</v>
      </c>
      <c r="EM146" s="22">
        <f t="shared" si="127"/>
        <v>1.3525069634579169E-12</v>
      </c>
      <c r="EN146" s="62">
        <f t="shared" si="128"/>
        <v>293.33333333333468</v>
      </c>
      <c r="EO146" s="62">
        <f ca="1">AVERAGE(OFFSET($EN$3,0,0,'Données projet'!$E$15+1,1))-AVERAGE(OFFSET($H$3,0,0,'Données projet'!$E$15+1,1))</f>
        <v>288.82868507674738</v>
      </c>
      <c r="EP146" s="62">
        <f t="shared" si="154"/>
        <v>283.48738729114024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>
        <f>EXP(-LN(2)/35)*EV145+(1-EXP(-LN(2)/35))/(LN(2)/35)*ER146*ES146*VLOOKUP('Données projet'!$B$15,Paramètres!$A$1:$I$89,3,0)*0.475*44/12</f>
        <v>0.19346517487033338</v>
      </c>
      <c r="EW146" s="23">
        <f>EXP(-LN(2)/25)*EW145+(1-EXP(-LN(2)/25))/(LN(2)/25)*Calculateur!ER146*Calculateur!ET146*VLOOKUP('Données projet'!$B$15,Paramètres!$A$1:$I$89,3,0)*0.475*44/12</f>
        <v>0</v>
      </c>
      <c r="EX146" s="23">
        <f>EXP(-LN(2)/2)*EX145+(1-EXP(-LN(2)/2))/(LN(2)/2)*ER146*EU146*VLOOKUP('Données projet'!$B$15,Paramètres!$A$1:$I$89,3,0)*0.475*44/12</f>
        <v>0</v>
      </c>
      <c r="EY146" s="24">
        <f t="shared" si="129"/>
        <v>0.19346517487033338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3.4106051316484809E-13</v>
      </c>
      <c r="O147" s="14">
        <f>N147*VLOOKUP('Données projet'!$B$9,Paramètres!$A$1:$I$89,3,0)*VLOOKUP('Données projet'!$B$9,Paramètres!$A$1:$I$89,5,0)</f>
        <v>1.5961632016114892E-13</v>
      </c>
      <c r="P147" s="14">
        <f t="shared" si="141"/>
        <v>2.2708641912150958E-12</v>
      </c>
      <c r="Q147" s="22">
        <f t="shared" si="108"/>
        <v>4.2330868906469593E-12</v>
      </c>
      <c r="R147" s="62">
        <f t="shared" si="109"/>
        <v>293.33333333333752</v>
      </c>
      <c r="S147" s="62">
        <f ca="1">AVERAGE(OFFSET($R$3,0,0,'Données projet'!$E$9+1,1))-AVERAGE(OFFSET($H$3,0,0,'Données projet'!$E$9+1,1))</f>
        <v>317.54276561627643</v>
      </c>
      <c r="T147" s="62">
        <f t="shared" si="142"/>
        <v>238.92443174298893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-1.1368683772161603E-13</v>
      </c>
      <c r="AJ147" s="14">
        <f>AI147*VLOOKUP('Données projet'!$B$10,Paramètres!$A$1:$I$89,3,0)*VLOOKUP('Données projet'!$B$10,Paramètres!$A$1:$I$89,5,0)</f>
        <v>-9.9316821433603781E-14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327.826081588335</v>
      </c>
      <c r="AO147" s="62">
        <f t="shared" si="144"/>
        <v>348.84706693879735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0.64282418305435673</v>
      </c>
      <c r="AV147" s="23">
        <f>EXP(-LN(2)/25)*AV146+(1-EXP(-LN(2)/25))/(LN(2)/25)*Calculateur!AQ147*Calculateur!AS147*VLOOKUP('Données projet'!$B$10,Paramètres!$A$1:$I$89,3,0)*0.475*44/12</f>
        <v>0.58162253141964337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1.2244467144740001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>
        <f>BD147*VLOOKUP('Données projet'!$B$11,Paramètres!$A$1:$I$89,3,0)*VLOOKUP('Données projet'!$B$11,Paramètres!$A$1:$I$89,5,0)</f>
        <v>0</v>
      </c>
      <c r="BF147" s="14" t="e">
        <f t="shared" si="145"/>
        <v>#NUM!</v>
      </c>
      <c r="BG147" s="22" t="e">
        <f t="shared" si="115"/>
        <v>#NUM!</v>
      </c>
      <c r="BH147" s="62" t="e">
        <f t="shared" si="116"/>
        <v>#NUM!</v>
      </c>
      <c r="BI147" s="62">
        <f ca="1">AVERAGE(OFFSET($BH$3,0,0,'Données projet'!$E$11+1,1))-AVERAGE(OFFSET($H$3,0,0,'Données projet'!$E$11+1,1))</f>
        <v>487.04124684635974</v>
      </c>
      <c r="BJ147" s="62">
        <f t="shared" si="146"/>
        <v>306.61893266146666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0.28232143174684593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0.28232143174684593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>
        <f>BY147*VLOOKUP('Données projet'!$B$12,Paramètres!$A$1:$I$89,3,0)*VLOOKUP('Données projet'!$B$12,Paramètres!$A$1:$I$89,5,0)</f>
        <v>0</v>
      </c>
      <c r="CA147" s="14" t="e">
        <f t="shared" si="147"/>
        <v>#NUM!</v>
      </c>
      <c r="CB147" s="22" t="e">
        <f t="shared" si="118"/>
        <v>#NUM!</v>
      </c>
      <c r="CC147" s="62" t="e">
        <f t="shared" si="119"/>
        <v>#NUM!</v>
      </c>
      <c r="CD147" s="62">
        <f ca="1">AVERAGE(OFFSET($CC$3,0,0,'Données projet'!$E$12+1,1))-AVERAGE(OFFSET($H$3,0,0,'Données projet'!$E$12+1,1))</f>
        <v>439.06700232017681</v>
      </c>
      <c r="CE147" s="62">
        <f t="shared" si="148"/>
        <v>278.21741231699929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0.25191758525103158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0.25191758525103158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317.99999999999972</v>
      </c>
      <c r="CU147" s="18">
        <f>CT147*VLOOKUP('Données projet'!$B$13,Paramètres!$A$1:$I$89,3,0)*VLOOKUP('Données projet'!$B$13,Paramètres!$A$1:$I$89,5,0)</f>
        <v>233.1575999999998</v>
      </c>
      <c r="CV147" s="14">
        <f t="shared" si="149"/>
        <v>56.964885721091697</v>
      </c>
      <c r="CW147" s="22">
        <f t="shared" si="121"/>
        <v>505.29666263090093</v>
      </c>
      <c r="CX147" s="62">
        <f t="shared" si="122"/>
        <v>798.62999596423424</v>
      </c>
      <c r="CY147" s="62">
        <f ca="1">AVERAGE(OFFSET($CX$3,0,0,'Données projet'!$E$13+1,1))-AVERAGE(OFFSET($H$3,0,0,'Données projet'!$E$13+1,1))</f>
        <v>327.81662150328646</v>
      </c>
      <c r="CZ147" s="62">
        <f t="shared" si="150"/>
        <v>320.24200483294322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0.20932918950711246</v>
      </c>
      <c r="DG147" s="23">
        <f>EXP(-LN(2)/25)*DG146+(1-EXP(-LN(2)/25))/(LN(2)/25)*Calculateur!DB147*Calculateur!DD147*VLOOKUP('Données projet'!$B$13,Paramètres!$A$1:$I$89,3,0)*0.475*44/12</f>
        <v>0</v>
      </c>
      <c r="DH147" s="23">
        <f>EXP(-LN(2)/2)*DH146+(1-EXP(-LN(2)/2))/(LN(2)/2)*DB147*DE147*VLOOKUP('Données projet'!$B$13,Paramètres!$A$1:$I$89,3,0)*0.475*44/12</f>
        <v>0</v>
      </c>
      <c r="DI147" s="24">
        <f t="shared" si="123"/>
        <v>0.20932918950711246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5.6843418860808015E-14</v>
      </c>
      <c r="DP147" s="18">
        <f>DO147*VLOOKUP('Données projet'!$B$14,Paramètres!$A$1:$I$89,3,0)*VLOOKUP('Données projet'!$B$14,Paramètres!$A$1:$I$89,5,0)</f>
        <v>3.7243808037601412E-14</v>
      </c>
      <c r="DQ147" s="14">
        <f t="shared" si="151"/>
        <v>6.2767589361185393E-13</v>
      </c>
      <c r="DR147" s="22">
        <f t="shared" si="124"/>
        <v>1.1580684803728015E-12</v>
      </c>
      <c r="DS147" s="62">
        <f t="shared" si="125"/>
        <v>293.33333333333445</v>
      </c>
      <c r="DT147" s="62">
        <f ca="1">AVERAGE(OFFSET($DS$3,0,0,'Données projet'!$E$14+1,1))-AVERAGE(OFFSET($H$3,0,0,'Données projet'!$E$14+1,1))</f>
        <v>210.08998695869161</v>
      </c>
      <c r="DU147" s="62">
        <f t="shared" si="152"/>
        <v>207.30911916430881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>
        <f>EXP(-LN(2)/35)*EA146+(1-EXP(-LN(2)/35))/(LN(2)/35)*DW147*DX147*VLOOKUP('Données projet'!$B$14,Paramètres!$A$1:$I$89,3,0)*0.475*44/12</f>
        <v>4.8101175461208789E-2</v>
      </c>
      <c r="EB147" s="23">
        <f>EXP(-LN(2)/25)*EB146+(1-EXP(-LN(2)/25))/(LN(2)/25)*Calculateur!DW147*Calculateur!DY147*VLOOKUP('Données projet'!$B$14,Paramètres!$A$1:$I$89,3,0)*0.475*44/12</f>
        <v>0</v>
      </c>
      <c r="EC147" s="23">
        <f>EXP(-LN(2)/2)*EC146+(1-EXP(-LN(2)/2))/(LN(2)/2)*DW147*DZ147*VLOOKUP('Données projet'!$B$14,Paramètres!$A$1:$I$89,3,0)*0.475*44/12</f>
        <v>0</v>
      </c>
      <c r="ED147" s="24">
        <f t="shared" si="126"/>
        <v>4.8101175461208789E-2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5.6843418860808015E-14</v>
      </c>
      <c r="EK147" s="18">
        <f>EJ147*VLOOKUP('Données projet'!$B$15,Paramètres!$A$1:$I$89,3,0)*VLOOKUP('Données projet'!$B$15,Paramètres!$A$1:$I$89,5,0)</f>
        <v>4.4337866711430253E-14</v>
      </c>
      <c r="EL147" s="14">
        <f t="shared" si="153"/>
        <v>7.3222115536967035E-13</v>
      </c>
      <c r="EM147" s="22">
        <f t="shared" si="127"/>
        <v>1.3525069634579169E-12</v>
      </c>
      <c r="EN147" s="62">
        <f t="shared" si="128"/>
        <v>293.33333333333468</v>
      </c>
      <c r="EO147" s="62">
        <f ca="1">AVERAGE(OFFSET($EN$3,0,0,'Données projet'!$E$15+1,1))-AVERAGE(OFFSET($H$3,0,0,'Données projet'!$E$15+1,1))</f>
        <v>288.82868507674738</v>
      </c>
      <c r="EP147" s="62">
        <f t="shared" si="154"/>
        <v>283.48738729114024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>
        <f>EXP(-LN(2)/35)*EV146+(1-EXP(-LN(2)/35))/(LN(2)/35)*ER147*ES147*VLOOKUP('Données projet'!$B$15,Paramètres!$A$1:$I$89,3,0)*0.475*44/12</f>
        <v>0.18967144079323106</v>
      </c>
      <c r="EW147" s="23">
        <f>EXP(-LN(2)/25)*EW146+(1-EXP(-LN(2)/25))/(LN(2)/25)*Calculateur!ER147*Calculateur!ET147*VLOOKUP('Données projet'!$B$15,Paramètres!$A$1:$I$89,3,0)*0.475*44/12</f>
        <v>0</v>
      </c>
      <c r="EX147" s="23">
        <f>EXP(-LN(2)/2)*EX146+(1-EXP(-LN(2)/2))/(LN(2)/2)*ER147*EU147*VLOOKUP('Données projet'!$B$15,Paramètres!$A$1:$I$89,3,0)*0.475*44/12</f>
        <v>0</v>
      </c>
      <c r="EY147" s="24">
        <f t="shared" si="129"/>
        <v>0.18967144079323106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3.4106051316484809E-13</v>
      </c>
      <c r="O148" s="14">
        <f>N148*VLOOKUP('Données projet'!$B$9,Paramètres!$A$1:$I$89,3,0)*VLOOKUP('Données projet'!$B$9,Paramètres!$A$1:$I$89,5,0)</f>
        <v>1.5961632016114892E-13</v>
      </c>
      <c r="P148" s="14">
        <f t="shared" si="141"/>
        <v>2.2708641912150958E-12</v>
      </c>
      <c r="Q148" s="22">
        <f t="shared" si="108"/>
        <v>4.2330868906469593E-12</v>
      </c>
      <c r="R148" s="62">
        <f t="shared" si="109"/>
        <v>293.33333333333752</v>
      </c>
      <c r="S148" s="62">
        <f ca="1">AVERAGE(OFFSET($R$3,0,0,'Données projet'!$E$9+1,1))-AVERAGE(OFFSET($H$3,0,0,'Données projet'!$E$9+1,1))</f>
        <v>317.54276561627643</v>
      </c>
      <c r="T148" s="62">
        <f t="shared" si="142"/>
        <v>238.92443174298893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-1.1368683772161603E-13</v>
      </c>
      <c r="AJ148" s="14">
        <f>AI148*VLOOKUP('Données projet'!$B$10,Paramètres!$A$1:$I$89,3,0)*VLOOKUP('Données projet'!$B$10,Paramètres!$A$1:$I$89,5,0)</f>
        <v>-9.9316821433603781E-14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327.826081588335</v>
      </c>
      <c r="AO148" s="62">
        <f t="shared" si="144"/>
        <v>348.84706693879735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0.63021879290869742</v>
      </c>
      <c r="AV148" s="23">
        <f>EXP(-LN(2)/25)*AV147+(1-EXP(-LN(2)/25))/(LN(2)/25)*Calculateur!AQ148*Calculateur!AS148*VLOOKUP('Données projet'!$B$10,Paramètres!$A$1:$I$89,3,0)*0.475*44/12</f>
        <v>0.56571803271177357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1.195936825620471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>
        <f>BD148*VLOOKUP('Données projet'!$B$11,Paramètres!$A$1:$I$89,3,0)*VLOOKUP('Données projet'!$B$11,Paramètres!$A$1:$I$89,5,0)</f>
        <v>0</v>
      </c>
      <c r="BF148" s="14" t="e">
        <f t="shared" si="145"/>
        <v>#NUM!</v>
      </c>
      <c r="BG148" s="22" t="e">
        <f t="shared" si="115"/>
        <v>#NUM!</v>
      </c>
      <c r="BH148" s="62" t="e">
        <f t="shared" si="116"/>
        <v>#NUM!</v>
      </c>
      <c r="BI148" s="62">
        <f ca="1">AVERAGE(OFFSET($BH$3,0,0,'Données projet'!$E$11+1,1))-AVERAGE(OFFSET($H$3,0,0,'Données projet'!$E$11+1,1))</f>
        <v>487.04124684635974</v>
      </c>
      <c r="BJ148" s="62">
        <f t="shared" si="146"/>
        <v>306.61893266146666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0.27678528066936042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0.27678528066936042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>
        <f>BY148*VLOOKUP('Données projet'!$B$12,Paramètres!$A$1:$I$89,3,0)*VLOOKUP('Données projet'!$B$12,Paramètres!$A$1:$I$89,5,0)</f>
        <v>0</v>
      </c>
      <c r="CA148" s="14" t="e">
        <f t="shared" si="147"/>
        <v>#NUM!</v>
      </c>
      <c r="CB148" s="22" t="e">
        <f t="shared" si="118"/>
        <v>#NUM!</v>
      </c>
      <c r="CC148" s="62" t="e">
        <f t="shared" si="119"/>
        <v>#NUM!</v>
      </c>
      <c r="CD148" s="62">
        <f ca="1">AVERAGE(OFFSET($CC$3,0,0,'Données projet'!$E$12+1,1))-AVERAGE(OFFSET($H$3,0,0,'Données projet'!$E$12+1,1))</f>
        <v>439.06700232017681</v>
      </c>
      <c r="CE148" s="62">
        <f t="shared" si="148"/>
        <v>278.21741231699929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0.24697763505881373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0.24697763505881373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317.99999999999972</v>
      </c>
      <c r="CU148" s="18">
        <f>CT148*VLOOKUP('Données projet'!$B$13,Paramètres!$A$1:$I$89,3,0)*VLOOKUP('Données projet'!$B$13,Paramètres!$A$1:$I$89,5,0)</f>
        <v>233.1575999999998</v>
      </c>
      <c r="CV148" s="14">
        <f t="shared" si="149"/>
        <v>56.964885721091697</v>
      </c>
      <c r="CW148" s="22">
        <f t="shared" si="121"/>
        <v>505.29666263090093</v>
      </c>
      <c r="CX148" s="62">
        <f t="shared" si="122"/>
        <v>798.62999596423424</v>
      </c>
      <c r="CY148" s="62">
        <f ca="1">AVERAGE(OFFSET($CX$3,0,0,'Données projet'!$E$13+1,1))-AVERAGE(OFFSET($H$3,0,0,'Données projet'!$E$13+1,1))</f>
        <v>327.81662150328646</v>
      </c>
      <c r="CZ148" s="62">
        <f t="shared" si="150"/>
        <v>320.24200483294322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0.2052243717790764</v>
      </c>
      <c r="DG148" s="23">
        <f>EXP(-LN(2)/25)*DG147+(1-EXP(-LN(2)/25))/(LN(2)/25)*Calculateur!DB148*Calculateur!DD148*VLOOKUP('Données projet'!$B$13,Paramètres!$A$1:$I$89,3,0)*0.475*44/12</f>
        <v>0</v>
      </c>
      <c r="DH148" s="23">
        <f>EXP(-LN(2)/2)*DH147+(1-EXP(-LN(2)/2))/(LN(2)/2)*DB148*DE148*VLOOKUP('Données projet'!$B$13,Paramètres!$A$1:$I$89,3,0)*0.475*44/12</f>
        <v>0</v>
      </c>
      <c r="DI148" s="24">
        <f t="shared" si="123"/>
        <v>0.2052243717790764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5.6843418860808015E-14</v>
      </c>
      <c r="DP148" s="18">
        <f>DO148*VLOOKUP('Données projet'!$B$14,Paramètres!$A$1:$I$89,3,0)*VLOOKUP('Données projet'!$B$14,Paramètres!$A$1:$I$89,5,0)</f>
        <v>3.7243808037601412E-14</v>
      </c>
      <c r="DQ148" s="14">
        <f t="shared" si="151"/>
        <v>6.2767589361185393E-13</v>
      </c>
      <c r="DR148" s="22">
        <f t="shared" si="124"/>
        <v>1.1580684803728015E-12</v>
      </c>
      <c r="DS148" s="62">
        <f t="shared" si="125"/>
        <v>293.33333333333445</v>
      </c>
      <c r="DT148" s="62">
        <f ca="1">AVERAGE(OFFSET($DS$3,0,0,'Données projet'!$E$14+1,1))-AVERAGE(OFFSET($H$3,0,0,'Données projet'!$E$14+1,1))</f>
        <v>210.08998695869161</v>
      </c>
      <c r="DU148" s="62">
        <f t="shared" si="152"/>
        <v>207.30911916430881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>
        <f>EXP(-LN(2)/35)*EA147+(1-EXP(-LN(2)/35))/(LN(2)/35)*DW148*DX148*VLOOKUP('Données projet'!$B$14,Paramètres!$A$1:$I$89,3,0)*0.475*44/12</f>
        <v>4.7157940749234552E-2</v>
      </c>
      <c r="EB148" s="23">
        <f>EXP(-LN(2)/25)*EB147+(1-EXP(-LN(2)/25))/(LN(2)/25)*Calculateur!DW148*Calculateur!DY148*VLOOKUP('Données projet'!$B$14,Paramètres!$A$1:$I$89,3,0)*0.475*44/12</f>
        <v>0</v>
      </c>
      <c r="EC148" s="23">
        <f>EXP(-LN(2)/2)*EC147+(1-EXP(-LN(2)/2))/(LN(2)/2)*DW148*DZ148*VLOOKUP('Données projet'!$B$14,Paramètres!$A$1:$I$89,3,0)*0.475*44/12</f>
        <v>0</v>
      </c>
      <c r="ED148" s="24">
        <f t="shared" si="126"/>
        <v>4.7157940749234552E-2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5.6843418860808015E-14</v>
      </c>
      <c r="EK148" s="18">
        <f>EJ148*VLOOKUP('Données projet'!$B$15,Paramètres!$A$1:$I$89,3,0)*VLOOKUP('Données projet'!$B$15,Paramètres!$A$1:$I$89,5,0)</f>
        <v>4.4337866711430253E-14</v>
      </c>
      <c r="EL148" s="14">
        <f t="shared" si="153"/>
        <v>7.3222115536967035E-13</v>
      </c>
      <c r="EM148" s="22">
        <f t="shared" si="127"/>
        <v>1.3525069634579169E-12</v>
      </c>
      <c r="EN148" s="62">
        <f t="shared" si="128"/>
        <v>293.33333333333468</v>
      </c>
      <c r="EO148" s="62">
        <f ca="1">AVERAGE(OFFSET($EN$3,0,0,'Données projet'!$E$15+1,1))-AVERAGE(OFFSET($H$3,0,0,'Données projet'!$E$15+1,1))</f>
        <v>288.82868507674738</v>
      </c>
      <c r="EP148" s="62">
        <f t="shared" si="154"/>
        <v>283.48738729114024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>
        <f>EXP(-LN(2)/35)*EV147+(1-EXP(-LN(2)/35))/(LN(2)/35)*ER148*ES148*VLOOKUP('Données projet'!$B$15,Paramètres!$A$1:$I$89,3,0)*0.475*44/12</f>
        <v>0.18595209952743141</v>
      </c>
      <c r="EW148" s="23">
        <f>EXP(-LN(2)/25)*EW147+(1-EXP(-LN(2)/25))/(LN(2)/25)*Calculateur!ER148*Calculateur!ET148*VLOOKUP('Données projet'!$B$15,Paramètres!$A$1:$I$89,3,0)*0.475*44/12</f>
        <v>0</v>
      </c>
      <c r="EX148" s="23">
        <f>EXP(-LN(2)/2)*EX147+(1-EXP(-LN(2)/2))/(LN(2)/2)*ER148*EU148*VLOOKUP('Données projet'!$B$15,Paramètres!$A$1:$I$89,3,0)*0.475*44/12</f>
        <v>0</v>
      </c>
      <c r="EY148" s="24">
        <f t="shared" si="129"/>
        <v>0.18595209952743141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3.4106051316484809E-13</v>
      </c>
      <c r="O149" s="14">
        <f>N149*VLOOKUP('Données projet'!$B$9,Paramètres!$A$1:$I$89,3,0)*VLOOKUP('Données projet'!$B$9,Paramètres!$A$1:$I$89,5,0)</f>
        <v>1.5961632016114892E-13</v>
      </c>
      <c r="P149" s="14">
        <f t="shared" si="141"/>
        <v>2.2708641912150958E-12</v>
      </c>
      <c r="Q149" s="22">
        <f t="shared" si="108"/>
        <v>4.2330868906469593E-12</v>
      </c>
      <c r="R149" s="62">
        <f t="shared" si="109"/>
        <v>293.33333333333752</v>
      </c>
      <c r="S149" s="62">
        <f ca="1">AVERAGE(OFFSET($R$3,0,0,'Données projet'!$E$9+1,1))-AVERAGE(OFFSET($H$3,0,0,'Données projet'!$E$9+1,1))</f>
        <v>317.54276561627643</v>
      </c>
      <c r="T149" s="62">
        <f t="shared" si="142"/>
        <v>238.92443174298893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-1.1368683772161603E-13</v>
      </c>
      <c r="AJ149" s="14">
        <f>AI149*VLOOKUP('Données projet'!$B$10,Paramètres!$A$1:$I$89,3,0)*VLOOKUP('Données projet'!$B$10,Paramètres!$A$1:$I$89,5,0)</f>
        <v>-9.9316821433603781E-14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327.826081588335</v>
      </c>
      <c r="AO149" s="62">
        <f t="shared" si="144"/>
        <v>348.84706693879735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0.61786058677526567</v>
      </c>
      <c r="AV149" s="23">
        <f>EXP(-LN(2)/25)*AV148+(1-EXP(-LN(2)/25))/(LN(2)/25)*Calculateur!AQ149*Calculateur!AS149*VLOOKUP('Données projet'!$B$10,Paramètres!$A$1:$I$89,3,0)*0.475*44/12</f>
        <v>0.55024844335745171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1.1681090301327175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>
        <f>BD149*VLOOKUP('Données projet'!$B$11,Paramètres!$A$1:$I$89,3,0)*VLOOKUP('Données projet'!$B$11,Paramètres!$A$1:$I$89,5,0)</f>
        <v>0</v>
      </c>
      <c r="BF149" s="14" t="e">
        <f t="shared" si="145"/>
        <v>#NUM!</v>
      </c>
      <c r="BG149" s="22" t="e">
        <f t="shared" si="115"/>
        <v>#NUM!</v>
      </c>
      <c r="BH149" s="62" t="e">
        <f t="shared" si="116"/>
        <v>#NUM!</v>
      </c>
      <c r="BI149" s="62">
        <f ca="1">AVERAGE(OFFSET($BH$3,0,0,'Données projet'!$E$11+1,1))-AVERAGE(OFFSET($H$3,0,0,'Données projet'!$E$11+1,1))</f>
        <v>487.04124684635974</v>
      </c>
      <c r="BJ149" s="62">
        <f t="shared" si="146"/>
        <v>306.61893266146666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0.27135769013778566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0.27135769013778566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>
        <f>BY149*VLOOKUP('Données projet'!$B$12,Paramètres!$A$1:$I$89,3,0)*VLOOKUP('Données projet'!$B$12,Paramètres!$A$1:$I$89,5,0)</f>
        <v>0</v>
      </c>
      <c r="CA149" s="14" t="e">
        <f t="shared" si="147"/>
        <v>#NUM!</v>
      </c>
      <c r="CB149" s="22" t="e">
        <f t="shared" si="118"/>
        <v>#NUM!</v>
      </c>
      <c r="CC149" s="62" t="e">
        <f t="shared" si="119"/>
        <v>#NUM!</v>
      </c>
      <c r="CD149" s="62">
        <f ca="1">AVERAGE(OFFSET($CC$3,0,0,'Données projet'!$E$12+1,1))-AVERAGE(OFFSET($H$3,0,0,'Données projet'!$E$12+1,1))</f>
        <v>439.06700232017681</v>
      </c>
      <c r="CE149" s="62">
        <f t="shared" si="148"/>
        <v>278.21741231699929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0.24213455427679317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0.24213455427679317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317.99999999999972</v>
      </c>
      <c r="CU149" s="18">
        <f>CT149*VLOOKUP('Données projet'!$B$13,Paramètres!$A$1:$I$89,3,0)*VLOOKUP('Données projet'!$B$13,Paramètres!$A$1:$I$89,5,0)</f>
        <v>233.1575999999998</v>
      </c>
      <c r="CV149" s="14">
        <f t="shared" si="149"/>
        <v>56.964885721091697</v>
      </c>
      <c r="CW149" s="22">
        <f t="shared" si="121"/>
        <v>505.29666263090093</v>
      </c>
      <c r="CX149" s="62">
        <f t="shared" si="122"/>
        <v>798.62999596423424</v>
      </c>
      <c r="CY149" s="62">
        <f ca="1">AVERAGE(OFFSET($CX$3,0,0,'Données projet'!$E$13+1,1))-AVERAGE(OFFSET($H$3,0,0,'Données projet'!$E$13+1,1))</f>
        <v>327.81662150328646</v>
      </c>
      <c r="CZ149" s="62">
        <f t="shared" si="150"/>
        <v>320.24200483294322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0.20120004702299554</v>
      </c>
      <c r="DG149" s="23">
        <f>EXP(-LN(2)/25)*DG148+(1-EXP(-LN(2)/25))/(LN(2)/25)*Calculateur!DB149*Calculateur!DD149*VLOOKUP('Données projet'!$B$13,Paramètres!$A$1:$I$89,3,0)*0.475*44/12</f>
        <v>0</v>
      </c>
      <c r="DH149" s="23">
        <f>EXP(-LN(2)/2)*DH148+(1-EXP(-LN(2)/2))/(LN(2)/2)*DB149*DE149*VLOOKUP('Données projet'!$B$13,Paramètres!$A$1:$I$89,3,0)*0.475*44/12</f>
        <v>0</v>
      </c>
      <c r="DI149" s="24">
        <f t="shared" si="123"/>
        <v>0.20120004702299554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5.6843418860808015E-14</v>
      </c>
      <c r="DP149" s="18">
        <f>DO149*VLOOKUP('Données projet'!$B$14,Paramètres!$A$1:$I$89,3,0)*VLOOKUP('Données projet'!$B$14,Paramètres!$A$1:$I$89,5,0)</f>
        <v>3.7243808037601412E-14</v>
      </c>
      <c r="DQ149" s="14">
        <f t="shared" si="151"/>
        <v>6.2767589361185393E-13</v>
      </c>
      <c r="DR149" s="22">
        <f t="shared" si="124"/>
        <v>1.1580684803728015E-12</v>
      </c>
      <c r="DS149" s="62">
        <f t="shared" si="125"/>
        <v>293.33333333333445</v>
      </c>
      <c r="DT149" s="62">
        <f ca="1">AVERAGE(OFFSET($DS$3,0,0,'Données projet'!$E$14+1,1))-AVERAGE(OFFSET($H$3,0,0,'Données projet'!$E$14+1,1))</f>
        <v>210.08998695869161</v>
      </c>
      <c r="DU149" s="62">
        <f t="shared" si="152"/>
        <v>207.30911916430881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>
        <f>EXP(-LN(2)/35)*EA148+(1-EXP(-LN(2)/35))/(LN(2)/35)*DW149*DX149*VLOOKUP('Données projet'!$B$14,Paramètres!$A$1:$I$89,3,0)*0.475*44/12</f>
        <v>4.623320229464576E-2</v>
      </c>
      <c r="EB149" s="23">
        <f>EXP(-LN(2)/25)*EB148+(1-EXP(-LN(2)/25))/(LN(2)/25)*Calculateur!DW149*Calculateur!DY149*VLOOKUP('Données projet'!$B$14,Paramètres!$A$1:$I$89,3,0)*0.475*44/12</f>
        <v>0</v>
      </c>
      <c r="EC149" s="23">
        <f>EXP(-LN(2)/2)*EC148+(1-EXP(-LN(2)/2))/(LN(2)/2)*DW149*DZ149*VLOOKUP('Données projet'!$B$14,Paramètres!$A$1:$I$89,3,0)*0.475*44/12</f>
        <v>0</v>
      </c>
      <c r="ED149" s="24">
        <f t="shared" si="126"/>
        <v>4.623320229464576E-2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5.6843418860808015E-14</v>
      </c>
      <c r="EK149" s="18">
        <f>EJ149*VLOOKUP('Données projet'!$B$15,Paramètres!$A$1:$I$89,3,0)*VLOOKUP('Données projet'!$B$15,Paramètres!$A$1:$I$89,5,0)</f>
        <v>4.4337866711430253E-14</v>
      </c>
      <c r="EL149" s="14">
        <f t="shared" si="153"/>
        <v>7.3222115536967035E-13</v>
      </c>
      <c r="EM149" s="22">
        <f t="shared" si="127"/>
        <v>1.3525069634579169E-12</v>
      </c>
      <c r="EN149" s="62">
        <f t="shared" si="128"/>
        <v>293.33333333333468</v>
      </c>
      <c r="EO149" s="62">
        <f ca="1">AVERAGE(OFFSET($EN$3,0,0,'Données projet'!$E$15+1,1))-AVERAGE(OFFSET($H$3,0,0,'Données projet'!$E$15+1,1))</f>
        <v>288.82868507674738</v>
      </c>
      <c r="EP149" s="62">
        <f t="shared" si="154"/>
        <v>283.48738729114024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>
        <f>EXP(-LN(2)/35)*EV148+(1-EXP(-LN(2)/35))/(LN(2)/35)*ER149*ES149*VLOOKUP('Données projet'!$B$15,Paramètres!$A$1:$I$89,3,0)*0.475*44/12</f>
        <v>0.18230569227527993</v>
      </c>
      <c r="EW149" s="23">
        <f>EXP(-LN(2)/25)*EW148+(1-EXP(-LN(2)/25))/(LN(2)/25)*Calculateur!ER149*Calculateur!ET149*VLOOKUP('Données projet'!$B$15,Paramètres!$A$1:$I$89,3,0)*0.475*44/12</f>
        <v>0</v>
      </c>
      <c r="EX149" s="23">
        <f>EXP(-LN(2)/2)*EX148+(1-EXP(-LN(2)/2))/(LN(2)/2)*ER149*EU149*VLOOKUP('Données projet'!$B$15,Paramètres!$A$1:$I$89,3,0)*0.475*44/12</f>
        <v>0</v>
      </c>
      <c r="EY149" s="24">
        <f t="shared" si="129"/>
        <v>0.18230569227527993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3.4106051316484809E-13</v>
      </c>
      <c r="O150" s="14">
        <f>N150*VLOOKUP('Données projet'!$B$9,Paramètres!$A$1:$I$89,3,0)*VLOOKUP('Données projet'!$B$9,Paramètres!$A$1:$I$89,5,0)</f>
        <v>1.5961632016114892E-13</v>
      </c>
      <c r="P150" s="14">
        <f t="shared" si="141"/>
        <v>2.2708641912150958E-12</v>
      </c>
      <c r="Q150" s="22">
        <f t="shared" si="108"/>
        <v>4.2330868906469593E-12</v>
      </c>
      <c r="R150" s="62">
        <f t="shared" si="109"/>
        <v>293.33333333333752</v>
      </c>
      <c r="S150" s="62">
        <f ca="1">AVERAGE(OFFSET($R$3,0,0,'Données projet'!$E$9+1,1))-AVERAGE(OFFSET($H$3,0,0,'Données projet'!$E$9+1,1))</f>
        <v>317.54276561627643</v>
      </c>
      <c r="T150" s="62">
        <f t="shared" si="142"/>
        <v>238.92443174298893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-1.1368683772161603E-13</v>
      </c>
      <c r="AJ150" s="14">
        <f>AI150*VLOOKUP('Données projet'!$B$10,Paramètres!$A$1:$I$89,3,0)*VLOOKUP('Données projet'!$B$10,Paramètres!$A$1:$I$89,5,0)</f>
        <v>-9.9316821433603781E-14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327.826081588335</v>
      </c>
      <c r="AO150" s="62">
        <f t="shared" si="144"/>
        <v>348.84706693879735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0.60574471752634906</v>
      </c>
      <c r="AV150" s="23">
        <f>EXP(-LN(2)/25)*AV149+(1-EXP(-LN(2)/25))/(LN(2)/25)*Calculateur!AQ150*Calculateur!AS150*VLOOKUP('Données projet'!$B$10,Paramètres!$A$1:$I$89,3,0)*0.475*44/12</f>
        <v>0.53520187073753411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1.1409465882638832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>
        <f>BD150*VLOOKUP('Données projet'!$B$11,Paramètres!$A$1:$I$89,3,0)*VLOOKUP('Données projet'!$B$11,Paramètres!$A$1:$I$89,5,0)</f>
        <v>0</v>
      </c>
      <c r="BF150" s="14" t="e">
        <f t="shared" si="145"/>
        <v>#NUM!</v>
      </c>
      <c r="BG150" s="22" t="e">
        <f t="shared" si="115"/>
        <v>#NUM!</v>
      </c>
      <c r="BH150" s="62" t="e">
        <f t="shared" si="116"/>
        <v>#NUM!</v>
      </c>
      <c r="BI150" s="62">
        <f ca="1">AVERAGE(OFFSET($BH$3,0,0,'Données projet'!$E$11+1,1))-AVERAGE(OFFSET($H$3,0,0,'Données projet'!$E$11+1,1))</f>
        <v>487.04124684635974</v>
      </c>
      <c r="BJ150" s="62">
        <f t="shared" si="146"/>
        <v>306.61893266146666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0.26603653134603172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0.26603653134603172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>
        <f>BY150*VLOOKUP('Données projet'!$B$12,Paramètres!$A$1:$I$89,3,0)*VLOOKUP('Données projet'!$B$12,Paramètres!$A$1:$I$89,5,0)</f>
        <v>0</v>
      </c>
      <c r="CA150" s="14" t="e">
        <f t="shared" si="147"/>
        <v>#NUM!</v>
      </c>
      <c r="CB150" s="22" t="e">
        <f t="shared" si="118"/>
        <v>#NUM!</v>
      </c>
      <c r="CC150" s="62" t="e">
        <f t="shared" si="119"/>
        <v>#NUM!</v>
      </c>
      <c r="CD150" s="62">
        <f ca="1">AVERAGE(OFFSET($CC$3,0,0,'Données projet'!$E$12+1,1))-AVERAGE(OFFSET($H$3,0,0,'Données projet'!$E$12+1,1))</f>
        <v>439.06700232017681</v>
      </c>
      <c r="CE150" s="62">
        <f t="shared" si="148"/>
        <v>278.21741231699929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0.23738644335492043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0.23738644335492043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317.99999999999972</v>
      </c>
      <c r="CU150" s="18">
        <f>CT150*VLOOKUP('Données projet'!$B$13,Paramètres!$A$1:$I$89,3,0)*VLOOKUP('Données projet'!$B$13,Paramètres!$A$1:$I$89,5,0)</f>
        <v>233.1575999999998</v>
      </c>
      <c r="CV150" s="14">
        <f t="shared" si="149"/>
        <v>56.964885721091697</v>
      </c>
      <c r="CW150" s="22">
        <f t="shared" si="121"/>
        <v>505.29666263090093</v>
      </c>
      <c r="CX150" s="62">
        <f t="shared" si="122"/>
        <v>798.62999596423424</v>
      </c>
      <c r="CY150" s="62">
        <f ca="1">AVERAGE(OFFSET($CX$3,0,0,'Données projet'!$E$13+1,1))-AVERAGE(OFFSET($H$3,0,0,'Données projet'!$E$13+1,1))</f>
        <v>327.81662150328646</v>
      </c>
      <c r="CZ150" s="62">
        <f t="shared" si="150"/>
        <v>320.24200483294322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0.1972546368207857</v>
      </c>
      <c r="DG150" s="23">
        <f>EXP(-LN(2)/25)*DG149+(1-EXP(-LN(2)/25))/(LN(2)/25)*Calculateur!DB150*Calculateur!DD150*VLOOKUP('Données projet'!$B$13,Paramètres!$A$1:$I$89,3,0)*0.475*44/12</f>
        <v>0</v>
      </c>
      <c r="DH150" s="23">
        <f>EXP(-LN(2)/2)*DH149+(1-EXP(-LN(2)/2))/(LN(2)/2)*DB150*DE150*VLOOKUP('Données projet'!$B$13,Paramètres!$A$1:$I$89,3,0)*0.475*44/12</f>
        <v>0</v>
      </c>
      <c r="DI150" s="24">
        <f t="shared" si="123"/>
        <v>0.1972546368207857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5.6843418860808015E-14</v>
      </c>
      <c r="DP150" s="18">
        <f>DO150*VLOOKUP('Données projet'!$B$14,Paramètres!$A$1:$I$89,3,0)*VLOOKUP('Données projet'!$B$14,Paramètres!$A$1:$I$89,5,0)</f>
        <v>3.7243808037601412E-14</v>
      </c>
      <c r="DQ150" s="14">
        <f t="shared" si="151"/>
        <v>6.2767589361185393E-13</v>
      </c>
      <c r="DR150" s="22">
        <f t="shared" si="124"/>
        <v>1.1580684803728015E-12</v>
      </c>
      <c r="DS150" s="62">
        <f t="shared" si="125"/>
        <v>293.33333333333445</v>
      </c>
      <c r="DT150" s="62">
        <f ca="1">AVERAGE(OFFSET($DS$3,0,0,'Données projet'!$E$14+1,1))-AVERAGE(OFFSET($H$3,0,0,'Données projet'!$E$14+1,1))</f>
        <v>210.08998695869161</v>
      </c>
      <c r="DU150" s="62">
        <f t="shared" si="152"/>
        <v>207.30911916430881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>
        <f>EXP(-LN(2)/35)*EA149+(1-EXP(-LN(2)/35))/(LN(2)/35)*DW150*DX150*VLOOKUP('Données projet'!$B$14,Paramètres!$A$1:$I$89,3,0)*0.475*44/12</f>
        <v>4.532659739711669E-2</v>
      </c>
      <c r="EB150" s="23">
        <f>EXP(-LN(2)/25)*EB149+(1-EXP(-LN(2)/25))/(LN(2)/25)*Calculateur!DW150*Calculateur!DY150*VLOOKUP('Données projet'!$B$14,Paramètres!$A$1:$I$89,3,0)*0.475*44/12</f>
        <v>0</v>
      </c>
      <c r="EC150" s="23">
        <f>EXP(-LN(2)/2)*EC149+(1-EXP(-LN(2)/2))/(LN(2)/2)*DW150*DZ150*VLOOKUP('Données projet'!$B$14,Paramètres!$A$1:$I$89,3,0)*0.475*44/12</f>
        <v>0</v>
      </c>
      <c r="ED150" s="24">
        <f t="shared" si="126"/>
        <v>4.532659739711669E-2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5.6843418860808015E-14</v>
      </c>
      <c r="EK150" s="18">
        <f>EJ150*VLOOKUP('Données projet'!$B$15,Paramètres!$A$1:$I$89,3,0)*VLOOKUP('Données projet'!$B$15,Paramètres!$A$1:$I$89,5,0)</f>
        <v>4.4337866711430253E-14</v>
      </c>
      <c r="EL150" s="14">
        <f t="shared" si="153"/>
        <v>7.3222115536967035E-13</v>
      </c>
      <c r="EM150" s="22">
        <f t="shared" si="127"/>
        <v>1.3525069634579169E-12</v>
      </c>
      <c r="EN150" s="62">
        <f t="shared" si="128"/>
        <v>293.33333333333468</v>
      </c>
      <c r="EO150" s="62">
        <f ca="1">AVERAGE(OFFSET($EN$3,0,0,'Données projet'!$E$15+1,1))-AVERAGE(OFFSET($H$3,0,0,'Données projet'!$E$15+1,1))</f>
        <v>288.82868507674738</v>
      </c>
      <c r="EP150" s="62">
        <f t="shared" si="154"/>
        <v>283.48738729114024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>
        <f>EXP(-LN(2)/35)*EV149+(1-EXP(-LN(2)/35))/(LN(2)/35)*ER150*ES150*VLOOKUP('Données projet'!$B$15,Paramètres!$A$1:$I$89,3,0)*0.475*44/12</f>
        <v>0.17873078884525434</v>
      </c>
      <c r="EW150" s="23">
        <f>EXP(-LN(2)/25)*EW149+(1-EXP(-LN(2)/25))/(LN(2)/25)*Calculateur!ER150*Calculateur!ET150*VLOOKUP('Données projet'!$B$15,Paramètres!$A$1:$I$89,3,0)*0.475*44/12</f>
        <v>0</v>
      </c>
      <c r="EX150" s="23">
        <f>EXP(-LN(2)/2)*EX149+(1-EXP(-LN(2)/2))/(LN(2)/2)*ER150*EU150*VLOOKUP('Données projet'!$B$15,Paramètres!$A$1:$I$89,3,0)*0.475*44/12</f>
        <v>0</v>
      </c>
      <c r="EY150" s="24">
        <f t="shared" si="129"/>
        <v>0.17873078884525434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3.4106051316484809E-13</v>
      </c>
      <c r="O151" s="14">
        <f>N151*VLOOKUP('Données projet'!$B$9,Paramètres!$A$1:$I$89,3,0)*VLOOKUP('Données projet'!$B$9,Paramètres!$A$1:$I$89,5,0)</f>
        <v>1.5961632016114892E-13</v>
      </c>
      <c r="P151" s="14">
        <f t="shared" si="141"/>
        <v>2.2708641912150958E-12</v>
      </c>
      <c r="Q151" s="22">
        <f t="shared" si="108"/>
        <v>4.2330868906469593E-12</v>
      </c>
      <c r="R151" s="62">
        <f t="shared" si="109"/>
        <v>293.33333333333752</v>
      </c>
      <c r="S151" s="62">
        <f ca="1">AVERAGE(OFFSET($R$3,0,0,'Données projet'!$E$9+1,1))-AVERAGE(OFFSET($H$3,0,0,'Données projet'!$E$9+1,1))</f>
        <v>317.54276561627643</v>
      </c>
      <c r="T151" s="62">
        <f t="shared" si="142"/>
        <v>238.92443174298893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-1.1368683772161603E-13</v>
      </c>
      <c r="AJ151" s="14">
        <f>AI151*VLOOKUP('Données projet'!$B$10,Paramètres!$A$1:$I$89,3,0)*VLOOKUP('Données projet'!$B$10,Paramètres!$A$1:$I$89,5,0)</f>
        <v>-9.9316821433603781E-14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327.826081588335</v>
      </c>
      <c r="AO151" s="62">
        <f t="shared" si="144"/>
        <v>348.84706693879735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0.5938664330834531</v>
      </c>
      <c r="AV151" s="23">
        <f>EXP(-LN(2)/25)*AV150+(1-EXP(-LN(2)/25))/(LN(2)/25)*Calculateur!AQ151*Calculateur!AS151*VLOOKUP('Données projet'!$B$10,Paramètres!$A$1:$I$89,3,0)*0.475*44/12</f>
        <v>0.52056674743717313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1.1144331805206262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>
        <f>BD151*VLOOKUP('Données projet'!$B$11,Paramètres!$A$1:$I$89,3,0)*VLOOKUP('Données projet'!$B$11,Paramètres!$A$1:$I$89,5,0)</f>
        <v>0</v>
      </c>
      <c r="BF151" s="14" t="e">
        <f t="shared" si="145"/>
        <v>#NUM!</v>
      </c>
      <c r="BG151" s="22" t="e">
        <f t="shared" si="115"/>
        <v>#NUM!</v>
      </c>
      <c r="BH151" s="62" t="e">
        <f t="shared" si="116"/>
        <v>#NUM!</v>
      </c>
      <c r="BI151" s="62">
        <f ca="1">AVERAGE(OFFSET($BH$3,0,0,'Données projet'!$E$11+1,1))-AVERAGE(OFFSET($H$3,0,0,'Données projet'!$E$11+1,1))</f>
        <v>487.04124684635974</v>
      </c>
      <c r="BJ151" s="62">
        <f t="shared" si="146"/>
        <v>306.61893266146666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0.26081971723259773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0.26081971723259773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>
        <f>BY151*VLOOKUP('Données projet'!$B$12,Paramètres!$A$1:$I$89,3,0)*VLOOKUP('Données projet'!$B$12,Paramètres!$A$1:$I$89,5,0)</f>
        <v>0</v>
      </c>
      <c r="CA151" s="14" t="e">
        <f t="shared" si="147"/>
        <v>#NUM!</v>
      </c>
      <c r="CB151" s="22" t="e">
        <f t="shared" si="118"/>
        <v>#NUM!</v>
      </c>
      <c r="CC151" s="62" t="e">
        <f t="shared" si="119"/>
        <v>#NUM!</v>
      </c>
      <c r="CD151" s="62">
        <f ca="1">AVERAGE(OFFSET($CC$3,0,0,'Données projet'!$E$12+1,1))-AVERAGE(OFFSET($H$3,0,0,'Données projet'!$E$12+1,1))</f>
        <v>439.06700232017681</v>
      </c>
      <c r="CE151" s="62">
        <f t="shared" si="148"/>
        <v>278.21741231699929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0.23273143999216392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0.23273143999216392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317.99999999999972</v>
      </c>
      <c r="CU151" s="18">
        <f>CT151*VLOOKUP('Données projet'!$B$13,Paramètres!$A$1:$I$89,3,0)*VLOOKUP('Données projet'!$B$13,Paramètres!$A$1:$I$89,5,0)</f>
        <v>233.1575999999998</v>
      </c>
      <c r="CV151" s="14">
        <f t="shared" si="149"/>
        <v>56.964885721091697</v>
      </c>
      <c r="CW151" s="22">
        <f t="shared" si="121"/>
        <v>505.29666263090093</v>
      </c>
      <c r="CX151" s="62">
        <f t="shared" si="122"/>
        <v>798.62999596423424</v>
      </c>
      <c r="CY151" s="62">
        <f ca="1">AVERAGE(OFFSET($CX$3,0,0,'Données projet'!$E$13+1,1))-AVERAGE(OFFSET($H$3,0,0,'Données projet'!$E$13+1,1))</f>
        <v>327.81662150328646</v>
      </c>
      <c r="CZ151" s="62">
        <f t="shared" si="150"/>
        <v>320.24200483294322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0.19338659370617858</v>
      </c>
      <c r="DG151" s="23">
        <f>EXP(-LN(2)/25)*DG150+(1-EXP(-LN(2)/25))/(LN(2)/25)*Calculateur!DB151*Calculateur!DD151*VLOOKUP('Données projet'!$B$13,Paramètres!$A$1:$I$89,3,0)*0.475*44/12</f>
        <v>0</v>
      </c>
      <c r="DH151" s="23">
        <f>EXP(-LN(2)/2)*DH150+(1-EXP(-LN(2)/2))/(LN(2)/2)*DB151*DE151*VLOOKUP('Données projet'!$B$13,Paramètres!$A$1:$I$89,3,0)*0.475*44/12</f>
        <v>0</v>
      </c>
      <c r="DI151" s="24">
        <f t="shared" si="123"/>
        <v>0.19338659370617858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5.6843418860808015E-14</v>
      </c>
      <c r="DP151" s="18">
        <f>DO151*VLOOKUP('Données projet'!$B$14,Paramètres!$A$1:$I$89,3,0)*VLOOKUP('Données projet'!$B$14,Paramètres!$A$1:$I$89,5,0)</f>
        <v>3.7243808037601412E-14</v>
      </c>
      <c r="DQ151" s="14">
        <f t="shared" si="151"/>
        <v>6.2767589361185393E-13</v>
      </c>
      <c r="DR151" s="22">
        <f t="shared" si="124"/>
        <v>1.1580684803728015E-12</v>
      </c>
      <c r="DS151" s="62">
        <f t="shared" si="125"/>
        <v>293.33333333333445</v>
      </c>
      <c r="DT151" s="62">
        <f ca="1">AVERAGE(OFFSET($DS$3,0,0,'Données projet'!$E$14+1,1))-AVERAGE(OFFSET($H$3,0,0,'Données projet'!$E$14+1,1))</f>
        <v>210.08998695869161</v>
      </c>
      <c r="DU151" s="62">
        <f t="shared" si="152"/>
        <v>207.30911916430881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>
        <f>EXP(-LN(2)/35)*EA150+(1-EXP(-LN(2)/35))/(LN(2)/35)*DW151*DX151*VLOOKUP('Données projet'!$B$14,Paramètres!$A$1:$I$89,3,0)*0.475*44/12</f>
        <v>4.4437770468653777E-2</v>
      </c>
      <c r="EB151" s="23">
        <f>EXP(-LN(2)/25)*EB150+(1-EXP(-LN(2)/25))/(LN(2)/25)*Calculateur!DW151*Calculateur!DY151*VLOOKUP('Données projet'!$B$14,Paramètres!$A$1:$I$89,3,0)*0.475*44/12</f>
        <v>0</v>
      </c>
      <c r="EC151" s="23">
        <f>EXP(-LN(2)/2)*EC150+(1-EXP(-LN(2)/2))/(LN(2)/2)*DW151*DZ151*VLOOKUP('Données projet'!$B$14,Paramètres!$A$1:$I$89,3,0)*0.475*44/12</f>
        <v>0</v>
      </c>
      <c r="ED151" s="24">
        <f t="shared" si="126"/>
        <v>4.4437770468653777E-2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5.6843418860808015E-14</v>
      </c>
      <c r="EK151" s="18">
        <f>EJ151*VLOOKUP('Données projet'!$B$15,Paramètres!$A$1:$I$89,3,0)*VLOOKUP('Données projet'!$B$15,Paramètres!$A$1:$I$89,5,0)</f>
        <v>4.4337866711430253E-14</v>
      </c>
      <c r="EL151" s="14">
        <f t="shared" si="153"/>
        <v>7.3222115536967035E-13</v>
      </c>
      <c r="EM151" s="22">
        <f t="shared" si="127"/>
        <v>1.3525069634579169E-12</v>
      </c>
      <c r="EN151" s="62">
        <f t="shared" si="128"/>
        <v>293.33333333333468</v>
      </c>
      <c r="EO151" s="62">
        <f ca="1">AVERAGE(OFFSET($EN$3,0,0,'Données projet'!$E$15+1,1))-AVERAGE(OFFSET($H$3,0,0,'Données projet'!$E$15+1,1))</f>
        <v>288.82868507674738</v>
      </c>
      <c r="EP151" s="62">
        <f t="shared" si="154"/>
        <v>283.48738729114024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>
        <f>EXP(-LN(2)/35)*EV150+(1-EXP(-LN(2)/35))/(LN(2)/35)*ER151*ES151*VLOOKUP('Données projet'!$B$15,Paramètres!$A$1:$I$89,3,0)*0.475*44/12</f>
        <v>0.17522598709101575</v>
      </c>
      <c r="EW151" s="23">
        <f>EXP(-LN(2)/25)*EW150+(1-EXP(-LN(2)/25))/(LN(2)/25)*Calculateur!ER151*Calculateur!ET151*VLOOKUP('Données projet'!$B$15,Paramètres!$A$1:$I$89,3,0)*0.475*44/12</f>
        <v>0</v>
      </c>
      <c r="EX151" s="23">
        <f>EXP(-LN(2)/2)*EX150+(1-EXP(-LN(2)/2))/(LN(2)/2)*ER151*EU151*VLOOKUP('Données projet'!$B$15,Paramètres!$A$1:$I$89,3,0)*0.475*44/12</f>
        <v>0</v>
      </c>
      <c r="EY151" s="24">
        <f t="shared" si="129"/>
        <v>0.17522598709101575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3.4106051316484809E-13</v>
      </c>
      <c r="O152" s="14">
        <f>N152*VLOOKUP('Données projet'!$B$9,Paramètres!$A$1:$I$89,3,0)*VLOOKUP('Données projet'!$B$9,Paramètres!$A$1:$I$89,5,0)</f>
        <v>1.5961632016114892E-13</v>
      </c>
      <c r="P152" s="14">
        <f t="shared" si="141"/>
        <v>2.2708641912150958E-12</v>
      </c>
      <c r="Q152" s="22">
        <f t="shared" si="108"/>
        <v>4.2330868906469593E-12</v>
      </c>
      <c r="R152" s="62">
        <f t="shared" si="109"/>
        <v>293.33333333333752</v>
      </c>
      <c r="S152" s="62">
        <f ca="1">AVERAGE(OFFSET($R$3,0,0,'Données projet'!$E$9+1,1))-AVERAGE(OFFSET($H$3,0,0,'Données projet'!$E$9+1,1))</f>
        <v>317.54276561627643</v>
      </c>
      <c r="T152" s="62">
        <f t="shared" si="142"/>
        <v>238.92443174298893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-1.1368683772161603E-13</v>
      </c>
      <c r="AJ152" s="14">
        <f>AI152*VLOOKUP('Données projet'!$B$10,Paramètres!$A$1:$I$89,3,0)*VLOOKUP('Données projet'!$B$10,Paramètres!$A$1:$I$89,5,0)</f>
        <v>-9.9316821433603781E-14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327.826081588335</v>
      </c>
      <c r="AO152" s="62">
        <f t="shared" si="144"/>
        <v>348.84706693879735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0.5822210745534443</v>
      </c>
      <c r="AV152" s="23">
        <f>EXP(-LN(2)/25)*AV151+(1-EXP(-LN(2)/25))/(LN(2)/25)*Calculateur!AQ152*Calculateur!AS152*VLOOKUP('Données projet'!$B$10,Paramètres!$A$1:$I$89,3,0)*0.475*44/12</f>
        <v>0.50633182235308816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1.0885528969065326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>
        <f>BD152*VLOOKUP('Données projet'!$B$11,Paramètres!$A$1:$I$89,3,0)*VLOOKUP('Données projet'!$B$11,Paramètres!$A$1:$I$89,5,0)</f>
        <v>0</v>
      </c>
      <c r="BF152" s="14" t="e">
        <f t="shared" si="145"/>
        <v>#NUM!</v>
      </c>
      <c r="BG152" s="22" t="e">
        <f t="shared" si="115"/>
        <v>#NUM!</v>
      </c>
      <c r="BH152" s="62" t="e">
        <f t="shared" si="116"/>
        <v>#NUM!</v>
      </c>
      <c r="BI152" s="62">
        <f ca="1">AVERAGE(OFFSET($BH$3,0,0,'Données projet'!$E$11+1,1))-AVERAGE(OFFSET($H$3,0,0,'Données projet'!$E$11+1,1))</f>
        <v>487.04124684635974</v>
      </c>
      <c r="BJ152" s="62">
        <f t="shared" si="146"/>
        <v>306.61893266146666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0.25570520166198574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0.25570520166198574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>
        <f>BY152*VLOOKUP('Données projet'!$B$12,Paramètres!$A$1:$I$89,3,0)*VLOOKUP('Données projet'!$B$12,Paramètres!$A$1:$I$89,5,0)</f>
        <v>0</v>
      </c>
      <c r="CA152" s="14" t="e">
        <f t="shared" si="147"/>
        <v>#NUM!</v>
      </c>
      <c r="CB152" s="22" t="e">
        <f t="shared" si="118"/>
        <v>#NUM!</v>
      </c>
      <c r="CC152" s="62" t="e">
        <f t="shared" si="119"/>
        <v>#NUM!</v>
      </c>
      <c r="CD152" s="62">
        <f ca="1">AVERAGE(OFFSET($CC$3,0,0,'Données projet'!$E$12+1,1))-AVERAGE(OFFSET($H$3,0,0,'Données projet'!$E$12+1,1))</f>
        <v>439.06700232017681</v>
      </c>
      <c r="CE152" s="62">
        <f t="shared" si="148"/>
        <v>278.21741231699929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0.22816771840607936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0.22816771840607936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317.99999999999972</v>
      </c>
      <c r="CU152" s="18">
        <f>CT152*VLOOKUP('Données projet'!$B$13,Paramètres!$A$1:$I$89,3,0)*VLOOKUP('Données projet'!$B$13,Paramètres!$A$1:$I$89,5,0)</f>
        <v>233.1575999999998</v>
      </c>
      <c r="CV152" s="14">
        <f t="shared" si="149"/>
        <v>56.964885721091697</v>
      </c>
      <c r="CW152" s="22">
        <f t="shared" si="121"/>
        <v>505.29666263090093</v>
      </c>
      <c r="CX152" s="62">
        <f t="shared" si="122"/>
        <v>798.62999596423424</v>
      </c>
      <c r="CY152" s="62">
        <f ca="1">AVERAGE(OFFSET($CX$3,0,0,'Données projet'!$E$13+1,1))-AVERAGE(OFFSET($H$3,0,0,'Données projet'!$E$13+1,1))</f>
        <v>327.81662150328646</v>
      </c>
      <c r="CZ152" s="62">
        <f t="shared" si="150"/>
        <v>320.24200483294322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0.18959440055777557</v>
      </c>
      <c r="DG152" s="23">
        <f>EXP(-LN(2)/25)*DG151+(1-EXP(-LN(2)/25))/(LN(2)/25)*Calculateur!DB152*Calculateur!DD152*VLOOKUP('Données projet'!$B$13,Paramètres!$A$1:$I$89,3,0)*0.475*44/12</f>
        <v>0</v>
      </c>
      <c r="DH152" s="23">
        <f>EXP(-LN(2)/2)*DH151+(1-EXP(-LN(2)/2))/(LN(2)/2)*DB152*DE152*VLOOKUP('Données projet'!$B$13,Paramètres!$A$1:$I$89,3,0)*0.475*44/12</f>
        <v>0</v>
      </c>
      <c r="DI152" s="24">
        <f t="shared" si="123"/>
        <v>0.18959440055777557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5.6843418860808015E-14</v>
      </c>
      <c r="DP152" s="18">
        <f>DO152*VLOOKUP('Données projet'!$B$14,Paramètres!$A$1:$I$89,3,0)*VLOOKUP('Données projet'!$B$14,Paramètres!$A$1:$I$89,5,0)</f>
        <v>3.7243808037601412E-14</v>
      </c>
      <c r="DQ152" s="14">
        <f t="shared" si="151"/>
        <v>6.2767589361185393E-13</v>
      </c>
      <c r="DR152" s="22">
        <f t="shared" si="124"/>
        <v>1.1580684803728015E-12</v>
      </c>
      <c r="DS152" s="62">
        <f t="shared" si="125"/>
        <v>293.33333333333445</v>
      </c>
      <c r="DT152" s="62">
        <f ca="1">AVERAGE(OFFSET($DS$3,0,0,'Données projet'!$E$14+1,1))-AVERAGE(OFFSET($H$3,0,0,'Données projet'!$E$14+1,1))</f>
        <v>210.08998695869161</v>
      </c>
      <c r="DU152" s="62">
        <f t="shared" si="152"/>
        <v>207.30911916430881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>
        <f>EXP(-LN(2)/35)*EA151+(1-EXP(-LN(2)/35))/(LN(2)/35)*DW152*DX152*VLOOKUP('Données projet'!$B$14,Paramètres!$A$1:$I$89,3,0)*0.475*44/12</f>
        <v>4.3566372894127126E-2</v>
      </c>
      <c r="EB152" s="23">
        <f>EXP(-LN(2)/25)*EB151+(1-EXP(-LN(2)/25))/(LN(2)/25)*Calculateur!DW152*Calculateur!DY152*VLOOKUP('Données projet'!$B$14,Paramètres!$A$1:$I$89,3,0)*0.475*44/12</f>
        <v>0</v>
      </c>
      <c r="EC152" s="23">
        <f>EXP(-LN(2)/2)*EC151+(1-EXP(-LN(2)/2))/(LN(2)/2)*DW152*DZ152*VLOOKUP('Données projet'!$B$14,Paramètres!$A$1:$I$89,3,0)*0.475*44/12</f>
        <v>0</v>
      </c>
      <c r="ED152" s="24">
        <f t="shared" si="126"/>
        <v>4.3566372894127126E-2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5.6843418860808015E-14</v>
      </c>
      <c r="EK152" s="18">
        <f>EJ152*VLOOKUP('Données projet'!$B$15,Paramètres!$A$1:$I$89,3,0)*VLOOKUP('Données projet'!$B$15,Paramètres!$A$1:$I$89,5,0)</f>
        <v>4.4337866711430253E-14</v>
      </c>
      <c r="EL152" s="14">
        <f t="shared" si="153"/>
        <v>7.3222115536967035E-13</v>
      </c>
      <c r="EM152" s="22">
        <f t="shared" si="127"/>
        <v>1.3525069634579169E-12</v>
      </c>
      <c r="EN152" s="62">
        <f t="shared" si="128"/>
        <v>293.33333333333468</v>
      </c>
      <c r="EO152" s="62">
        <f ca="1">AVERAGE(OFFSET($EN$3,0,0,'Données projet'!$E$15+1,1))-AVERAGE(OFFSET($H$3,0,0,'Données projet'!$E$15+1,1))</f>
        <v>288.82868507674738</v>
      </c>
      <c r="EP152" s="62">
        <f t="shared" si="154"/>
        <v>283.48738729114024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>
        <f>EXP(-LN(2)/35)*EV151+(1-EXP(-LN(2)/35))/(LN(2)/35)*ER152*ES152*VLOOKUP('Données projet'!$B$15,Paramètres!$A$1:$I$89,3,0)*0.475*44/12</f>
        <v>0.1717899123614598</v>
      </c>
      <c r="EW152" s="23">
        <f>EXP(-LN(2)/25)*EW151+(1-EXP(-LN(2)/25))/(LN(2)/25)*Calculateur!ER152*Calculateur!ET152*VLOOKUP('Données projet'!$B$15,Paramètres!$A$1:$I$89,3,0)*0.475*44/12</f>
        <v>0</v>
      </c>
      <c r="EX152" s="23">
        <f>EXP(-LN(2)/2)*EX151+(1-EXP(-LN(2)/2))/(LN(2)/2)*ER152*EU152*VLOOKUP('Données projet'!$B$15,Paramètres!$A$1:$I$89,3,0)*0.475*44/12</f>
        <v>0</v>
      </c>
      <c r="EY152" s="24">
        <f t="shared" si="129"/>
        <v>0.1717899123614598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3.4106051316484809E-13</v>
      </c>
      <c r="O153" s="14">
        <f>N153*VLOOKUP('Données projet'!$B$9,Paramètres!$A$1:$I$89,3,0)*VLOOKUP('Données projet'!$B$9,Paramètres!$A$1:$I$89,5,0)</f>
        <v>1.5961632016114892E-13</v>
      </c>
      <c r="P153" s="14">
        <f t="shared" si="141"/>
        <v>2.2708641912150958E-12</v>
      </c>
      <c r="Q153" s="22">
        <f t="shared" si="108"/>
        <v>4.2330868906469593E-12</v>
      </c>
      <c r="R153" s="62">
        <f t="shared" si="109"/>
        <v>293.33333333333752</v>
      </c>
      <c r="S153" s="62">
        <f ca="1">AVERAGE(OFFSET($R$3,0,0,'Données projet'!$E$9+1,1))-AVERAGE(OFFSET($H$3,0,0,'Données projet'!$E$9+1,1))</f>
        <v>317.54276561627643</v>
      </c>
      <c r="T153" s="62">
        <f t="shared" si="142"/>
        <v>238.92443174298893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-1.1368683772161603E-13</v>
      </c>
      <c r="AJ153" s="14">
        <f>AI153*VLOOKUP('Données projet'!$B$10,Paramètres!$A$1:$I$89,3,0)*VLOOKUP('Données projet'!$B$10,Paramètres!$A$1:$I$89,5,0)</f>
        <v>-9.9316821433603781E-14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327.826081588335</v>
      </c>
      <c r="AO153" s="62">
        <f t="shared" si="144"/>
        <v>348.84706693879735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0.57080407440124159</v>
      </c>
      <c r="AV153" s="23">
        <f>EXP(-LN(2)/25)*AV152+(1-EXP(-LN(2)/25))/(LN(2)/25)*Calculateur!AQ153*Calculateur!AS153*VLOOKUP('Données projet'!$B$10,Paramètres!$A$1:$I$89,3,0)*0.475*44/12</f>
        <v>0.49248615204400964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1.0632902264452513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>
        <f>BD153*VLOOKUP('Données projet'!$B$11,Paramètres!$A$1:$I$89,3,0)*VLOOKUP('Données projet'!$B$11,Paramètres!$A$1:$I$89,5,0)</f>
        <v>0</v>
      </c>
      <c r="BF153" s="14" t="e">
        <f t="shared" si="145"/>
        <v>#NUM!</v>
      </c>
      <c r="BG153" s="22" t="e">
        <f t="shared" si="115"/>
        <v>#NUM!</v>
      </c>
      <c r="BH153" s="62" t="e">
        <f t="shared" si="116"/>
        <v>#NUM!</v>
      </c>
      <c r="BI153" s="62">
        <f ca="1">AVERAGE(OFFSET($BH$3,0,0,'Données projet'!$E$11+1,1))-AVERAGE(OFFSET($H$3,0,0,'Données projet'!$E$11+1,1))</f>
        <v>487.04124684635974</v>
      </c>
      <c r="BJ153" s="62">
        <f t="shared" si="146"/>
        <v>306.61893266146666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0.25069097862216699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0.25069097862216699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>
        <f>BY153*VLOOKUP('Données projet'!$B$12,Paramètres!$A$1:$I$89,3,0)*VLOOKUP('Données projet'!$B$12,Paramètres!$A$1:$I$89,5,0)</f>
        <v>0</v>
      </c>
      <c r="CA153" s="14" t="e">
        <f t="shared" si="147"/>
        <v>#NUM!</v>
      </c>
      <c r="CB153" s="22" t="e">
        <f t="shared" si="118"/>
        <v>#NUM!</v>
      </c>
      <c r="CC153" s="62" t="e">
        <f t="shared" si="119"/>
        <v>#NUM!</v>
      </c>
      <c r="CD153" s="62">
        <f ca="1">AVERAGE(OFFSET($CC$3,0,0,'Données projet'!$E$12+1,1))-AVERAGE(OFFSET($H$3,0,0,'Données projet'!$E$12+1,1))</f>
        <v>439.06700232017681</v>
      </c>
      <c r="CE153" s="62">
        <f t="shared" si="148"/>
        <v>278.21741231699929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0.2236934886167026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0.2236934886167026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317.99999999999972</v>
      </c>
      <c r="CU153" s="18">
        <f>CT153*VLOOKUP('Données projet'!$B$13,Paramètres!$A$1:$I$89,3,0)*VLOOKUP('Données projet'!$B$13,Paramètres!$A$1:$I$89,5,0)</f>
        <v>233.1575999999998</v>
      </c>
      <c r="CV153" s="14">
        <f t="shared" si="149"/>
        <v>56.964885721091697</v>
      </c>
      <c r="CW153" s="22">
        <f t="shared" si="121"/>
        <v>505.29666263090093</v>
      </c>
      <c r="CX153" s="62">
        <f t="shared" si="122"/>
        <v>798.62999596423424</v>
      </c>
      <c r="CY153" s="62">
        <f ca="1">AVERAGE(OFFSET($CX$3,0,0,'Données projet'!$E$13+1,1))-AVERAGE(OFFSET($H$3,0,0,'Données projet'!$E$13+1,1))</f>
        <v>327.81662150328646</v>
      </c>
      <c r="CZ153" s="62">
        <f t="shared" si="150"/>
        <v>320.24200483294322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0.18587657000400332</v>
      </c>
      <c r="DG153" s="23">
        <f>EXP(-LN(2)/25)*DG152+(1-EXP(-LN(2)/25))/(LN(2)/25)*Calculateur!DB153*Calculateur!DD153*VLOOKUP('Données projet'!$B$13,Paramètres!$A$1:$I$89,3,0)*0.475*44/12</f>
        <v>0</v>
      </c>
      <c r="DH153" s="23">
        <f>EXP(-LN(2)/2)*DH152+(1-EXP(-LN(2)/2))/(LN(2)/2)*DB153*DE153*VLOOKUP('Données projet'!$B$13,Paramètres!$A$1:$I$89,3,0)*0.475*44/12</f>
        <v>0</v>
      </c>
      <c r="DI153" s="24">
        <f t="shared" si="123"/>
        <v>0.18587657000400332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5.6843418860808015E-14</v>
      </c>
      <c r="DP153" s="18">
        <f>DO153*VLOOKUP('Données projet'!$B$14,Paramètres!$A$1:$I$89,3,0)*VLOOKUP('Données projet'!$B$14,Paramètres!$A$1:$I$89,5,0)</f>
        <v>3.7243808037601412E-14</v>
      </c>
      <c r="DQ153" s="14">
        <f t="shared" si="151"/>
        <v>6.2767589361185393E-13</v>
      </c>
      <c r="DR153" s="22">
        <f t="shared" si="124"/>
        <v>1.1580684803728015E-12</v>
      </c>
      <c r="DS153" s="62">
        <f t="shared" si="125"/>
        <v>293.33333333333445</v>
      </c>
      <c r="DT153" s="62">
        <f ca="1">AVERAGE(OFFSET($DS$3,0,0,'Données projet'!$E$14+1,1))-AVERAGE(OFFSET($H$3,0,0,'Données projet'!$E$14+1,1))</f>
        <v>210.08998695869161</v>
      </c>
      <c r="DU153" s="62">
        <f t="shared" si="152"/>
        <v>207.30911916430881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>
        <f>EXP(-LN(2)/35)*EA152+(1-EXP(-LN(2)/35))/(LN(2)/35)*DW153*DX153*VLOOKUP('Données projet'!$B$14,Paramètres!$A$1:$I$89,3,0)*0.475*44/12</f>
        <v>4.2712062894536905E-2</v>
      </c>
      <c r="EB153" s="23">
        <f>EXP(-LN(2)/25)*EB152+(1-EXP(-LN(2)/25))/(LN(2)/25)*Calculateur!DW153*Calculateur!DY153*VLOOKUP('Données projet'!$B$14,Paramètres!$A$1:$I$89,3,0)*0.475*44/12</f>
        <v>0</v>
      </c>
      <c r="EC153" s="23">
        <f>EXP(-LN(2)/2)*EC152+(1-EXP(-LN(2)/2))/(LN(2)/2)*DW153*DZ153*VLOOKUP('Données projet'!$B$14,Paramètres!$A$1:$I$89,3,0)*0.475*44/12</f>
        <v>0</v>
      </c>
      <c r="ED153" s="24">
        <f t="shared" si="126"/>
        <v>4.2712062894536905E-2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5.6843418860808015E-14</v>
      </c>
      <c r="EK153" s="18">
        <f>EJ153*VLOOKUP('Données projet'!$B$15,Paramètres!$A$1:$I$89,3,0)*VLOOKUP('Données projet'!$B$15,Paramètres!$A$1:$I$89,5,0)</f>
        <v>4.4337866711430253E-14</v>
      </c>
      <c r="EL153" s="14">
        <f t="shared" si="153"/>
        <v>7.3222115536967035E-13</v>
      </c>
      <c r="EM153" s="22">
        <f t="shared" si="127"/>
        <v>1.3525069634579169E-12</v>
      </c>
      <c r="EN153" s="62">
        <f t="shared" si="128"/>
        <v>293.33333333333468</v>
      </c>
      <c r="EO153" s="62">
        <f ca="1">AVERAGE(OFFSET($EN$3,0,0,'Données projet'!$E$15+1,1))-AVERAGE(OFFSET($H$3,0,0,'Données projet'!$E$15+1,1))</f>
        <v>288.82868507674738</v>
      </c>
      <c r="EP153" s="62">
        <f t="shared" si="154"/>
        <v>283.48738729114024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>
        <f>EXP(-LN(2)/35)*EV152+(1-EXP(-LN(2)/35))/(LN(2)/35)*ER153*ES153*VLOOKUP('Données projet'!$B$15,Paramètres!$A$1:$I$89,3,0)*0.475*44/12</f>
        <v>0.1684212169615518</v>
      </c>
      <c r="EW153" s="23">
        <f>EXP(-LN(2)/25)*EW152+(1-EXP(-LN(2)/25))/(LN(2)/25)*Calculateur!ER153*Calculateur!ET153*VLOOKUP('Données projet'!$B$15,Paramètres!$A$1:$I$89,3,0)*0.475*44/12</f>
        <v>0</v>
      </c>
      <c r="EX153" s="23">
        <f>EXP(-LN(2)/2)*EX152+(1-EXP(-LN(2)/2))/(LN(2)/2)*ER153*EU153*VLOOKUP('Données projet'!$B$15,Paramètres!$A$1:$I$89,3,0)*0.475*44/12</f>
        <v>0</v>
      </c>
      <c r="EY153" s="24">
        <f t="shared" si="129"/>
        <v>0.1684212169615518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3.4106051316484809E-13</v>
      </c>
      <c r="O154" s="14">
        <f>N154*VLOOKUP('Données projet'!$B$9,Paramètres!$A$1:$I$89,3,0)*VLOOKUP('Données projet'!$B$9,Paramètres!$A$1:$I$89,5,0)</f>
        <v>1.5961632016114892E-13</v>
      </c>
      <c r="P154" s="14">
        <f t="shared" si="141"/>
        <v>2.2708641912150958E-12</v>
      </c>
      <c r="Q154" s="22">
        <f t="shared" ref="Q154:Q203" si="162">(O154+P154)*0.475*44/12</f>
        <v>4.2330868906469593E-12</v>
      </c>
      <c r="R154" s="62">
        <f t="shared" si="109"/>
        <v>293.33333333333752</v>
      </c>
      <c r="S154" s="62">
        <f ca="1">AVERAGE(OFFSET($R$3,0,0,'Données projet'!$E$9+1,1))-AVERAGE(OFFSET($H$3,0,0,'Données projet'!$E$9+1,1))</f>
        <v>317.54276561627643</v>
      </c>
      <c r="T154" s="62">
        <f t="shared" si="142"/>
        <v>238.92443174298893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-1.1368683772161603E-13</v>
      </c>
      <c r="AJ154" s="14">
        <f>AI154*VLOOKUP('Données projet'!$B$10,Paramètres!$A$1:$I$89,3,0)*VLOOKUP('Données projet'!$B$10,Paramètres!$A$1:$I$89,5,0)</f>
        <v>-9.9316821433603781E-14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327.826081588335</v>
      </c>
      <c r="AO154" s="62">
        <f t="shared" si="144"/>
        <v>348.84706693879735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0.5596109546583411</v>
      </c>
      <c r="AV154" s="23">
        <f>EXP(-LN(2)/25)*AV153+(1-EXP(-LN(2)/25))/(LN(2)/25)*Calculateur!AQ154*Calculateur!AS154*VLOOKUP('Données projet'!$B$10,Paramètres!$A$1:$I$89,3,0)*0.475*44/12</f>
        <v>0.47901909231764506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1.0386300469759862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>
        <f>BD154*VLOOKUP('Données projet'!$B$11,Paramètres!$A$1:$I$89,3,0)*VLOOKUP('Données projet'!$B$11,Paramètres!$A$1:$I$89,5,0)</f>
        <v>0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6"/>
        <v>#NUM!</v>
      </c>
      <c r="BI154" s="62">
        <f ca="1">AVERAGE(OFFSET($BH$3,0,0,'Données projet'!$E$11+1,1))-AVERAGE(OFFSET($H$3,0,0,'Données projet'!$E$11+1,1))</f>
        <v>487.04124684635974</v>
      </c>
      <c r="BJ154" s="62">
        <f t="shared" si="146"/>
        <v>306.61893266146666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0.24577508143778501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0.24577508143778501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>
        <f>BY154*VLOOKUP('Données projet'!$B$12,Paramètres!$A$1:$I$89,3,0)*VLOOKUP('Données projet'!$B$12,Paramètres!$A$1:$I$89,5,0)</f>
        <v>0</v>
      </c>
      <c r="CA154" s="14" t="e">
        <f t="shared" ref="CA154:CA203" si="170">EXP(-1.0587+0.8836*LN(BZ154)+0.284)</f>
        <v>#NUM!</v>
      </c>
      <c r="CB154" s="22" t="e">
        <f t="shared" ref="CB154:CB203" si="171">(BZ154+CA154)*0.475*44/12</f>
        <v>#NUM!</v>
      </c>
      <c r="CC154" s="62" t="e">
        <f t="shared" si="119"/>
        <v>#NUM!</v>
      </c>
      <c r="CD154" s="62">
        <f ca="1">AVERAGE(OFFSET($CC$3,0,0,'Données projet'!$E$12+1,1))-AVERAGE(OFFSET($H$3,0,0,'Données projet'!$E$12+1,1))</f>
        <v>439.06700232017681</v>
      </c>
      <c r="CE154" s="62">
        <f t="shared" si="148"/>
        <v>278.21741231699929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0.21930699574448484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0.21930699574448484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317.99999999999972</v>
      </c>
      <c r="CU154" s="18">
        <f>CT154*VLOOKUP('Données projet'!$B$13,Paramètres!$A$1:$I$89,3,0)*VLOOKUP('Données projet'!$B$13,Paramètres!$A$1:$I$89,5,0)</f>
        <v>233.1575999999998</v>
      </c>
      <c r="CV154" s="14">
        <f t="shared" ref="CV154:CV203" si="173">EXP(-1.0587+0.8836*LN(CU154)+0.284)</f>
        <v>56.964885721091697</v>
      </c>
      <c r="CW154" s="22">
        <f t="shared" ref="CW154:CW203" si="174">(CU154+CV154)*0.475*44/12</f>
        <v>505.29666263090093</v>
      </c>
      <c r="CX154" s="62">
        <f t="shared" si="122"/>
        <v>798.62999596423424</v>
      </c>
      <c r="CY154" s="62">
        <f ca="1">AVERAGE(OFFSET($CX$3,0,0,'Données projet'!$E$13+1,1))-AVERAGE(OFFSET($H$3,0,0,'Données projet'!$E$13+1,1))</f>
        <v>327.81662150328646</v>
      </c>
      <c r="CZ154" s="62">
        <f t="shared" si="150"/>
        <v>320.24200483294322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0.18223164383973781</v>
      </c>
      <c r="DG154" s="23">
        <f>EXP(-LN(2)/25)*DG153+(1-EXP(-LN(2)/25))/(LN(2)/25)*Calculateur!DB154*Calculateur!DD154*VLOOKUP('Données projet'!$B$13,Paramètres!$A$1:$I$89,3,0)*0.475*44/12</f>
        <v>0</v>
      </c>
      <c r="DH154" s="23">
        <f>EXP(-LN(2)/2)*DH153+(1-EXP(-LN(2)/2))/(LN(2)/2)*DB154*DE154*VLOOKUP('Données projet'!$B$13,Paramètres!$A$1:$I$89,3,0)*0.475*44/12</f>
        <v>0</v>
      </c>
      <c r="DI154" s="24">
        <f t="shared" ref="DI154:DI203" si="175">SUM(DF154:DH154)</f>
        <v>0.18223164383973781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5.6843418860808015E-14</v>
      </c>
      <c r="DP154" s="18">
        <f>DO154*VLOOKUP('Données projet'!$B$14,Paramètres!$A$1:$I$89,3,0)*VLOOKUP('Données projet'!$B$14,Paramètres!$A$1:$I$89,5,0)</f>
        <v>3.7243808037601412E-14</v>
      </c>
      <c r="DQ154" s="14">
        <f t="shared" ref="DQ154:DQ203" si="176">EXP(-1.0587+0.8836*LN(DP154)+0.284)</f>
        <v>6.2767589361185393E-13</v>
      </c>
      <c r="DR154" s="22">
        <f t="shared" ref="DR154:DR203" si="177">(DP154+DQ154)*0.475*44/12</f>
        <v>1.1580684803728015E-12</v>
      </c>
      <c r="DS154" s="62">
        <f t="shared" si="125"/>
        <v>293.33333333333445</v>
      </c>
      <c r="DT154" s="62">
        <f ca="1">AVERAGE(OFFSET($DS$3,0,0,'Données projet'!$E$14+1,1))-AVERAGE(OFFSET($H$3,0,0,'Données projet'!$E$14+1,1))</f>
        <v>210.08998695869161</v>
      </c>
      <c r="DU154" s="62">
        <f t="shared" si="152"/>
        <v>207.30911916430881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>
        <f>EXP(-LN(2)/35)*EA153+(1-EXP(-LN(2)/35))/(LN(2)/35)*DW154*DX154*VLOOKUP('Données projet'!$B$14,Paramètres!$A$1:$I$89,3,0)*0.475*44/12</f>
        <v>4.1874505392961003E-2</v>
      </c>
      <c r="EB154" s="23">
        <f>EXP(-LN(2)/25)*EB153+(1-EXP(-LN(2)/25))/(LN(2)/25)*Calculateur!DW154*Calculateur!DY154*VLOOKUP('Données projet'!$B$14,Paramètres!$A$1:$I$89,3,0)*0.475*44/12</f>
        <v>0</v>
      </c>
      <c r="EC154" s="23">
        <f>EXP(-LN(2)/2)*EC153+(1-EXP(-LN(2)/2))/(LN(2)/2)*DW154*DZ154*VLOOKUP('Données projet'!$B$14,Paramètres!$A$1:$I$89,3,0)*0.475*44/12</f>
        <v>0</v>
      </c>
      <c r="ED154" s="24">
        <f t="shared" ref="ED154:ED203" si="178">SUM(EA154:EC154)</f>
        <v>4.1874505392961003E-2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5.6843418860808015E-14</v>
      </c>
      <c r="EK154" s="18">
        <f>EJ154*VLOOKUP('Données projet'!$B$15,Paramètres!$A$1:$I$89,3,0)*VLOOKUP('Données projet'!$B$15,Paramètres!$A$1:$I$89,5,0)</f>
        <v>4.4337866711430253E-14</v>
      </c>
      <c r="EL154" s="14">
        <f t="shared" ref="EL154:EL203" si="179">EXP(-1.0587+0.8836*LN(EK154)+0.284)</f>
        <v>7.3222115536967035E-13</v>
      </c>
      <c r="EM154" s="22">
        <f t="shared" ref="EM154:EM203" si="180">(EK154+EL154)*0.475*44/12</f>
        <v>1.3525069634579169E-12</v>
      </c>
      <c r="EN154" s="62">
        <f t="shared" si="128"/>
        <v>293.33333333333468</v>
      </c>
      <c r="EO154" s="62">
        <f ca="1">AVERAGE(OFFSET($EN$3,0,0,'Données projet'!$E$15+1,1))-AVERAGE(OFFSET($H$3,0,0,'Données projet'!$E$15+1,1))</f>
        <v>288.82868507674738</v>
      </c>
      <c r="EP154" s="62">
        <f t="shared" si="154"/>
        <v>283.48738729114024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>
        <f>EXP(-LN(2)/35)*EV153+(1-EXP(-LN(2)/35))/(LN(2)/35)*ER154*ES154*VLOOKUP('Données projet'!$B$15,Paramètres!$A$1:$I$89,3,0)*0.475*44/12</f>
        <v>0.16511857962373469</v>
      </c>
      <c r="EW154" s="23">
        <f>EXP(-LN(2)/25)*EW153+(1-EXP(-LN(2)/25))/(LN(2)/25)*Calculateur!ER154*Calculateur!ET154*VLOOKUP('Données projet'!$B$15,Paramètres!$A$1:$I$89,3,0)*0.475*44/12</f>
        <v>0</v>
      </c>
      <c r="EX154" s="23">
        <f>EXP(-LN(2)/2)*EX153+(1-EXP(-LN(2)/2))/(LN(2)/2)*ER154*EU154*VLOOKUP('Données projet'!$B$15,Paramètres!$A$1:$I$89,3,0)*0.475*44/12</f>
        <v>0</v>
      </c>
      <c r="EY154" s="24">
        <f t="shared" ref="EY154:EY203" si="181">SUM(EV154:EX154)</f>
        <v>0.16511857962373469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3.4106051316484809E-13</v>
      </c>
      <c r="O155" s="14">
        <f>N155*VLOOKUP('Données projet'!$B$9,Paramètres!$A$1:$I$89,3,0)*VLOOKUP('Données projet'!$B$9,Paramètres!$A$1:$I$89,5,0)</f>
        <v>1.5961632016114892E-13</v>
      </c>
      <c r="P155" s="14">
        <f t="shared" si="141"/>
        <v>2.2708641912150958E-12</v>
      </c>
      <c r="Q155" s="22">
        <f t="shared" si="162"/>
        <v>4.2330868906469593E-12</v>
      </c>
      <c r="R155" s="62">
        <f t="shared" si="109"/>
        <v>293.33333333333752</v>
      </c>
      <c r="S155" s="62">
        <f ca="1">AVERAGE(OFFSET($R$3,0,0,'Données projet'!$E$9+1,1))-AVERAGE(OFFSET($H$3,0,0,'Données projet'!$E$9+1,1))</f>
        <v>317.54276561627643</v>
      </c>
      <c r="T155" s="62">
        <f t="shared" si="142"/>
        <v>238.92443174298893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-1.1368683772161603E-13</v>
      </c>
      <c r="AJ155" s="14">
        <f>AI155*VLOOKUP('Données projet'!$B$10,Paramètres!$A$1:$I$89,3,0)*VLOOKUP('Données projet'!$B$10,Paramètres!$A$1:$I$89,5,0)</f>
        <v>-9.9316821433603781E-14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327.826081588335</v>
      </c>
      <c r="AO155" s="62">
        <f t="shared" si="144"/>
        <v>348.84706693879735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0.5486373251664699</v>
      </c>
      <c r="AV155" s="23">
        <f>EXP(-LN(2)/25)*AV154+(1-EXP(-LN(2)/25))/(LN(2)/25)*Calculateur!AQ155*Calculateur!AS155*VLOOKUP('Données projet'!$B$10,Paramètres!$A$1:$I$89,3,0)*0.475*44/12</f>
        <v>0.4659202900476998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1.0145576152141698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>
        <f>BD155*VLOOKUP('Données projet'!$B$11,Paramètres!$A$1:$I$89,3,0)*VLOOKUP('Données projet'!$B$11,Paramètres!$A$1:$I$89,5,0)</f>
        <v>0</v>
      </c>
      <c r="BF155" s="14" t="e">
        <f t="shared" si="167"/>
        <v>#NUM!</v>
      </c>
      <c r="BG155" s="22" t="e">
        <f t="shared" si="168"/>
        <v>#NUM!</v>
      </c>
      <c r="BH155" s="62" t="e">
        <f t="shared" si="116"/>
        <v>#NUM!</v>
      </c>
      <c r="BI155" s="62">
        <f ca="1">AVERAGE(OFFSET($BH$3,0,0,'Données projet'!$E$11+1,1))-AVERAGE(OFFSET($H$3,0,0,'Données projet'!$E$11+1,1))</f>
        <v>487.04124684635974</v>
      </c>
      <c r="BJ155" s="62">
        <f t="shared" si="146"/>
        <v>306.61893266146666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0.24095558199878753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0.24095558199878753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>
        <f>BY155*VLOOKUP('Données projet'!$B$12,Paramètres!$A$1:$I$89,3,0)*VLOOKUP('Données projet'!$B$12,Paramètres!$A$1:$I$89,5,0)</f>
        <v>0</v>
      </c>
      <c r="CA155" s="14" t="e">
        <f t="shared" si="170"/>
        <v>#NUM!</v>
      </c>
      <c r="CB155" s="22" t="e">
        <f t="shared" si="171"/>
        <v>#NUM!</v>
      </c>
      <c r="CC155" s="62" t="e">
        <f t="shared" si="119"/>
        <v>#NUM!</v>
      </c>
      <c r="CD155" s="62">
        <f ca="1">AVERAGE(OFFSET($CC$3,0,0,'Données projet'!$E$12+1,1))-AVERAGE(OFFSET($H$3,0,0,'Données projet'!$E$12+1,1))</f>
        <v>439.06700232017681</v>
      </c>
      <c r="CE155" s="62">
        <f t="shared" si="148"/>
        <v>278.21741231699929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0.2150065193219948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0.2150065193219948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317.99999999999972</v>
      </c>
      <c r="CU155" s="18">
        <f>CT155*VLOOKUP('Données projet'!$B$13,Paramètres!$A$1:$I$89,3,0)*VLOOKUP('Données projet'!$B$13,Paramètres!$A$1:$I$89,5,0)</f>
        <v>233.1575999999998</v>
      </c>
      <c r="CV155" s="14">
        <f t="shared" si="173"/>
        <v>56.964885721091697</v>
      </c>
      <c r="CW155" s="22">
        <f t="shared" si="174"/>
        <v>505.29666263090093</v>
      </c>
      <c r="CX155" s="62">
        <f t="shared" si="122"/>
        <v>798.62999596423424</v>
      </c>
      <c r="CY155" s="62">
        <f ca="1">AVERAGE(OFFSET($CX$3,0,0,'Données projet'!$E$13+1,1))-AVERAGE(OFFSET($H$3,0,0,'Données projet'!$E$13+1,1))</f>
        <v>327.81662150328646</v>
      </c>
      <c r="CZ155" s="62">
        <f t="shared" si="150"/>
        <v>320.24200483294322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0.17865819245436812</v>
      </c>
      <c r="DG155" s="23">
        <f>EXP(-LN(2)/25)*DG154+(1-EXP(-LN(2)/25))/(LN(2)/25)*Calculateur!DB155*Calculateur!DD155*VLOOKUP('Données projet'!$B$13,Paramètres!$A$1:$I$89,3,0)*0.475*44/12</f>
        <v>0</v>
      </c>
      <c r="DH155" s="23">
        <f>EXP(-LN(2)/2)*DH154+(1-EXP(-LN(2)/2))/(LN(2)/2)*DB155*DE155*VLOOKUP('Données projet'!$B$13,Paramètres!$A$1:$I$89,3,0)*0.475*44/12</f>
        <v>0</v>
      </c>
      <c r="DI155" s="24">
        <f t="shared" si="175"/>
        <v>0.17865819245436812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5.6843418860808015E-14</v>
      </c>
      <c r="DP155" s="18">
        <f>DO155*VLOOKUP('Données projet'!$B$14,Paramètres!$A$1:$I$89,3,0)*VLOOKUP('Données projet'!$B$14,Paramètres!$A$1:$I$89,5,0)</f>
        <v>3.7243808037601412E-14</v>
      </c>
      <c r="DQ155" s="14">
        <f t="shared" si="176"/>
        <v>6.2767589361185393E-13</v>
      </c>
      <c r="DR155" s="22">
        <f t="shared" si="177"/>
        <v>1.1580684803728015E-12</v>
      </c>
      <c r="DS155" s="62">
        <f t="shared" si="125"/>
        <v>293.33333333333445</v>
      </c>
      <c r="DT155" s="62">
        <f ca="1">AVERAGE(OFFSET($DS$3,0,0,'Données projet'!$E$14+1,1))-AVERAGE(OFFSET($H$3,0,0,'Données projet'!$E$14+1,1))</f>
        <v>210.08998695869161</v>
      </c>
      <c r="DU155" s="62">
        <f t="shared" si="152"/>
        <v>207.30911916430881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>
        <f>EXP(-LN(2)/35)*EA154+(1-EXP(-LN(2)/35))/(LN(2)/35)*DW155*DX155*VLOOKUP('Données projet'!$B$14,Paramètres!$A$1:$I$89,3,0)*0.475*44/12</f>
        <v>4.1053371883131372E-2</v>
      </c>
      <c r="EB155" s="23">
        <f>EXP(-LN(2)/25)*EB154+(1-EXP(-LN(2)/25))/(LN(2)/25)*Calculateur!DW155*Calculateur!DY155*VLOOKUP('Données projet'!$B$14,Paramètres!$A$1:$I$89,3,0)*0.475*44/12</f>
        <v>0</v>
      </c>
      <c r="EC155" s="23">
        <f>EXP(-LN(2)/2)*EC154+(1-EXP(-LN(2)/2))/(LN(2)/2)*DW155*DZ155*VLOOKUP('Données projet'!$B$14,Paramètres!$A$1:$I$89,3,0)*0.475*44/12</f>
        <v>0</v>
      </c>
      <c r="ED155" s="24">
        <f t="shared" si="178"/>
        <v>4.1053371883131372E-2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5.6843418860808015E-14</v>
      </c>
      <c r="EK155" s="18">
        <f>EJ155*VLOOKUP('Données projet'!$B$15,Paramètres!$A$1:$I$89,3,0)*VLOOKUP('Données projet'!$B$15,Paramètres!$A$1:$I$89,5,0)</f>
        <v>4.4337866711430253E-14</v>
      </c>
      <c r="EL155" s="14">
        <f t="shared" si="179"/>
        <v>7.3222115536967035E-13</v>
      </c>
      <c r="EM155" s="22">
        <f t="shared" si="180"/>
        <v>1.3525069634579169E-12</v>
      </c>
      <c r="EN155" s="62">
        <f t="shared" si="128"/>
        <v>293.33333333333468</v>
      </c>
      <c r="EO155" s="62">
        <f ca="1">AVERAGE(OFFSET($EN$3,0,0,'Données projet'!$E$15+1,1))-AVERAGE(OFFSET($H$3,0,0,'Données projet'!$E$15+1,1))</f>
        <v>288.82868507674738</v>
      </c>
      <c r="EP155" s="62">
        <f t="shared" si="154"/>
        <v>283.48738729114024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>
        <f>EXP(-LN(2)/35)*EV154+(1-EXP(-LN(2)/35))/(LN(2)/35)*ER155*ES155*VLOOKUP('Données projet'!$B$15,Paramètres!$A$1:$I$89,3,0)*0.475*44/12</f>
        <v>0.16188070498970231</v>
      </c>
      <c r="EW155" s="23">
        <f>EXP(-LN(2)/25)*EW154+(1-EXP(-LN(2)/25))/(LN(2)/25)*Calculateur!ER155*Calculateur!ET155*VLOOKUP('Données projet'!$B$15,Paramètres!$A$1:$I$89,3,0)*0.475*44/12</f>
        <v>0</v>
      </c>
      <c r="EX155" s="23">
        <f>EXP(-LN(2)/2)*EX154+(1-EXP(-LN(2)/2))/(LN(2)/2)*ER155*EU155*VLOOKUP('Données projet'!$B$15,Paramètres!$A$1:$I$89,3,0)*0.475*44/12</f>
        <v>0</v>
      </c>
      <c r="EY155" s="24">
        <f t="shared" si="181"/>
        <v>0.16188070498970231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3.4106051316484809E-13</v>
      </c>
      <c r="O156" s="14">
        <f>N156*VLOOKUP('Données projet'!$B$9,Paramètres!$A$1:$I$89,3,0)*VLOOKUP('Données projet'!$B$9,Paramètres!$A$1:$I$89,5,0)</f>
        <v>1.5961632016114892E-13</v>
      </c>
      <c r="P156" s="14">
        <f t="shared" si="141"/>
        <v>2.2708641912150958E-12</v>
      </c>
      <c r="Q156" s="22">
        <f t="shared" si="162"/>
        <v>4.2330868906469593E-12</v>
      </c>
      <c r="R156" s="62">
        <f t="shared" si="109"/>
        <v>293.33333333333752</v>
      </c>
      <c r="S156" s="62">
        <f ca="1">AVERAGE(OFFSET($R$3,0,0,'Données projet'!$E$9+1,1))-AVERAGE(OFFSET($H$3,0,0,'Données projet'!$E$9+1,1))</f>
        <v>317.54276561627643</v>
      </c>
      <c r="T156" s="62">
        <f t="shared" si="142"/>
        <v>238.92443174298893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-1.1368683772161603E-13</v>
      </c>
      <c r="AJ156" s="14">
        <f>AI156*VLOOKUP('Données projet'!$B$10,Paramètres!$A$1:$I$89,3,0)*VLOOKUP('Données projet'!$B$10,Paramètres!$A$1:$I$89,5,0)</f>
        <v>-9.9316821433603781E-14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327.826081588335</v>
      </c>
      <c r="AO156" s="62">
        <f t="shared" si="144"/>
        <v>348.84706693879735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0.53787888185568122</v>
      </c>
      <c r="AV156" s="23">
        <f>EXP(-LN(2)/25)*AV155+(1-EXP(-LN(2)/25))/(LN(2)/25)*Calculateur!AQ156*Calculateur!AS156*VLOOKUP('Données projet'!$B$10,Paramètres!$A$1:$I$89,3,0)*0.475*44/12</f>
        <v>0.45317967521466229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0.99105855707034352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>
        <f>BD156*VLOOKUP('Données projet'!$B$11,Paramètres!$A$1:$I$89,3,0)*VLOOKUP('Données projet'!$B$11,Paramètres!$A$1:$I$89,5,0)</f>
        <v>0</v>
      </c>
      <c r="BF156" s="14" t="e">
        <f t="shared" si="167"/>
        <v>#NUM!</v>
      </c>
      <c r="BG156" s="22" t="e">
        <f t="shared" si="168"/>
        <v>#NUM!</v>
      </c>
      <c r="BH156" s="62" t="e">
        <f t="shared" si="116"/>
        <v>#NUM!</v>
      </c>
      <c r="BI156" s="62">
        <f ca="1">AVERAGE(OFFSET($BH$3,0,0,'Données projet'!$E$11+1,1))-AVERAGE(OFFSET($H$3,0,0,'Données projet'!$E$11+1,1))</f>
        <v>487.04124684635974</v>
      </c>
      <c r="BJ156" s="62">
        <f t="shared" si="146"/>
        <v>306.61893266146666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0.23623059000418439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0.23623059000418439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>
        <f>BY156*VLOOKUP('Données projet'!$B$12,Paramètres!$A$1:$I$89,3,0)*VLOOKUP('Données projet'!$B$12,Paramètres!$A$1:$I$89,5,0)</f>
        <v>0</v>
      </c>
      <c r="CA156" s="14" t="e">
        <f t="shared" si="170"/>
        <v>#NUM!</v>
      </c>
      <c r="CB156" s="22" t="e">
        <f t="shared" si="171"/>
        <v>#NUM!</v>
      </c>
      <c r="CC156" s="62" t="e">
        <f t="shared" si="119"/>
        <v>#NUM!</v>
      </c>
      <c r="CD156" s="62">
        <f ca="1">AVERAGE(OFFSET($CC$3,0,0,'Données projet'!$E$12+1,1))-AVERAGE(OFFSET($H$3,0,0,'Données projet'!$E$12+1,1))</f>
        <v>439.06700232017681</v>
      </c>
      <c r="CE156" s="62">
        <f t="shared" si="148"/>
        <v>278.21741231699929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0.21079037261911818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0.21079037261911818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317.99999999999972</v>
      </c>
      <c r="CU156" s="18">
        <f>CT156*VLOOKUP('Données projet'!$B$13,Paramètres!$A$1:$I$89,3,0)*VLOOKUP('Données projet'!$B$13,Paramètres!$A$1:$I$89,5,0)</f>
        <v>233.1575999999998</v>
      </c>
      <c r="CV156" s="14">
        <f t="shared" si="173"/>
        <v>56.964885721091697</v>
      </c>
      <c r="CW156" s="22">
        <f t="shared" si="174"/>
        <v>505.29666263090093</v>
      </c>
      <c r="CX156" s="62">
        <f t="shared" si="122"/>
        <v>798.62999596423424</v>
      </c>
      <c r="CY156" s="62">
        <f ca="1">AVERAGE(OFFSET($CX$3,0,0,'Données projet'!$E$13+1,1))-AVERAGE(OFFSET($H$3,0,0,'Données projet'!$E$13+1,1))</f>
        <v>327.81662150328646</v>
      </c>
      <c r="CZ156" s="62">
        <f t="shared" si="150"/>
        <v>320.24200483294322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0.1751548142710754</v>
      </c>
      <c r="DG156" s="23">
        <f>EXP(-LN(2)/25)*DG155+(1-EXP(-LN(2)/25))/(LN(2)/25)*Calculateur!DB156*Calculateur!DD156*VLOOKUP('Données projet'!$B$13,Paramètres!$A$1:$I$89,3,0)*0.475*44/12</f>
        <v>0</v>
      </c>
      <c r="DH156" s="23">
        <f>EXP(-LN(2)/2)*DH155+(1-EXP(-LN(2)/2))/(LN(2)/2)*DB156*DE156*VLOOKUP('Données projet'!$B$13,Paramètres!$A$1:$I$89,3,0)*0.475*44/12</f>
        <v>0</v>
      </c>
      <c r="DI156" s="24">
        <f t="shared" si="175"/>
        <v>0.1751548142710754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5.6843418860808015E-14</v>
      </c>
      <c r="DP156" s="18">
        <f>DO156*VLOOKUP('Données projet'!$B$14,Paramètres!$A$1:$I$89,3,0)*VLOOKUP('Données projet'!$B$14,Paramètres!$A$1:$I$89,5,0)</f>
        <v>3.7243808037601412E-14</v>
      </c>
      <c r="DQ156" s="14">
        <f t="shared" si="176"/>
        <v>6.2767589361185393E-13</v>
      </c>
      <c r="DR156" s="22">
        <f t="shared" si="177"/>
        <v>1.1580684803728015E-12</v>
      </c>
      <c r="DS156" s="62">
        <f t="shared" si="125"/>
        <v>293.33333333333445</v>
      </c>
      <c r="DT156" s="62">
        <f ca="1">AVERAGE(OFFSET($DS$3,0,0,'Données projet'!$E$14+1,1))-AVERAGE(OFFSET($H$3,0,0,'Données projet'!$E$14+1,1))</f>
        <v>210.08998695869161</v>
      </c>
      <c r="DU156" s="62">
        <f t="shared" si="152"/>
        <v>207.30911916430881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>
        <f>EXP(-LN(2)/35)*EA155+(1-EXP(-LN(2)/35))/(LN(2)/35)*DW156*DX156*VLOOKUP('Données projet'!$B$14,Paramètres!$A$1:$I$89,3,0)*0.475*44/12</f>
        <v>4.0248340300587514E-2</v>
      </c>
      <c r="EB156" s="23">
        <f>EXP(-LN(2)/25)*EB155+(1-EXP(-LN(2)/25))/(LN(2)/25)*Calculateur!DW156*Calculateur!DY156*VLOOKUP('Données projet'!$B$14,Paramètres!$A$1:$I$89,3,0)*0.475*44/12</f>
        <v>0</v>
      </c>
      <c r="EC156" s="23">
        <f>EXP(-LN(2)/2)*EC155+(1-EXP(-LN(2)/2))/(LN(2)/2)*DW156*DZ156*VLOOKUP('Données projet'!$B$14,Paramètres!$A$1:$I$89,3,0)*0.475*44/12</f>
        <v>0</v>
      </c>
      <c r="ED156" s="24">
        <f t="shared" si="178"/>
        <v>4.0248340300587514E-2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5.6843418860808015E-14</v>
      </c>
      <c r="EK156" s="18">
        <f>EJ156*VLOOKUP('Données projet'!$B$15,Paramètres!$A$1:$I$89,3,0)*VLOOKUP('Données projet'!$B$15,Paramètres!$A$1:$I$89,5,0)</f>
        <v>4.4337866711430253E-14</v>
      </c>
      <c r="EL156" s="14">
        <f t="shared" si="179"/>
        <v>7.3222115536967035E-13</v>
      </c>
      <c r="EM156" s="22">
        <f t="shared" si="180"/>
        <v>1.3525069634579169E-12</v>
      </c>
      <c r="EN156" s="62">
        <f t="shared" si="128"/>
        <v>293.33333333333468</v>
      </c>
      <c r="EO156" s="62">
        <f ca="1">AVERAGE(OFFSET($EN$3,0,0,'Données projet'!$E$15+1,1))-AVERAGE(OFFSET($H$3,0,0,'Données projet'!$E$15+1,1))</f>
        <v>288.82868507674738</v>
      </c>
      <c r="EP156" s="62">
        <f t="shared" si="154"/>
        <v>283.48738729114024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>
        <f>EXP(-LN(2)/35)*EV155+(1-EXP(-LN(2)/35))/(LN(2)/35)*ER156*ES156*VLOOKUP('Données projet'!$B$15,Paramètres!$A$1:$I$89,3,0)*0.475*44/12</f>
        <v>0.15870632310233476</v>
      </c>
      <c r="EW156" s="23">
        <f>EXP(-LN(2)/25)*EW155+(1-EXP(-LN(2)/25))/(LN(2)/25)*Calculateur!ER156*Calculateur!ET156*VLOOKUP('Données projet'!$B$15,Paramètres!$A$1:$I$89,3,0)*0.475*44/12</f>
        <v>0</v>
      </c>
      <c r="EX156" s="23">
        <f>EXP(-LN(2)/2)*EX155+(1-EXP(-LN(2)/2))/(LN(2)/2)*ER156*EU156*VLOOKUP('Données projet'!$B$15,Paramètres!$A$1:$I$89,3,0)*0.475*44/12</f>
        <v>0</v>
      </c>
      <c r="EY156" s="24">
        <f t="shared" si="181"/>
        <v>0.15870632310233476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3.4106051316484809E-13</v>
      </c>
      <c r="O157" s="14">
        <f>N157*VLOOKUP('Données projet'!$B$9,Paramètres!$A$1:$I$89,3,0)*VLOOKUP('Données projet'!$B$9,Paramètres!$A$1:$I$89,5,0)</f>
        <v>1.5961632016114892E-13</v>
      </c>
      <c r="P157" s="14">
        <f t="shared" si="141"/>
        <v>2.2708641912150958E-12</v>
      </c>
      <c r="Q157" s="22">
        <f t="shared" si="162"/>
        <v>4.2330868906469593E-12</v>
      </c>
      <c r="R157" s="62">
        <f t="shared" si="109"/>
        <v>293.33333333333752</v>
      </c>
      <c r="S157" s="62">
        <f ca="1">AVERAGE(OFFSET($R$3,0,0,'Données projet'!$E$9+1,1))-AVERAGE(OFFSET($H$3,0,0,'Données projet'!$E$9+1,1))</f>
        <v>317.54276561627643</v>
      </c>
      <c r="T157" s="62">
        <f t="shared" si="142"/>
        <v>238.92443174298893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-1.1368683772161603E-13</v>
      </c>
      <c r="AJ157" s="14">
        <f>AI157*VLOOKUP('Données projet'!$B$10,Paramètres!$A$1:$I$89,3,0)*VLOOKUP('Données projet'!$B$10,Paramètres!$A$1:$I$89,5,0)</f>
        <v>-9.9316821433603781E-14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327.826081588335</v>
      </c>
      <c r="AO157" s="62">
        <f t="shared" si="144"/>
        <v>348.84706693879735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0.52733140505621467</v>
      </c>
      <c r="AV157" s="23">
        <f>EXP(-LN(2)/25)*AV156+(1-EXP(-LN(2)/25))/(LN(2)/25)*Calculateur!AQ157*Calculateur!AS157*VLOOKUP('Données projet'!$B$10,Paramètres!$A$1:$I$89,3,0)*0.475*44/12</f>
        <v>0.44078745316423401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0.96811885822044874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>
        <f>BD157*VLOOKUP('Données projet'!$B$11,Paramètres!$A$1:$I$89,3,0)*VLOOKUP('Données projet'!$B$11,Paramètres!$A$1:$I$89,5,0)</f>
        <v>0</v>
      </c>
      <c r="BF157" s="14" t="e">
        <f t="shared" si="167"/>
        <v>#NUM!</v>
      </c>
      <c r="BG157" s="22" t="e">
        <f t="shared" si="168"/>
        <v>#NUM!</v>
      </c>
      <c r="BH157" s="62" t="e">
        <f t="shared" si="116"/>
        <v>#NUM!</v>
      </c>
      <c r="BI157" s="62">
        <f ca="1">AVERAGE(OFFSET($BH$3,0,0,'Données projet'!$E$11+1,1))-AVERAGE(OFFSET($H$3,0,0,'Données projet'!$E$11+1,1))</f>
        <v>487.04124684635974</v>
      </c>
      <c r="BJ157" s="62">
        <f t="shared" si="146"/>
        <v>306.61893266146666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0.23159825222063488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0.23159825222063488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>
        <f>BY157*VLOOKUP('Données projet'!$B$12,Paramètres!$A$1:$I$89,3,0)*VLOOKUP('Données projet'!$B$12,Paramètres!$A$1:$I$89,5,0)</f>
        <v>0</v>
      </c>
      <c r="CA157" s="14" t="e">
        <f t="shared" si="170"/>
        <v>#NUM!</v>
      </c>
      <c r="CB157" s="22" t="e">
        <f t="shared" si="171"/>
        <v>#NUM!</v>
      </c>
      <c r="CC157" s="62" t="e">
        <f t="shared" si="119"/>
        <v>#NUM!</v>
      </c>
      <c r="CD157" s="62">
        <f ca="1">AVERAGE(OFFSET($CC$3,0,0,'Données projet'!$E$12+1,1))-AVERAGE(OFFSET($H$3,0,0,'Données projet'!$E$12+1,1))</f>
        <v>439.06700232017681</v>
      </c>
      <c r="CE157" s="62">
        <f t="shared" si="148"/>
        <v>278.21741231699929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0.20665690198148939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0.20665690198148939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317.99999999999972</v>
      </c>
      <c r="CU157" s="18">
        <f>CT157*VLOOKUP('Données projet'!$B$13,Paramètres!$A$1:$I$89,3,0)*VLOOKUP('Données projet'!$B$13,Paramètres!$A$1:$I$89,5,0)</f>
        <v>233.1575999999998</v>
      </c>
      <c r="CV157" s="14">
        <f t="shared" si="173"/>
        <v>56.964885721091697</v>
      </c>
      <c r="CW157" s="22">
        <f t="shared" si="174"/>
        <v>505.29666263090093</v>
      </c>
      <c r="CX157" s="62">
        <f t="shared" si="122"/>
        <v>798.62999596423424</v>
      </c>
      <c r="CY157" s="62">
        <f ca="1">AVERAGE(OFFSET($CX$3,0,0,'Données projet'!$E$13+1,1))-AVERAGE(OFFSET($H$3,0,0,'Données projet'!$E$13+1,1))</f>
        <v>327.81662150328646</v>
      </c>
      <c r="CZ157" s="62">
        <f t="shared" si="150"/>
        <v>320.24200483294322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0.17172013519710735</v>
      </c>
      <c r="DG157" s="23">
        <f>EXP(-LN(2)/25)*DG156+(1-EXP(-LN(2)/25))/(LN(2)/25)*Calculateur!DB157*Calculateur!DD157*VLOOKUP('Données projet'!$B$13,Paramètres!$A$1:$I$89,3,0)*0.475*44/12</f>
        <v>0</v>
      </c>
      <c r="DH157" s="23">
        <f>EXP(-LN(2)/2)*DH156+(1-EXP(-LN(2)/2))/(LN(2)/2)*DB157*DE157*VLOOKUP('Données projet'!$B$13,Paramètres!$A$1:$I$89,3,0)*0.475*44/12</f>
        <v>0</v>
      </c>
      <c r="DI157" s="24">
        <f t="shared" si="175"/>
        <v>0.17172013519710735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5.6843418860808015E-14</v>
      </c>
      <c r="DP157" s="18">
        <f>DO157*VLOOKUP('Données projet'!$B$14,Paramètres!$A$1:$I$89,3,0)*VLOOKUP('Données projet'!$B$14,Paramètres!$A$1:$I$89,5,0)</f>
        <v>3.7243808037601412E-14</v>
      </c>
      <c r="DQ157" s="14">
        <f t="shared" si="176"/>
        <v>6.2767589361185393E-13</v>
      </c>
      <c r="DR157" s="22">
        <f t="shared" si="177"/>
        <v>1.1580684803728015E-12</v>
      </c>
      <c r="DS157" s="62">
        <f t="shared" si="125"/>
        <v>293.33333333333445</v>
      </c>
      <c r="DT157" s="62">
        <f ca="1">AVERAGE(OFFSET($DS$3,0,0,'Données projet'!$E$14+1,1))-AVERAGE(OFFSET($H$3,0,0,'Données projet'!$E$14+1,1))</f>
        <v>210.08998695869161</v>
      </c>
      <c r="DU157" s="62">
        <f t="shared" si="152"/>
        <v>207.30911916430881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>
        <f>EXP(-LN(2)/35)*EA156+(1-EXP(-LN(2)/35))/(LN(2)/35)*DW157*DX157*VLOOKUP('Données projet'!$B$14,Paramètres!$A$1:$I$89,3,0)*0.475*44/12</f>
        <v>3.9459094896356559E-2</v>
      </c>
      <c r="EB157" s="23">
        <f>EXP(-LN(2)/25)*EB156+(1-EXP(-LN(2)/25))/(LN(2)/25)*Calculateur!DW157*Calculateur!DY157*VLOOKUP('Données projet'!$B$14,Paramètres!$A$1:$I$89,3,0)*0.475*44/12</f>
        <v>0</v>
      </c>
      <c r="EC157" s="23">
        <f>EXP(-LN(2)/2)*EC156+(1-EXP(-LN(2)/2))/(LN(2)/2)*DW157*DZ157*VLOOKUP('Données projet'!$B$14,Paramètres!$A$1:$I$89,3,0)*0.475*44/12</f>
        <v>0</v>
      </c>
      <c r="ED157" s="24">
        <f t="shared" si="178"/>
        <v>3.9459094896356559E-2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5.6843418860808015E-14</v>
      </c>
      <c r="EK157" s="18">
        <f>EJ157*VLOOKUP('Données projet'!$B$15,Paramètres!$A$1:$I$89,3,0)*VLOOKUP('Données projet'!$B$15,Paramètres!$A$1:$I$89,5,0)</f>
        <v>4.4337866711430253E-14</v>
      </c>
      <c r="EL157" s="14">
        <f t="shared" si="179"/>
        <v>7.3222115536967035E-13</v>
      </c>
      <c r="EM157" s="22">
        <f t="shared" si="180"/>
        <v>1.3525069634579169E-12</v>
      </c>
      <c r="EN157" s="62">
        <f t="shared" si="128"/>
        <v>293.33333333333468</v>
      </c>
      <c r="EO157" s="62">
        <f ca="1">AVERAGE(OFFSET($EN$3,0,0,'Données projet'!$E$15+1,1))-AVERAGE(OFFSET($H$3,0,0,'Données projet'!$E$15+1,1))</f>
        <v>288.82868507674738</v>
      </c>
      <c r="EP157" s="62">
        <f t="shared" si="154"/>
        <v>283.48738729114024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>
        <f>EXP(-LN(2)/35)*EV156+(1-EXP(-LN(2)/35))/(LN(2)/35)*ER157*ES157*VLOOKUP('Données projet'!$B$15,Paramètres!$A$1:$I$89,3,0)*0.475*44/12</f>
        <v>0.15559418890759674</v>
      </c>
      <c r="EW157" s="23">
        <f>EXP(-LN(2)/25)*EW156+(1-EXP(-LN(2)/25))/(LN(2)/25)*Calculateur!ER157*Calculateur!ET157*VLOOKUP('Données projet'!$B$15,Paramètres!$A$1:$I$89,3,0)*0.475*44/12</f>
        <v>0</v>
      </c>
      <c r="EX157" s="23">
        <f>EXP(-LN(2)/2)*EX156+(1-EXP(-LN(2)/2))/(LN(2)/2)*ER157*EU157*VLOOKUP('Données projet'!$B$15,Paramètres!$A$1:$I$89,3,0)*0.475*44/12</f>
        <v>0</v>
      </c>
      <c r="EY157" s="24">
        <f t="shared" si="181"/>
        <v>0.15559418890759674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3.4106051316484809E-13</v>
      </c>
      <c r="O158" s="14">
        <f>N158*VLOOKUP('Données projet'!$B$9,Paramètres!$A$1:$I$89,3,0)*VLOOKUP('Données projet'!$B$9,Paramètres!$A$1:$I$89,5,0)</f>
        <v>1.5961632016114892E-13</v>
      </c>
      <c r="P158" s="14">
        <f t="shared" si="141"/>
        <v>2.2708641912150958E-12</v>
      </c>
      <c r="Q158" s="22">
        <f t="shared" si="162"/>
        <v>4.2330868906469593E-12</v>
      </c>
      <c r="R158" s="62">
        <f t="shared" si="109"/>
        <v>293.33333333333752</v>
      </c>
      <c r="S158" s="62">
        <f ca="1">AVERAGE(OFFSET($R$3,0,0,'Données projet'!$E$9+1,1))-AVERAGE(OFFSET($H$3,0,0,'Données projet'!$E$9+1,1))</f>
        <v>317.54276561627643</v>
      </c>
      <c r="T158" s="62">
        <f t="shared" si="142"/>
        <v>238.92443174298893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-1.1368683772161603E-13</v>
      </c>
      <c r="AJ158" s="14">
        <f>AI158*VLOOKUP('Données projet'!$B$10,Paramètres!$A$1:$I$89,3,0)*VLOOKUP('Données projet'!$B$10,Paramètres!$A$1:$I$89,5,0)</f>
        <v>-9.9316821433603781E-14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327.826081588335</v>
      </c>
      <c r="AO158" s="62">
        <f t="shared" si="144"/>
        <v>348.84706693879735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0.51699075784346005</v>
      </c>
      <c r="AV158" s="23">
        <f>EXP(-LN(2)/25)*AV157+(1-EXP(-LN(2)/25))/(LN(2)/25)*Calculateur!AQ158*Calculateur!AS158*VLOOKUP('Données projet'!$B$10,Paramètres!$A$1:$I$89,3,0)*0.475*44/12</f>
        <v>0.4287340970774533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0.9457248549209134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>
        <f>BD158*VLOOKUP('Données projet'!$B$11,Paramètres!$A$1:$I$89,3,0)*VLOOKUP('Données projet'!$B$11,Paramètres!$A$1:$I$89,5,0)</f>
        <v>0</v>
      </c>
      <c r="BF158" s="14" t="e">
        <f t="shared" si="167"/>
        <v>#NUM!</v>
      </c>
      <c r="BG158" s="22" t="e">
        <f t="shared" si="168"/>
        <v>#NUM!</v>
      </c>
      <c r="BH158" s="62" t="e">
        <f t="shared" si="116"/>
        <v>#NUM!</v>
      </c>
      <c r="BI158" s="62">
        <f ca="1">AVERAGE(OFFSET($BH$3,0,0,'Données projet'!$E$11+1,1))-AVERAGE(OFFSET($H$3,0,0,'Données projet'!$E$11+1,1))</f>
        <v>487.04124684635974</v>
      </c>
      <c r="BJ158" s="62">
        <f t="shared" si="146"/>
        <v>306.61893266146666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0.22705675175557372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0.22705675175557372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>
        <f>BY158*VLOOKUP('Données projet'!$B$12,Paramètres!$A$1:$I$89,3,0)*VLOOKUP('Données projet'!$B$12,Paramètres!$A$1:$I$89,5,0)</f>
        <v>0</v>
      </c>
      <c r="CA158" s="14" t="e">
        <f t="shared" si="170"/>
        <v>#NUM!</v>
      </c>
      <c r="CB158" s="22" t="e">
        <f t="shared" si="171"/>
        <v>#NUM!</v>
      </c>
      <c r="CC158" s="62" t="e">
        <f t="shared" si="119"/>
        <v>#NUM!</v>
      </c>
      <c r="CD158" s="62">
        <f ca="1">AVERAGE(OFFSET($CC$3,0,0,'Données projet'!$E$12+1,1))-AVERAGE(OFFSET($H$3,0,0,'Données projet'!$E$12+1,1))</f>
        <v>439.06700232017681</v>
      </c>
      <c r="CE158" s="62">
        <f t="shared" si="148"/>
        <v>278.21741231699929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0.20260448618189636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0.20260448618189636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317.99999999999972</v>
      </c>
      <c r="CU158" s="18">
        <f>CT158*VLOOKUP('Données projet'!$B$13,Paramètres!$A$1:$I$89,3,0)*VLOOKUP('Données projet'!$B$13,Paramètres!$A$1:$I$89,5,0)</f>
        <v>233.1575999999998</v>
      </c>
      <c r="CV158" s="14">
        <f t="shared" si="173"/>
        <v>56.964885721091697</v>
      </c>
      <c r="CW158" s="22">
        <f t="shared" si="174"/>
        <v>505.29666263090093</v>
      </c>
      <c r="CX158" s="62">
        <f t="shared" si="122"/>
        <v>798.62999596423424</v>
      </c>
      <c r="CY158" s="62">
        <f ca="1">AVERAGE(OFFSET($CX$3,0,0,'Données projet'!$E$13+1,1))-AVERAGE(OFFSET($H$3,0,0,'Données projet'!$E$13+1,1))</f>
        <v>327.81662150328646</v>
      </c>
      <c r="CZ158" s="62">
        <f t="shared" si="150"/>
        <v>320.24200483294322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0.16835280808483244</v>
      </c>
      <c r="DG158" s="23">
        <f>EXP(-LN(2)/25)*DG157+(1-EXP(-LN(2)/25))/(LN(2)/25)*Calculateur!DB158*Calculateur!DD158*VLOOKUP('Données projet'!$B$13,Paramètres!$A$1:$I$89,3,0)*0.475*44/12</f>
        <v>0</v>
      </c>
      <c r="DH158" s="23">
        <f>EXP(-LN(2)/2)*DH157+(1-EXP(-LN(2)/2))/(LN(2)/2)*DB158*DE158*VLOOKUP('Données projet'!$B$13,Paramètres!$A$1:$I$89,3,0)*0.475*44/12</f>
        <v>0</v>
      </c>
      <c r="DI158" s="24">
        <f t="shared" si="175"/>
        <v>0.16835280808483244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5.6843418860808015E-14</v>
      </c>
      <c r="DP158" s="18">
        <f>DO158*VLOOKUP('Données projet'!$B$14,Paramètres!$A$1:$I$89,3,0)*VLOOKUP('Données projet'!$B$14,Paramètres!$A$1:$I$89,5,0)</f>
        <v>3.7243808037601412E-14</v>
      </c>
      <c r="DQ158" s="14">
        <f t="shared" si="176"/>
        <v>6.2767589361185393E-13</v>
      </c>
      <c r="DR158" s="22">
        <f t="shared" si="177"/>
        <v>1.1580684803728015E-12</v>
      </c>
      <c r="DS158" s="62">
        <f t="shared" si="125"/>
        <v>293.33333333333445</v>
      </c>
      <c r="DT158" s="62">
        <f ca="1">AVERAGE(OFFSET($DS$3,0,0,'Données projet'!$E$14+1,1))-AVERAGE(OFFSET($H$3,0,0,'Données projet'!$E$14+1,1))</f>
        <v>210.08998695869161</v>
      </c>
      <c r="DU158" s="62">
        <f t="shared" si="152"/>
        <v>207.30911916430881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>
        <f>EXP(-LN(2)/35)*EA157+(1-EXP(-LN(2)/35))/(LN(2)/35)*DW158*DX158*VLOOKUP('Données projet'!$B$14,Paramètres!$A$1:$I$89,3,0)*0.475*44/12</f>
        <v>3.8685326113110409E-2</v>
      </c>
      <c r="EB158" s="23">
        <f>EXP(-LN(2)/25)*EB157+(1-EXP(-LN(2)/25))/(LN(2)/25)*Calculateur!DW158*Calculateur!DY158*VLOOKUP('Données projet'!$B$14,Paramètres!$A$1:$I$89,3,0)*0.475*44/12</f>
        <v>0</v>
      </c>
      <c r="EC158" s="23">
        <f>EXP(-LN(2)/2)*EC157+(1-EXP(-LN(2)/2))/(LN(2)/2)*DW158*DZ158*VLOOKUP('Données projet'!$B$14,Paramètres!$A$1:$I$89,3,0)*0.475*44/12</f>
        <v>0</v>
      </c>
      <c r="ED158" s="24">
        <f t="shared" si="178"/>
        <v>3.8685326113110409E-2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5.6843418860808015E-14</v>
      </c>
      <c r="EK158" s="18">
        <f>EJ158*VLOOKUP('Données projet'!$B$15,Paramètres!$A$1:$I$89,3,0)*VLOOKUP('Données projet'!$B$15,Paramètres!$A$1:$I$89,5,0)</f>
        <v>4.4337866711430253E-14</v>
      </c>
      <c r="EL158" s="14">
        <f t="shared" si="179"/>
        <v>7.3222115536967035E-13</v>
      </c>
      <c r="EM158" s="22">
        <f t="shared" si="180"/>
        <v>1.3525069634579169E-12</v>
      </c>
      <c r="EN158" s="62">
        <f t="shared" si="128"/>
        <v>293.33333333333468</v>
      </c>
      <c r="EO158" s="62">
        <f ca="1">AVERAGE(OFFSET($EN$3,0,0,'Données projet'!$E$15+1,1))-AVERAGE(OFFSET($H$3,0,0,'Données projet'!$E$15+1,1))</f>
        <v>288.82868507674738</v>
      </c>
      <c r="EP158" s="62">
        <f t="shared" si="154"/>
        <v>283.48738729114024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>
        <f>EXP(-LN(2)/35)*EV157+(1-EXP(-LN(2)/35))/(LN(2)/35)*ER158*ES158*VLOOKUP('Données projet'!$B$15,Paramètres!$A$1:$I$89,3,0)*0.475*44/12</f>
        <v>0.1525430817662031</v>
      </c>
      <c r="EW158" s="23">
        <f>EXP(-LN(2)/25)*EW157+(1-EXP(-LN(2)/25))/(LN(2)/25)*Calculateur!ER158*Calculateur!ET158*VLOOKUP('Données projet'!$B$15,Paramètres!$A$1:$I$89,3,0)*0.475*44/12</f>
        <v>0</v>
      </c>
      <c r="EX158" s="23">
        <f>EXP(-LN(2)/2)*EX157+(1-EXP(-LN(2)/2))/(LN(2)/2)*ER158*EU158*VLOOKUP('Données projet'!$B$15,Paramètres!$A$1:$I$89,3,0)*0.475*44/12</f>
        <v>0</v>
      </c>
      <c r="EY158" s="24">
        <f t="shared" si="181"/>
        <v>0.1525430817662031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3.4106051316484809E-13</v>
      </c>
      <c r="O159" s="14">
        <f>N159*VLOOKUP('Données projet'!$B$9,Paramètres!$A$1:$I$89,3,0)*VLOOKUP('Données projet'!$B$9,Paramètres!$A$1:$I$89,5,0)</f>
        <v>1.5961632016114892E-13</v>
      </c>
      <c r="P159" s="14">
        <f t="shared" si="141"/>
        <v>2.2708641912150958E-12</v>
      </c>
      <c r="Q159" s="22">
        <f t="shared" si="162"/>
        <v>4.2330868906469593E-12</v>
      </c>
      <c r="R159" s="62">
        <f t="shared" si="109"/>
        <v>293.33333333333752</v>
      </c>
      <c r="S159" s="62">
        <f ca="1">AVERAGE(OFFSET($R$3,0,0,'Données projet'!$E$9+1,1))-AVERAGE(OFFSET($H$3,0,0,'Données projet'!$E$9+1,1))</f>
        <v>317.54276561627643</v>
      </c>
      <c r="T159" s="62">
        <f t="shared" si="142"/>
        <v>238.92443174298893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-1.1368683772161603E-13</v>
      </c>
      <c r="AJ159" s="14">
        <f>AI159*VLOOKUP('Données projet'!$B$10,Paramètres!$A$1:$I$89,3,0)*VLOOKUP('Données projet'!$B$10,Paramètres!$A$1:$I$89,5,0)</f>
        <v>-9.9316821433603781E-14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327.826081588335</v>
      </c>
      <c r="AO159" s="62">
        <f t="shared" si="144"/>
        <v>348.84706693879735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0.50685288441537546</v>
      </c>
      <c r="AV159" s="23">
        <f>EXP(-LN(2)/25)*AV158+(1-EXP(-LN(2)/25))/(LN(2)/25)*Calculateur!AQ159*Calculateur!AS159*VLOOKUP('Données projet'!$B$10,Paramètres!$A$1:$I$89,3,0)*0.475*44/12</f>
        <v>0.41701034064672404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0.9238632250620995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>
        <f>BD159*VLOOKUP('Données projet'!$B$11,Paramètres!$A$1:$I$89,3,0)*VLOOKUP('Données projet'!$B$11,Paramètres!$A$1:$I$89,5,0)</f>
        <v>0</v>
      </c>
      <c r="BF159" s="14" t="e">
        <f t="shared" si="167"/>
        <v>#NUM!</v>
      </c>
      <c r="BG159" s="22" t="e">
        <f t="shared" si="168"/>
        <v>#NUM!</v>
      </c>
      <c r="BH159" s="62" t="e">
        <f t="shared" si="116"/>
        <v>#NUM!</v>
      </c>
      <c r="BI159" s="62">
        <f ca="1">AVERAGE(OFFSET($BH$3,0,0,'Données projet'!$E$11+1,1))-AVERAGE(OFFSET($H$3,0,0,'Données projet'!$E$11+1,1))</f>
        <v>487.04124684635974</v>
      </c>
      <c r="BJ159" s="62">
        <f t="shared" si="146"/>
        <v>306.61893266146666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0.22260430734459064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0.22260430734459064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>
        <f>BY159*VLOOKUP('Données projet'!$B$12,Paramètres!$A$1:$I$89,3,0)*VLOOKUP('Données projet'!$B$12,Paramètres!$A$1:$I$89,5,0)</f>
        <v>0</v>
      </c>
      <c r="CA159" s="14" t="e">
        <f t="shared" si="170"/>
        <v>#NUM!</v>
      </c>
      <c r="CB159" s="22" t="e">
        <f t="shared" si="171"/>
        <v>#NUM!</v>
      </c>
      <c r="CC159" s="62" t="e">
        <f t="shared" si="119"/>
        <v>#NUM!</v>
      </c>
      <c r="CD159" s="62">
        <f ca="1">AVERAGE(OFFSET($CC$3,0,0,'Données projet'!$E$12+1,1))-AVERAGE(OFFSET($H$3,0,0,'Données projet'!$E$12+1,1))</f>
        <v>439.06700232017681</v>
      </c>
      <c r="CE159" s="62">
        <f t="shared" si="148"/>
        <v>278.21741231699929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0.19863153578440376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0.19863153578440376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317.99999999999972</v>
      </c>
      <c r="CU159" s="18">
        <f>CT159*VLOOKUP('Données projet'!$B$13,Paramètres!$A$1:$I$89,3,0)*VLOOKUP('Données projet'!$B$13,Paramètres!$A$1:$I$89,5,0)</f>
        <v>233.1575999999998</v>
      </c>
      <c r="CV159" s="14">
        <f t="shared" si="173"/>
        <v>56.964885721091697</v>
      </c>
      <c r="CW159" s="22">
        <f t="shared" si="174"/>
        <v>505.29666263090093</v>
      </c>
      <c r="CX159" s="62">
        <f t="shared" si="122"/>
        <v>798.62999596423424</v>
      </c>
      <c r="CY159" s="62">
        <f ca="1">AVERAGE(OFFSET($CX$3,0,0,'Données projet'!$E$13+1,1))-AVERAGE(OFFSET($H$3,0,0,'Données projet'!$E$13+1,1))</f>
        <v>327.81662150328646</v>
      </c>
      <c r="CZ159" s="62">
        <f t="shared" si="150"/>
        <v>320.24200483294322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0.1650515122033625</v>
      </c>
      <c r="DG159" s="23">
        <f>EXP(-LN(2)/25)*DG158+(1-EXP(-LN(2)/25))/(LN(2)/25)*Calculateur!DB159*Calculateur!DD159*VLOOKUP('Données projet'!$B$13,Paramètres!$A$1:$I$89,3,0)*0.475*44/12</f>
        <v>0</v>
      </c>
      <c r="DH159" s="23">
        <f>EXP(-LN(2)/2)*DH158+(1-EXP(-LN(2)/2))/(LN(2)/2)*DB159*DE159*VLOOKUP('Données projet'!$B$13,Paramètres!$A$1:$I$89,3,0)*0.475*44/12</f>
        <v>0</v>
      </c>
      <c r="DI159" s="24">
        <f t="shared" si="175"/>
        <v>0.1650515122033625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5.6843418860808015E-14</v>
      </c>
      <c r="DP159" s="18">
        <f>DO159*VLOOKUP('Données projet'!$B$14,Paramètres!$A$1:$I$89,3,0)*VLOOKUP('Données projet'!$B$14,Paramètres!$A$1:$I$89,5,0)</f>
        <v>3.7243808037601412E-14</v>
      </c>
      <c r="DQ159" s="14">
        <f t="shared" si="176"/>
        <v>6.2767589361185393E-13</v>
      </c>
      <c r="DR159" s="22">
        <f t="shared" si="177"/>
        <v>1.1580684803728015E-12</v>
      </c>
      <c r="DS159" s="62">
        <f t="shared" si="125"/>
        <v>293.33333333333445</v>
      </c>
      <c r="DT159" s="62">
        <f ca="1">AVERAGE(OFFSET($DS$3,0,0,'Données projet'!$E$14+1,1))-AVERAGE(OFFSET($H$3,0,0,'Données projet'!$E$14+1,1))</f>
        <v>210.08998695869161</v>
      </c>
      <c r="DU159" s="62">
        <f t="shared" si="152"/>
        <v>207.30911916430881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>
        <f>EXP(-LN(2)/35)*EA158+(1-EXP(-LN(2)/35))/(LN(2)/35)*DW159*DX159*VLOOKUP('Données projet'!$B$14,Paramètres!$A$1:$I$89,3,0)*0.475*44/12</f>
        <v>3.7926730463751362E-2</v>
      </c>
      <c r="EB159" s="23">
        <f>EXP(-LN(2)/25)*EB158+(1-EXP(-LN(2)/25))/(LN(2)/25)*Calculateur!DW159*Calculateur!DY159*VLOOKUP('Données projet'!$B$14,Paramètres!$A$1:$I$89,3,0)*0.475*44/12</f>
        <v>0</v>
      </c>
      <c r="EC159" s="23">
        <f>EXP(-LN(2)/2)*EC158+(1-EXP(-LN(2)/2))/(LN(2)/2)*DW159*DZ159*VLOOKUP('Données projet'!$B$14,Paramètres!$A$1:$I$89,3,0)*0.475*44/12</f>
        <v>0</v>
      </c>
      <c r="ED159" s="24">
        <f t="shared" si="178"/>
        <v>3.7926730463751362E-2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5.6843418860808015E-14</v>
      </c>
      <c r="EK159" s="18">
        <f>EJ159*VLOOKUP('Données projet'!$B$15,Paramètres!$A$1:$I$89,3,0)*VLOOKUP('Données projet'!$B$15,Paramètres!$A$1:$I$89,5,0)</f>
        <v>4.4337866711430253E-14</v>
      </c>
      <c r="EL159" s="14">
        <f t="shared" si="179"/>
        <v>7.3222115536967035E-13</v>
      </c>
      <c r="EM159" s="22">
        <f t="shared" si="180"/>
        <v>1.3525069634579169E-12</v>
      </c>
      <c r="EN159" s="62">
        <f t="shared" si="128"/>
        <v>293.33333333333468</v>
      </c>
      <c r="EO159" s="62">
        <f ca="1">AVERAGE(OFFSET($EN$3,0,0,'Données projet'!$E$15+1,1))-AVERAGE(OFFSET($H$3,0,0,'Données projet'!$E$15+1,1))</f>
        <v>288.82868507674738</v>
      </c>
      <c r="EP159" s="62">
        <f t="shared" si="154"/>
        <v>283.48738729114024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>
        <f>EXP(-LN(2)/35)*EV158+(1-EXP(-LN(2)/35))/(LN(2)/35)*ER159*ES159*VLOOKUP('Données projet'!$B$15,Paramètres!$A$1:$I$89,3,0)*0.475*44/12</f>
        <v>0.14955180497486059</v>
      </c>
      <c r="EW159" s="23">
        <f>EXP(-LN(2)/25)*EW158+(1-EXP(-LN(2)/25))/(LN(2)/25)*Calculateur!ER159*Calculateur!ET159*VLOOKUP('Données projet'!$B$15,Paramètres!$A$1:$I$89,3,0)*0.475*44/12</f>
        <v>0</v>
      </c>
      <c r="EX159" s="23">
        <f>EXP(-LN(2)/2)*EX158+(1-EXP(-LN(2)/2))/(LN(2)/2)*ER159*EU159*VLOOKUP('Données projet'!$B$15,Paramètres!$A$1:$I$89,3,0)*0.475*44/12</f>
        <v>0</v>
      </c>
      <c r="EY159" s="24">
        <f t="shared" si="181"/>
        <v>0.14955180497486059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3.4106051316484809E-13</v>
      </c>
      <c r="O160" s="14">
        <f>N160*VLOOKUP('Données projet'!$B$9,Paramètres!$A$1:$I$89,3,0)*VLOOKUP('Données projet'!$B$9,Paramètres!$A$1:$I$89,5,0)</f>
        <v>1.5961632016114892E-13</v>
      </c>
      <c r="P160" s="14">
        <f t="shared" si="141"/>
        <v>2.2708641912150958E-12</v>
      </c>
      <c r="Q160" s="22">
        <f t="shared" si="162"/>
        <v>4.2330868906469593E-12</v>
      </c>
      <c r="R160" s="62">
        <f t="shared" si="109"/>
        <v>293.33333333333752</v>
      </c>
      <c r="S160" s="62">
        <f ca="1">AVERAGE(OFFSET($R$3,0,0,'Données projet'!$E$9+1,1))-AVERAGE(OFFSET($H$3,0,0,'Données projet'!$E$9+1,1))</f>
        <v>317.54276561627643</v>
      </c>
      <c r="T160" s="62">
        <f t="shared" si="142"/>
        <v>238.92443174298893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-1.1368683772161603E-13</v>
      </c>
      <c r="AJ160" s="14">
        <f>AI160*VLOOKUP('Données projet'!$B$10,Paramètres!$A$1:$I$89,3,0)*VLOOKUP('Données projet'!$B$10,Paramètres!$A$1:$I$89,5,0)</f>
        <v>-9.9316821433603781E-14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327.826081588335</v>
      </c>
      <c r="AO160" s="62">
        <f t="shared" si="144"/>
        <v>348.84706693879735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0.49691380850172345</v>
      </c>
      <c r="AV160" s="23">
        <f>EXP(-LN(2)/25)*AV159+(1-EXP(-LN(2)/25))/(LN(2)/25)*Calculateur!AQ160*Calculateur!AS160*VLOOKUP('Données projet'!$B$10,Paramètres!$A$1:$I$89,3,0)*0.475*44/12</f>
        <v>0.40560717095211862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0.90252097945384202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>
        <f>BD160*VLOOKUP('Données projet'!$B$11,Paramètres!$A$1:$I$89,3,0)*VLOOKUP('Données projet'!$B$11,Paramètres!$A$1:$I$89,5,0)</f>
        <v>0</v>
      </c>
      <c r="BF160" s="14" t="e">
        <f t="shared" si="167"/>
        <v>#NUM!</v>
      </c>
      <c r="BG160" s="22" t="e">
        <f t="shared" si="168"/>
        <v>#NUM!</v>
      </c>
      <c r="BH160" s="62" t="e">
        <f t="shared" si="116"/>
        <v>#NUM!</v>
      </c>
      <c r="BI160" s="62">
        <f ca="1">AVERAGE(OFFSET($BH$3,0,0,'Données projet'!$E$11+1,1))-AVERAGE(OFFSET($H$3,0,0,'Données projet'!$E$11+1,1))</f>
        <v>487.04124684635974</v>
      </c>
      <c r="BJ160" s="62">
        <f t="shared" si="146"/>
        <v>306.61893266146666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0.218239172652784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0.218239172652784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>
        <f>BY160*VLOOKUP('Données projet'!$B$12,Paramètres!$A$1:$I$89,3,0)*VLOOKUP('Données projet'!$B$12,Paramètres!$A$1:$I$89,5,0)</f>
        <v>0</v>
      </c>
      <c r="CA160" s="14" t="e">
        <f t="shared" si="170"/>
        <v>#NUM!</v>
      </c>
      <c r="CB160" s="22" t="e">
        <f t="shared" si="171"/>
        <v>#NUM!</v>
      </c>
      <c r="CC160" s="62" t="e">
        <f t="shared" si="119"/>
        <v>#NUM!</v>
      </c>
      <c r="CD160" s="62">
        <f ca="1">AVERAGE(OFFSET($CC$3,0,0,'Données projet'!$E$12+1,1))-AVERAGE(OFFSET($H$3,0,0,'Données projet'!$E$12+1,1))</f>
        <v>439.06700232017681</v>
      </c>
      <c r="CE160" s="62">
        <f t="shared" si="148"/>
        <v>278.21741231699929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0.19473649252094555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0.19473649252094555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317.99999999999972</v>
      </c>
      <c r="CU160" s="18">
        <f>CT160*VLOOKUP('Données projet'!$B$13,Paramètres!$A$1:$I$89,3,0)*VLOOKUP('Données projet'!$B$13,Paramètres!$A$1:$I$89,5,0)</f>
        <v>233.1575999999998</v>
      </c>
      <c r="CV160" s="14">
        <f t="shared" si="173"/>
        <v>56.964885721091697</v>
      </c>
      <c r="CW160" s="22">
        <f t="shared" si="174"/>
        <v>505.29666263090093</v>
      </c>
      <c r="CX160" s="62">
        <f t="shared" si="122"/>
        <v>798.62999596423424</v>
      </c>
      <c r="CY160" s="62">
        <f ca="1">AVERAGE(OFFSET($CX$3,0,0,'Données projet'!$E$13+1,1))-AVERAGE(OFFSET($H$3,0,0,'Données projet'!$E$13+1,1))</f>
        <v>327.81662150328646</v>
      </c>
      <c r="CZ160" s="62">
        <f t="shared" si="150"/>
        <v>320.24200483294322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0.16181495272053653</v>
      </c>
      <c r="DG160" s="23">
        <f>EXP(-LN(2)/25)*DG159+(1-EXP(-LN(2)/25))/(LN(2)/25)*Calculateur!DB160*Calculateur!DD160*VLOOKUP('Données projet'!$B$13,Paramètres!$A$1:$I$89,3,0)*0.475*44/12</f>
        <v>0</v>
      </c>
      <c r="DH160" s="23">
        <f>EXP(-LN(2)/2)*DH159+(1-EXP(-LN(2)/2))/(LN(2)/2)*DB160*DE160*VLOOKUP('Données projet'!$B$13,Paramètres!$A$1:$I$89,3,0)*0.475*44/12</f>
        <v>0</v>
      </c>
      <c r="DI160" s="24">
        <f t="shared" si="175"/>
        <v>0.16181495272053653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5.6843418860808015E-14</v>
      </c>
      <c r="DP160" s="18">
        <f>DO160*VLOOKUP('Données projet'!$B$14,Paramètres!$A$1:$I$89,3,0)*VLOOKUP('Données projet'!$B$14,Paramètres!$A$1:$I$89,5,0)</f>
        <v>3.7243808037601412E-14</v>
      </c>
      <c r="DQ160" s="14">
        <f t="shared" si="176"/>
        <v>6.2767589361185393E-13</v>
      </c>
      <c r="DR160" s="22">
        <f t="shared" si="177"/>
        <v>1.1580684803728015E-12</v>
      </c>
      <c r="DS160" s="62">
        <f t="shared" si="125"/>
        <v>293.33333333333445</v>
      </c>
      <c r="DT160" s="62">
        <f ca="1">AVERAGE(OFFSET($DS$3,0,0,'Données projet'!$E$14+1,1))-AVERAGE(OFFSET($H$3,0,0,'Données projet'!$E$14+1,1))</f>
        <v>210.08998695869161</v>
      </c>
      <c r="DU160" s="62">
        <f t="shared" si="152"/>
        <v>207.30911916430881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>
        <f>EXP(-LN(2)/35)*EA159+(1-EXP(-LN(2)/35))/(LN(2)/35)*DW160*DX160*VLOOKUP('Données projet'!$B$14,Paramètres!$A$1:$I$89,3,0)*0.475*44/12</f>
        <v>3.7183010412378585E-2</v>
      </c>
      <c r="EB160" s="23">
        <f>EXP(-LN(2)/25)*EB159+(1-EXP(-LN(2)/25))/(LN(2)/25)*Calculateur!DW160*Calculateur!DY160*VLOOKUP('Données projet'!$B$14,Paramètres!$A$1:$I$89,3,0)*0.475*44/12</f>
        <v>0</v>
      </c>
      <c r="EC160" s="23">
        <f>EXP(-LN(2)/2)*EC159+(1-EXP(-LN(2)/2))/(LN(2)/2)*DW160*DZ160*VLOOKUP('Données projet'!$B$14,Paramètres!$A$1:$I$89,3,0)*0.475*44/12</f>
        <v>0</v>
      </c>
      <c r="ED160" s="24">
        <f t="shared" si="178"/>
        <v>3.7183010412378585E-2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5.6843418860808015E-14</v>
      </c>
      <c r="EK160" s="18">
        <f>EJ160*VLOOKUP('Données projet'!$B$15,Paramètres!$A$1:$I$89,3,0)*VLOOKUP('Données projet'!$B$15,Paramètres!$A$1:$I$89,5,0)</f>
        <v>4.4337866711430253E-14</v>
      </c>
      <c r="EL160" s="14">
        <f t="shared" si="179"/>
        <v>7.3222115536967035E-13</v>
      </c>
      <c r="EM160" s="22">
        <f t="shared" si="180"/>
        <v>1.3525069634579169E-12</v>
      </c>
      <c r="EN160" s="62">
        <f t="shared" si="128"/>
        <v>293.33333333333468</v>
      </c>
      <c r="EO160" s="62">
        <f ca="1">AVERAGE(OFFSET($EN$3,0,0,'Données projet'!$E$15+1,1))-AVERAGE(OFFSET($H$3,0,0,'Données projet'!$E$15+1,1))</f>
        <v>288.82868507674738</v>
      </c>
      <c r="EP160" s="62">
        <f t="shared" si="154"/>
        <v>283.48738729114024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>
        <f>EXP(-LN(2)/35)*EV159+(1-EXP(-LN(2)/35))/(LN(2)/35)*ER160*ES160*VLOOKUP('Données projet'!$B$15,Paramètres!$A$1:$I$89,3,0)*0.475*44/12</f>
        <v>0.14661918529689763</v>
      </c>
      <c r="EW160" s="23">
        <f>EXP(-LN(2)/25)*EW159+(1-EXP(-LN(2)/25))/(LN(2)/25)*Calculateur!ER160*Calculateur!ET160*VLOOKUP('Données projet'!$B$15,Paramètres!$A$1:$I$89,3,0)*0.475*44/12</f>
        <v>0</v>
      </c>
      <c r="EX160" s="23">
        <f>EXP(-LN(2)/2)*EX159+(1-EXP(-LN(2)/2))/(LN(2)/2)*ER160*EU160*VLOOKUP('Données projet'!$B$15,Paramètres!$A$1:$I$89,3,0)*0.475*44/12</f>
        <v>0</v>
      </c>
      <c r="EY160" s="24">
        <f t="shared" si="181"/>
        <v>0.14661918529689763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3.4106051316484809E-13</v>
      </c>
      <c r="O161" s="14">
        <f>N161*VLOOKUP('Données projet'!$B$9,Paramètres!$A$1:$I$89,3,0)*VLOOKUP('Données projet'!$B$9,Paramètres!$A$1:$I$89,5,0)</f>
        <v>1.5961632016114892E-13</v>
      </c>
      <c r="P161" s="14">
        <f t="shared" si="141"/>
        <v>2.2708641912150958E-12</v>
      </c>
      <c r="Q161" s="22">
        <f t="shared" si="162"/>
        <v>4.2330868906469593E-12</v>
      </c>
      <c r="R161" s="62">
        <f t="shared" si="109"/>
        <v>293.33333333333752</v>
      </c>
      <c r="S161" s="62">
        <f ca="1">AVERAGE(OFFSET($R$3,0,0,'Données projet'!$E$9+1,1))-AVERAGE(OFFSET($H$3,0,0,'Données projet'!$E$9+1,1))</f>
        <v>317.54276561627643</v>
      </c>
      <c r="T161" s="62">
        <f t="shared" si="142"/>
        <v>238.92443174298893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-1.1368683772161603E-13</v>
      </c>
      <c r="AJ161" s="14">
        <f>AI161*VLOOKUP('Données projet'!$B$10,Paramètres!$A$1:$I$89,3,0)*VLOOKUP('Données projet'!$B$10,Paramètres!$A$1:$I$89,5,0)</f>
        <v>-9.9316821433603781E-14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327.826081588335</v>
      </c>
      <c r="AO161" s="62">
        <f t="shared" si="144"/>
        <v>348.84706693879735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0.48716963180450046</v>
      </c>
      <c r="AV161" s="23">
        <f>EXP(-LN(2)/25)*AV160+(1-EXP(-LN(2)/25))/(LN(2)/25)*Calculateur!AQ161*Calculateur!AS161*VLOOKUP('Données projet'!$B$10,Paramètres!$A$1:$I$89,3,0)*0.475*44/12</f>
        <v>0.39451582153247883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0.88168545333697934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>
        <f>BD161*VLOOKUP('Données projet'!$B$11,Paramètres!$A$1:$I$89,3,0)*VLOOKUP('Données projet'!$B$11,Paramètres!$A$1:$I$89,5,0)</f>
        <v>0</v>
      </c>
      <c r="BF161" s="14" t="e">
        <f t="shared" si="167"/>
        <v>#NUM!</v>
      </c>
      <c r="BG161" s="22" t="e">
        <f t="shared" si="168"/>
        <v>#NUM!</v>
      </c>
      <c r="BH161" s="62" t="e">
        <f t="shared" si="116"/>
        <v>#NUM!</v>
      </c>
      <c r="BI161" s="62">
        <f ca="1">AVERAGE(OFFSET($BH$3,0,0,'Données projet'!$E$11+1,1))-AVERAGE(OFFSET($H$3,0,0,'Données projet'!$E$11+1,1))</f>
        <v>487.04124684635974</v>
      </c>
      <c r="BJ161" s="62">
        <f t="shared" si="146"/>
        <v>306.61893266146666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0.21395963558981443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0.21395963558981443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>
        <f>BY161*VLOOKUP('Données projet'!$B$12,Paramètres!$A$1:$I$89,3,0)*VLOOKUP('Données projet'!$B$12,Paramètres!$A$1:$I$89,5,0)</f>
        <v>0</v>
      </c>
      <c r="CA161" s="14" t="e">
        <f t="shared" si="170"/>
        <v>#NUM!</v>
      </c>
      <c r="CB161" s="22" t="e">
        <f t="shared" si="171"/>
        <v>#NUM!</v>
      </c>
      <c r="CC161" s="62" t="e">
        <f t="shared" si="119"/>
        <v>#NUM!</v>
      </c>
      <c r="CD161" s="62">
        <f ca="1">AVERAGE(OFFSET($CC$3,0,0,'Données projet'!$E$12+1,1))-AVERAGE(OFFSET($H$3,0,0,'Données projet'!$E$12+1,1))</f>
        <v>439.06700232017681</v>
      </c>
      <c r="CE161" s="62">
        <f t="shared" si="148"/>
        <v>278.21741231699929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0.19091782868014193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0.19091782868014193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317.99999999999972</v>
      </c>
      <c r="CU161" s="18">
        <f>CT161*VLOOKUP('Données projet'!$B$13,Paramètres!$A$1:$I$89,3,0)*VLOOKUP('Données projet'!$B$13,Paramètres!$A$1:$I$89,5,0)</f>
        <v>233.1575999999998</v>
      </c>
      <c r="CV161" s="14">
        <f t="shared" si="173"/>
        <v>56.964885721091697</v>
      </c>
      <c r="CW161" s="22">
        <f t="shared" si="174"/>
        <v>505.29666263090093</v>
      </c>
      <c r="CX161" s="62">
        <f t="shared" si="122"/>
        <v>798.62999596423424</v>
      </c>
      <c r="CY161" s="62">
        <f ca="1">AVERAGE(OFFSET($CX$3,0,0,'Données projet'!$E$13+1,1))-AVERAGE(OFFSET($H$3,0,0,'Données projet'!$E$13+1,1))</f>
        <v>327.81662150328646</v>
      </c>
      <c r="CZ161" s="62">
        <f t="shared" si="150"/>
        <v>320.24200483294322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0.15864186019506241</v>
      </c>
      <c r="DG161" s="23">
        <f>EXP(-LN(2)/25)*DG160+(1-EXP(-LN(2)/25))/(LN(2)/25)*Calculateur!DB161*Calculateur!DD161*VLOOKUP('Données projet'!$B$13,Paramètres!$A$1:$I$89,3,0)*0.475*44/12</f>
        <v>0</v>
      </c>
      <c r="DH161" s="23">
        <f>EXP(-LN(2)/2)*DH160+(1-EXP(-LN(2)/2))/(LN(2)/2)*DB161*DE161*VLOOKUP('Données projet'!$B$13,Paramètres!$A$1:$I$89,3,0)*0.475*44/12</f>
        <v>0</v>
      </c>
      <c r="DI161" s="24">
        <f t="shared" si="175"/>
        <v>0.15864186019506241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5.6843418860808015E-14</v>
      </c>
      <c r="DP161" s="18">
        <f>DO161*VLOOKUP('Données projet'!$B$14,Paramètres!$A$1:$I$89,3,0)*VLOOKUP('Données projet'!$B$14,Paramètres!$A$1:$I$89,5,0)</f>
        <v>3.7243808037601412E-14</v>
      </c>
      <c r="DQ161" s="14">
        <f t="shared" si="176"/>
        <v>6.2767589361185393E-13</v>
      </c>
      <c r="DR161" s="22">
        <f t="shared" si="177"/>
        <v>1.1580684803728015E-12</v>
      </c>
      <c r="DS161" s="62">
        <f t="shared" si="125"/>
        <v>293.33333333333445</v>
      </c>
      <c r="DT161" s="62">
        <f ca="1">AVERAGE(OFFSET($DS$3,0,0,'Données projet'!$E$14+1,1))-AVERAGE(OFFSET($H$3,0,0,'Données projet'!$E$14+1,1))</f>
        <v>210.08998695869161</v>
      </c>
      <c r="DU161" s="62">
        <f t="shared" si="152"/>
        <v>207.30911916430881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>
        <f>EXP(-LN(2)/35)*EA160+(1-EXP(-LN(2)/35))/(LN(2)/35)*DW161*DX161*VLOOKUP('Données projet'!$B$14,Paramètres!$A$1:$I$89,3,0)*0.475*44/12</f>
        <v>3.6453874257588788E-2</v>
      </c>
      <c r="EB161" s="23">
        <f>EXP(-LN(2)/25)*EB160+(1-EXP(-LN(2)/25))/(LN(2)/25)*Calculateur!DW161*Calculateur!DY161*VLOOKUP('Données projet'!$B$14,Paramètres!$A$1:$I$89,3,0)*0.475*44/12</f>
        <v>0</v>
      </c>
      <c r="EC161" s="23">
        <f>EXP(-LN(2)/2)*EC160+(1-EXP(-LN(2)/2))/(LN(2)/2)*DW161*DZ161*VLOOKUP('Données projet'!$B$14,Paramètres!$A$1:$I$89,3,0)*0.475*44/12</f>
        <v>0</v>
      </c>
      <c r="ED161" s="24">
        <f t="shared" si="178"/>
        <v>3.6453874257588788E-2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5.6843418860808015E-14</v>
      </c>
      <c r="EK161" s="18">
        <f>EJ161*VLOOKUP('Données projet'!$B$15,Paramètres!$A$1:$I$89,3,0)*VLOOKUP('Données projet'!$B$15,Paramètres!$A$1:$I$89,5,0)</f>
        <v>4.4337866711430253E-14</v>
      </c>
      <c r="EL161" s="14">
        <f t="shared" si="179"/>
        <v>7.3222115536967035E-13</v>
      </c>
      <c r="EM161" s="22">
        <f t="shared" si="180"/>
        <v>1.3525069634579169E-12</v>
      </c>
      <c r="EN161" s="62">
        <f t="shared" si="128"/>
        <v>293.33333333333468</v>
      </c>
      <c r="EO161" s="62">
        <f ca="1">AVERAGE(OFFSET($EN$3,0,0,'Données projet'!$E$15+1,1))-AVERAGE(OFFSET($H$3,0,0,'Données projet'!$E$15+1,1))</f>
        <v>288.82868507674738</v>
      </c>
      <c r="EP161" s="62">
        <f t="shared" si="154"/>
        <v>283.48738729114024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>
        <f>EXP(-LN(2)/35)*EV160+(1-EXP(-LN(2)/35))/(LN(2)/35)*ER161*ES161*VLOOKUP('Données projet'!$B$15,Paramètres!$A$1:$I$89,3,0)*0.475*44/12</f>
        <v>0.14374407250209814</v>
      </c>
      <c r="EW161" s="23">
        <f>EXP(-LN(2)/25)*EW160+(1-EXP(-LN(2)/25))/(LN(2)/25)*Calculateur!ER161*Calculateur!ET161*VLOOKUP('Données projet'!$B$15,Paramètres!$A$1:$I$89,3,0)*0.475*44/12</f>
        <v>0</v>
      </c>
      <c r="EX161" s="23">
        <f>EXP(-LN(2)/2)*EX160+(1-EXP(-LN(2)/2))/(LN(2)/2)*ER161*EU161*VLOOKUP('Données projet'!$B$15,Paramètres!$A$1:$I$89,3,0)*0.475*44/12</f>
        <v>0</v>
      </c>
      <c r="EY161" s="24">
        <f t="shared" si="181"/>
        <v>0.14374407250209814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3.4106051316484809E-13</v>
      </c>
      <c r="O162" s="14">
        <f>N162*VLOOKUP('Données projet'!$B$9,Paramètres!$A$1:$I$89,3,0)*VLOOKUP('Données projet'!$B$9,Paramètres!$A$1:$I$89,5,0)</f>
        <v>1.5961632016114892E-13</v>
      </c>
      <c r="P162" s="14">
        <f t="shared" si="141"/>
        <v>2.2708641912150958E-12</v>
      </c>
      <c r="Q162" s="22">
        <f t="shared" si="162"/>
        <v>4.2330868906469593E-12</v>
      </c>
      <c r="R162" s="62">
        <f t="shared" si="109"/>
        <v>293.33333333333752</v>
      </c>
      <c r="S162" s="62">
        <f ca="1">AVERAGE(OFFSET($R$3,0,0,'Données projet'!$E$9+1,1))-AVERAGE(OFFSET($H$3,0,0,'Données projet'!$E$9+1,1))</f>
        <v>317.54276561627643</v>
      </c>
      <c r="T162" s="62">
        <f t="shared" si="142"/>
        <v>238.92443174298893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-1.1368683772161603E-13</v>
      </c>
      <c r="AJ162" s="14">
        <f>AI162*VLOOKUP('Données projet'!$B$10,Paramètres!$A$1:$I$89,3,0)*VLOOKUP('Données projet'!$B$10,Paramètres!$A$1:$I$89,5,0)</f>
        <v>-9.9316821433603781E-14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327.826081588335</v>
      </c>
      <c r="AO162" s="62">
        <f t="shared" si="144"/>
        <v>348.84706693879735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0.47761653246894908</v>
      </c>
      <c r="AV162" s="23">
        <f>EXP(-LN(2)/25)*AV161+(1-EXP(-LN(2)/25))/(LN(2)/25)*Calculateur!AQ162*Calculateur!AS162*VLOOKUP('Données projet'!$B$10,Paramètres!$A$1:$I$89,3,0)*0.475*44/12</f>
        <v>0.38372776564598782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0.86134429811493685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>
        <f>BD162*VLOOKUP('Données projet'!$B$11,Paramètres!$A$1:$I$89,3,0)*VLOOKUP('Données projet'!$B$11,Paramètres!$A$1:$I$89,5,0)</f>
        <v>0</v>
      </c>
      <c r="BF162" s="14" t="e">
        <f t="shared" si="167"/>
        <v>#NUM!</v>
      </c>
      <c r="BG162" s="22" t="e">
        <f t="shared" si="168"/>
        <v>#NUM!</v>
      </c>
      <c r="BH162" s="62" t="e">
        <f t="shared" si="116"/>
        <v>#NUM!</v>
      </c>
      <c r="BI162" s="62">
        <f ca="1">AVERAGE(OFFSET($BH$3,0,0,'Données projet'!$E$11+1,1))-AVERAGE(OFFSET($H$3,0,0,'Données projet'!$E$11+1,1))</f>
        <v>487.04124684635974</v>
      </c>
      <c r="BJ162" s="62">
        <f t="shared" si="146"/>
        <v>306.61893266146666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0.20976401763838984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0.20976401763838984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>
        <f>BY162*VLOOKUP('Données projet'!$B$12,Paramètres!$A$1:$I$89,3,0)*VLOOKUP('Données projet'!$B$12,Paramètres!$A$1:$I$89,5,0)</f>
        <v>0</v>
      </c>
      <c r="CA162" s="14" t="e">
        <f t="shared" si="170"/>
        <v>#NUM!</v>
      </c>
      <c r="CB162" s="22" t="e">
        <f t="shared" si="171"/>
        <v>#NUM!</v>
      </c>
      <c r="CC162" s="62" t="e">
        <f t="shared" si="119"/>
        <v>#NUM!</v>
      </c>
      <c r="CD162" s="62">
        <f ca="1">AVERAGE(OFFSET($CC$3,0,0,'Données projet'!$E$12+1,1))-AVERAGE(OFFSET($H$3,0,0,'Données projet'!$E$12+1,1))</f>
        <v>439.06700232017681</v>
      </c>
      <c r="CE162" s="62">
        <f t="shared" si="148"/>
        <v>278.21741231699929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0.18717404650810152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0.18717404650810152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317.99999999999972</v>
      </c>
      <c r="CU162" s="18">
        <f>CT162*VLOOKUP('Données projet'!$B$13,Paramètres!$A$1:$I$89,3,0)*VLOOKUP('Données projet'!$B$13,Paramètres!$A$1:$I$89,5,0)</f>
        <v>233.1575999999998</v>
      </c>
      <c r="CV162" s="14">
        <f t="shared" si="173"/>
        <v>56.964885721091697</v>
      </c>
      <c r="CW162" s="22">
        <f t="shared" si="174"/>
        <v>505.29666263090093</v>
      </c>
      <c r="CX162" s="62">
        <f t="shared" si="122"/>
        <v>798.62999596423424</v>
      </c>
      <c r="CY162" s="62">
        <f ca="1">AVERAGE(OFFSET($CX$3,0,0,'Données projet'!$E$13+1,1))-AVERAGE(OFFSET($H$3,0,0,'Données projet'!$E$13+1,1))</f>
        <v>327.81662150328646</v>
      </c>
      <c r="CZ162" s="62">
        <f t="shared" si="150"/>
        <v>320.24200483294322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0.15553099007861751</v>
      </c>
      <c r="DG162" s="23">
        <f>EXP(-LN(2)/25)*DG161+(1-EXP(-LN(2)/25))/(LN(2)/25)*Calculateur!DB162*Calculateur!DD162*VLOOKUP('Données projet'!$B$13,Paramètres!$A$1:$I$89,3,0)*0.475*44/12</f>
        <v>0</v>
      </c>
      <c r="DH162" s="23">
        <f>EXP(-LN(2)/2)*DH161+(1-EXP(-LN(2)/2))/(LN(2)/2)*DB162*DE162*VLOOKUP('Données projet'!$B$13,Paramètres!$A$1:$I$89,3,0)*0.475*44/12</f>
        <v>0</v>
      </c>
      <c r="DI162" s="24">
        <f t="shared" si="175"/>
        <v>0.15553099007861751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5.6843418860808015E-14</v>
      </c>
      <c r="DP162" s="18">
        <f>DO162*VLOOKUP('Données projet'!$B$14,Paramètres!$A$1:$I$89,3,0)*VLOOKUP('Données projet'!$B$14,Paramètres!$A$1:$I$89,5,0)</f>
        <v>3.7243808037601412E-14</v>
      </c>
      <c r="DQ162" s="14">
        <f t="shared" si="176"/>
        <v>6.2767589361185393E-13</v>
      </c>
      <c r="DR162" s="22">
        <f t="shared" si="177"/>
        <v>1.1580684803728015E-12</v>
      </c>
      <c r="DS162" s="62">
        <f t="shared" si="125"/>
        <v>293.33333333333445</v>
      </c>
      <c r="DT162" s="62">
        <f ca="1">AVERAGE(OFFSET($DS$3,0,0,'Données projet'!$E$14+1,1))-AVERAGE(OFFSET($H$3,0,0,'Données projet'!$E$14+1,1))</f>
        <v>210.08998695869161</v>
      </c>
      <c r="DU162" s="62">
        <f t="shared" si="152"/>
        <v>207.30911916430881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>
        <f>EXP(-LN(2)/35)*EA161+(1-EXP(-LN(2)/35))/(LN(2)/35)*DW162*DX162*VLOOKUP('Données projet'!$B$14,Paramètres!$A$1:$I$89,3,0)*0.475*44/12</f>
        <v>3.573903601806528E-2</v>
      </c>
      <c r="EB162" s="23">
        <f>EXP(-LN(2)/25)*EB161+(1-EXP(-LN(2)/25))/(LN(2)/25)*Calculateur!DW162*Calculateur!DY162*VLOOKUP('Données projet'!$B$14,Paramètres!$A$1:$I$89,3,0)*0.475*44/12</f>
        <v>0</v>
      </c>
      <c r="EC162" s="23">
        <f>EXP(-LN(2)/2)*EC161+(1-EXP(-LN(2)/2))/(LN(2)/2)*DW162*DZ162*VLOOKUP('Données projet'!$B$14,Paramètres!$A$1:$I$89,3,0)*0.475*44/12</f>
        <v>0</v>
      </c>
      <c r="ED162" s="24">
        <f t="shared" si="178"/>
        <v>3.573903601806528E-2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5.6843418860808015E-14</v>
      </c>
      <c r="EK162" s="18">
        <f>EJ162*VLOOKUP('Données projet'!$B$15,Paramètres!$A$1:$I$89,3,0)*VLOOKUP('Données projet'!$B$15,Paramètres!$A$1:$I$89,5,0)</f>
        <v>4.4337866711430253E-14</v>
      </c>
      <c r="EL162" s="14">
        <f t="shared" si="179"/>
        <v>7.3222115536967035E-13</v>
      </c>
      <c r="EM162" s="22">
        <f t="shared" si="180"/>
        <v>1.3525069634579169E-12</v>
      </c>
      <c r="EN162" s="62">
        <f t="shared" si="128"/>
        <v>293.33333333333468</v>
      </c>
      <c r="EO162" s="62">
        <f ca="1">AVERAGE(OFFSET($EN$3,0,0,'Données projet'!$E$15+1,1))-AVERAGE(OFFSET($H$3,0,0,'Données projet'!$E$15+1,1))</f>
        <v>288.82868507674738</v>
      </c>
      <c r="EP162" s="62">
        <f t="shared" si="154"/>
        <v>283.48738729114024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>
        <f>EXP(-LN(2)/35)*EV161+(1-EXP(-LN(2)/35))/(LN(2)/35)*ER162*ES162*VLOOKUP('Données projet'!$B$15,Paramètres!$A$1:$I$89,3,0)*0.475*44/12</f>
        <v>0.140925338915559</v>
      </c>
      <c r="EW162" s="23">
        <f>EXP(-LN(2)/25)*EW161+(1-EXP(-LN(2)/25))/(LN(2)/25)*Calculateur!ER162*Calculateur!ET162*VLOOKUP('Données projet'!$B$15,Paramètres!$A$1:$I$89,3,0)*0.475*44/12</f>
        <v>0</v>
      </c>
      <c r="EX162" s="23">
        <f>EXP(-LN(2)/2)*EX161+(1-EXP(-LN(2)/2))/(LN(2)/2)*ER162*EU162*VLOOKUP('Données projet'!$B$15,Paramètres!$A$1:$I$89,3,0)*0.475*44/12</f>
        <v>0</v>
      </c>
      <c r="EY162" s="24">
        <f t="shared" si="181"/>
        <v>0.140925338915559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3.4106051316484809E-13</v>
      </c>
      <c r="O163" s="14">
        <f>N163*VLOOKUP('Données projet'!$B$9,Paramètres!$A$1:$I$89,3,0)*VLOOKUP('Données projet'!$B$9,Paramètres!$A$1:$I$89,5,0)</f>
        <v>1.5961632016114892E-13</v>
      </c>
      <c r="P163" s="14">
        <f t="shared" si="141"/>
        <v>2.2708641912150958E-12</v>
      </c>
      <c r="Q163" s="22">
        <f t="shared" si="162"/>
        <v>4.2330868906469593E-12</v>
      </c>
      <c r="R163" s="62">
        <f t="shared" si="109"/>
        <v>293.33333333333752</v>
      </c>
      <c r="S163" s="62">
        <f ca="1">AVERAGE(OFFSET($R$3,0,0,'Données projet'!$E$9+1,1))-AVERAGE(OFFSET($H$3,0,0,'Données projet'!$E$9+1,1))</f>
        <v>317.54276561627643</v>
      </c>
      <c r="T163" s="62">
        <f t="shared" si="142"/>
        <v>238.92443174298893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-1.1368683772161603E-13</v>
      </c>
      <c r="AJ163" s="14">
        <f>AI163*VLOOKUP('Données projet'!$B$10,Paramètres!$A$1:$I$89,3,0)*VLOOKUP('Données projet'!$B$10,Paramètres!$A$1:$I$89,5,0)</f>
        <v>-9.9316821433603781E-14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327.826081588335</v>
      </c>
      <c r="AO163" s="62">
        <f t="shared" si="144"/>
        <v>348.84706693879735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0.46825076358455259</v>
      </c>
      <c r="AV163" s="23">
        <f>EXP(-LN(2)/25)*AV162+(1-EXP(-LN(2)/25))/(LN(2)/25)*Calculateur!AQ163*Calculateur!AS163*VLOOKUP('Données projet'!$B$10,Paramètres!$A$1:$I$89,3,0)*0.475*44/12</f>
        <v>0.37323470971503209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0.84148547329958467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>
        <f>BD163*VLOOKUP('Données projet'!$B$11,Paramètres!$A$1:$I$89,3,0)*VLOOKUP('Données projet'!$B$11,Paramètres!$A$1:$I$89,5,0)</f>
        <v>0</v>
      </c>
      <c r="BF163" s="14" t="e">
        <f t="shared" si="167"/>
        <v>#NUM!</v>
      </c>
      <c r="BG163" s="22" t="e">
        <f t="shared" si="168"/>
        <v>#NUM!</v>
      </c>
      <c r="BH163" s="62" t="e">
        <f t="shared" si="116"/>
        <v>#NUM!</v>
      </c>
      <c r="BI163" s="62">
        <f ca="1">AVERAGE(OFFSET($BH$3,0,0,'Données projet'!$E$11+1,1))-AVERAGE(OFFSET($H$3,0,0,'Données projet'!$E$11+1,1))</f>
        <v>487.04124684635974</v>
      </c>
      <c r="BJ163" s="62">
        <f t="shared" si="146"/>
        <v>306.61893266146666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0.2056506731959184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0.2056506731959184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>
        <f>BY163*VLOOKUP('Données projet'!$B$12,Paramètres!$A$1:$I$89,3,0)*VLOOKUP('Données projet'!$B$12,Paramètres!$A$1:$I$89,5,0)</f>
        <v>0</v>
      </c>
      <c r="CA163" s="14" t="e">
        <f t="shared" si="170"/>
        <v>#NUM!</v>
      </c>
      <c r="CB163" s="22" t="e">
        <f t="shared" si="171"/>
        <v>#NUM!</v>
      </c>
      <c r="CC163" s="62" t="e">
        <f t="shared" si="119"/>
        <v>#NUM!</v>
      </c>
      <c r="CD163" s="62">
        <f ca="1">AVERAGE(OFFSET($CC$3,0,0,'Données projet'!$E$12+1,1))-AVERAGE(OFFSET($H$3,0,0,'Données projet'!$E$12+1,1))</f>
        <v>439.06700232017681</v>
      </c>
      <c r="CE163" s="62">
        <f t="shared" si="148"/>
        <v>278.21741231699929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0.18350367762097317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0.18350367762097317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317.99999999999972</v>
      </c>
      <c r="CU163" s="18">
        <f>CT163*VLOOKUP('Données projet'!$B$13,Paramètres!$A$1:$I$89,3,0)*VLOOKUP('Données projet'!$B$13,Paramètres!$A$1:$I$89,5,0)</f>
        <v>233.1575999999998</v>
      </c>
      <c r="CV163" s="14">
        <f t="shared" si="173"/>
        <v>56.964885721091697</v>
      </c>
      <c r="CW163" s="22">
        <f t="shared" si="174"/>
        <v>505.29666263090093</v>
      </c>
      <c r="CX163" s="62">
        <f t="shared" si="122"/>
        <v>798.62999596423424</v>
      </c>
      <c r="CY163" s="62">
        <f ca="1">AVERAGE(OFFSET($CX$3,0,0,'Données projet'!$E$13+1,1))-AVERAGE(OFFSET($H$3,0,0,'Données projet'!$E$13+1,1))</f>
        <v>327.81662150328646</v>
      </c>
      <c r="CZ163" s="62">
        <f t="shared" si="150"/>
        <v>320.24200483294322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0.15248112222771268</v>
      </c>
      <c r="DG163" s="23">
        <f>EXP(-LN(2)/25)*DG162+(1-EXP(-LN(2)/25))/(LN(2)/25)*Calculateur!DB163*Calculateur!DD163*VLOOKUP('Données projet'!$B$13,Paramètres!$A$1:$I$89,3,0)*0.475*44/12</f>
        <v>0</v>
      </c>
      <c r="DH163" s="23">
        <f>EXP(-LN(2)/2)*DH162+(1-EXP(-LN(2)/2))/(LN(2)/2)*DB163*DE163*VLOOKUP('Données projet'!$B$13,Paramètres!$A$1:$I$89,3,0)*0.475*44/12</f>
        <v>0</v>
      </c>
      <c r="DI163" s="24">
        <f t="shared" si="175"/>
        <v>0.15248112222771268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5.6843418860808015E-14</v>
      </c>
      <c r="DP163" s="18">
        <f>DO163*VLOOKUP('Données projet'!$B$14,Paramètres!$A$1:$I$89,3,0)*VLOOKUP('Données projet'!$B$14,Paramètres!$A$1:$I$89,5,0)</f>
        <v>3.7243808037601412E-14</v>
      </c>
      <c r="DQ163" s="14">
        <f t="shared" si="176"/>
        <v>6.2767589361185393E-13</v>
      </c>
      <c r="DR163" s="22">
        <f t="shared" si="177"/>
        <v>1.1580684803728015E-12</v>
      </c>
      <c r="DS163" s="62">
        <f t="shared" si="125"/>
        <v>293.33333333333445</v>
      </c>
      <c r="DT163" s="62">
        <f ca="1">AVERAGE(OFFSET($DS$3,0,0,'Données projet'!$E$14+1,1))-AVERAGE(OFFSET($H$3,0,0,'Données projet'!$E$14+1,1))</f>
        <v>210.08998695869161</v>
      </c>
      <c r="DU163" s="62">
        <f t="shared" si="152"/>
        <v>207.30911916430881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>
        <f>EXP(-LN(2)/35)*EA162+(1-EXP(-LN(2)/35))/(LN(2)/35)*DW163*DX163*VLOOKUP('Données projet'!$B$14,Paramètres!$A$1:$I$89,3,0)*0.475*44/12</f>
        <v>3.503821532041055E-2</v>
      </c>
      <c r="EB163" s="23">
        <f>EXP(-LN(2)/25)*EB162+(1-EXP(-LN(2)/25))/(LN(2)/25)*Calculateur!DW163*Calculateur!DY163*VLOOKUP('Données projet'!$B$14,Paramètres!$A$1:$I$89,3,0)*0.475*44/12</f>
        <v>0</v>
      </c>
      <c r="EC163" s="23">
        <f>EXP(-LN(2)/2)*EC162+(1-EXP(-LN(2)/2))/(LN(2)/2)*DW163*DZ163*VLOOKUP('Données projet'!$B$14,Paramètres!$A$1:$I$89,3,0)*0.475*44/12</f>
        <v>0</v>
      </c>
      <c r="ED163" s="24">
        <f t="shared" si="178"/>
        <v>3.503821532041055E-2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5.6843418860808015E-14</v>
      </c>
      <c r="EK163" s="18">
        <f>EJ163*VLOOKUP('Données projet'!$B$15,Paramètres!$A$1:$I$89,3,0)*VLOOKUP('Données projet'!$B$15,Paramètres!$A$1:$I$89,5,0)</f>
        <v>4.4337866711430253E-14</v>
      </c>
      <c r="EL163" s="14">
        <f t="shared" si="179"/>
        <v>7.3222115536967035E-13</v>
      </c>
      <c r="EM163" s="22">
        <f t="shared" si="180"/>
        <v>1.3525069634579169E-12</v>
      </c>
      <c r="EN163" s="62">
        <f t="shared" si="128"/>
        <v>293.33333333333468</v>
      </c>
      <c r="EO163" s="62">
        <f ca="1">AVERAGE(OFFSET($EN$3,0,0,'Données projet'!$E$15+1,1))-AVERAGE(OFFSET($H$3,0,0,'Données projet'!$E$15+1,1))</f>
        <v>288.82868507674738</v>
      </c>
      <c r="EP163" s="62">
        <f t="shared" si="154"/>
        <v>283.48738729114024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>
        <f>EXP(-LN(2)/35)*EV162+(1-EXP(-LN(2)/35))/(LN(2)/35)*ER163*ES163*VLOOKUP('Données projet'!$B$15,Paramètres!$A$1:$I$89,3,0)*0.475*44/12</f>
        <v>0.13816187897539417</v>
      </c>
      <c r="EW163" s="23">
        <f>EXP(-LN(2)/25)*EW162+(1-EXP(-LN(2)/25))/(LN(2)/25)*Calculateur!ER163*Calculateur!ET163*VLOOKUP('Données projet'!$B$15,Paramètres!$A$1:$I$89,3,0)*0.475*44/12</f>
        <v>0</v>
      </c>
      <c r="EX163" s="23">
        <f>EXP(-LN(2)/2)*EX162+(1-EXP(-LN(2)/2))/(LN(2)/2)*ER163*EU163*VLOOKUP('Données projet'!$B$15,Paramètres!$A$1:$I$89,3,0)*0.475*44/12</f>
        <v>0</v>
      </c>
      <c r="EY163" s="24">
        <f t="shared" si="181"/>
        <v>0.13816187897539417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3.4106051316484809E-13</v>
      </c>
      <c r="O164" s="14">
        <f>N164*VLOOKUP('Données projet'!$B$9,Paramètres!$A$1:$I$89,3,0)*VLOOKUP('Données projet'!$B$9,Paramètres!$A$1:$I$89,5,0)</f>
        <v>1.5961632016114892E-13</v>
      </c>
      <c r="P164" s="14">
        <f t="shared" si="141"/>
        <v>2.2708641912150958E-12</v>
      </c>
      <c r="Q164" s="22">
        <f t="shared" si="162"/>
        <v>4.2330868906469593E-12</v>
      </c>
      <c r="R164" s="62">
        <f t="shared" si="109"/>
        <v>293.33333333333752</v>
      </c>
      <c r="S164" s="62">
        <f ca="1">AVERAGE(OFFSET($R$3,0,0,'Données projet'!$E$9+1,1))-AVERAGE(OFFSET($H$3,0,0,'Données projet'!$E$9+1,1))</f>
        <v>317.54276561627643</v>
      </c>
      <c r="T164" s="62">
        <f t="shared" si="142"/>
        <v>238.92443174298893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-1.1368683772161603E-13</v>
      </c>
      <c r="AJ164" s="14">
        <f>AI164*VLOOKUP('Données projet'!$B$10,Paramètres!$A$1:$I$89,3,0)*VLOOKUP('Données projet'!$B$10,Paramètres!$A$1:$I$89,5,0)</f>
        <v>-9.9316821433603781E-14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327.826081588335</v>
      </c>
      <c r="AO164" s="62">
        <f t="shared" si="144"/>
        <v>348.84706693879735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0.45906865171542416</v>
      </c>
      <c r="AV164" s="23">
        <f>EXP(-LN(2)/25)*AV163+(1-EXP(-LN(2)/25))/(LN(2)/25)*Calculateur!AQ164*Calculateur!AS164*VLOOKUP('Données projet'!$B$10,Paramètres!$A$1:$I$89,3,0)*0.475*44/12</f>
        <v>0.3630285869503142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0.82209723866573836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>
        <f>BD164*VLOOKUP('Données projet'!$B$11,Paramètres!$A$1:$I$89,3,0)*VLOOKUP('Données projet'!$B$11,Paramètres!$A$1:$I$89,5,0)</f>
        <v>0</v>
      </c>
      <c r="BF164" s="14" t="e">
        <f t="shared" si="167"/>
        <v>#NUM!</v>
      </c>
      <c r="BG164" s="22" t="e">
        <f t="shared" si="168"/>
        <v>#NUM!</v>
      </c>
      <c r="BH164" s="62" t="e">
        <f t="shared" si="116"/>
        <v>#NUM!</v>
      </c>
      <c r="BI164" s="62">
        <f ca="1">AVERAGE(OFFSET($BH$3,0,0,'Données projet'!$E$11+1,1))-AVERAGE(OFFSET($H$3,0,0,'Données projet'!$E$11+1,1))</f>
        <v>487.04124684635974</v>
      </c>
      <c r="BJ164" s="62">
        <f t="shared" si="146"/>
        <v>306.61893266146666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0.20161798892907146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0.20161798892907146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>
        <f>BY164*VLOOKUP('Données projet'!$B$12,Paramètres!$A$1:$I$89,3,0)*VLOOKUP('Données projet'!$B$12,Paramètres!$A$1:$I$89,5,0)</f>
        <v>0</v>
      </c>
      <c r="CA164" s="14" t="e">
        <f t="shared" si="170"/>
        <v>#NUM!</v>
      </c>
      <c r="CB164" s="22" t="e">
        <f t="shared" si="171"/>
        <v>#NUM!</v>
      </c>
      <c r="CC164" s="62" t="e">
        <f t="shared" si="119"/>
        <v>#NUM!</v>
      </c>
      <c r="CD164" s="62">
        <f ca="1">AVERAGE(OFFSET($CC$3,0,0,'Données projet'!$E$12+1,1))-AVERAGE(OFFSET($H$3,0,0,'Données projet'!$E$12+1,1))</f>
        <v>439.06700232017681</v>
      </c>
      <c r="CE164" s="62">
        <f t="shared" si="148"/>
        <v>278.21741231699929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0.17990528242901743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0.17990528242901743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317.99999999999972</v>
      </c>
      <c r="CU164" s="18">
        <f>CT164*VLOOKUP('Données projet'!$B$13,Paramètres!$A$1:$I$89,3,0)*VLOOKUP('Données projet'!$B$13,Paramètres!$A$1:$I$89,5,0)</f>
        <v>233.1575999999998</v>
      </c>
      <c r="CV164" s="14">
        <f t="shared" si="173"/>
        <v>56.964885721091697</v>
      </c>
      <c r="CW164" s="22">
        <f t="shared" si="174"/>
        <v>505.29666263090093</v>
      </c>
      <c r="CX164" s="62">
        <f t="shared" si="122"/>
        <v>798.62999596423424</v>
      </c>
      <c r="CY164" s="62">
        <f ca="1">AVERAGE(OFFSET($CX$3,0,0,'Données projet'!$E$13+1,1))-AVERAGE(OFFSET($H$3,0,0,'Données projet'!$E$13+1,1))</f>
        <v>327.81662150328646</v>
      </c>
      <c r="CZ164" s="62">
        <f t="shared" si="150"/>
        <v>320.24200483294322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0.14949106042512839</v>
      </c>
      <c r="DG164" s="23">
        <f>EXP(-LN(2)/25)*DG163+(1-EXP(-LN(2)/25))/(LN(2)/25)*Calculateur!DB164*Calculateur!DD164*VLOOKUP('Données projet'!$B$13,Paramètres!$A$1:$I$89,3,0)*0.475*44/12</f>
        <v>0</v>
      </c>
      <c r="DH164" s="23">
        <f>EXP(-LN(2)/2)*DH163+(1-EXP(-LN(2)/2))/(LN(2)/2)*DB164*DE164*VLOOKUP('Données projet'!$B$13,Paramètres!$A$1:$I$89,3,0)*0.475*44/12</f>
        <v>0</v>
      </c>
      <c r="DI164" s="24">
        <f t="shared" si="175"/>
        <v>0.14949106042512839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5.6843418860808015E-14</v>
      </c>
      <c r="DP164" s="18">
        <f>DO164*VLOOKUP('Données projet'!$B$14,Paramètres!$A$1:$I$89,3,0)*VLOOKUP('Données projet'!$B$14,Paramètres!$A$1:$I$89,5,0)</f>
        <v>3.7243808037601412E-14</v>
      </c>
      <c r="DQ164" s="14">
        <f t="shared" si="176"/>
        <v>6.2767589361185393E-13</v>
      </c>
      <c r="DR164" s="22">
        <f t="shared" si="177"/>
        <v>1.1580684803728015E-12</v>
      </c>
      <c r="DS164" s="62">
        <f t="shared" si="125"/>
        <v>293.33333333333445</v>
      </c>
      <c r="DT164" s="62">
        <f ca="1">AVERAGE(OFFSET($DS$3,0,0,'Données projet'!$E$14+1,1))-AVERAGE(OFFSET($H$3,0,0,'Données projet'!$E$14+1,1))</f>
        <v>210.08998695869161</v>
      </c>
      <c r="DU164" s="62">
        <f t="shared" si="152"/>
        <v>207.30911916430881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>
        <f>EXP(-LN(2)/35)*EA163+(1-EXP(-LN(2)/35))/(LN(2)/35)*DW164*DX164*VLOOKUP('Données projet'!$B$14,Paramètres!$A$1:$I$89,3,0)*0.475*44/12</f>
        <v>3.4351137289178414E-2</v>
      </c>
      <c r="EB164" s="23">
        <f>EXP(-LN(2)/25)*EB163+(1-EXP(-LN(2)/25))/(LN(2)/25)*Calculateur!DW164*Calculateur!DY164*VLOOKUP('Données projet'!$B$14,Paramètres!$A$1:$I$89,3,0)*0.475*44/12</f>
        <v>0</v>
      </c>
      <c r="EC164" s="23">
        <f>EXP(-LN(2)/2)*EC163+(1-EXP(-LN(2)/2))/(LN(2)/2)*DW164*DZ164*VLOOKUP('Données projet'!$B$14,Paramètres!$A$1:$I$89,3,0)*0.475*44/12</f>
        <v>0</v>
      </c>
      <c r="ED164" s="24">
        <f t="shared" si="178"/>
        <v>3.4351137289178414E-2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5.6843418860808015E-14</v>
      </c>
      <c r="EK164" s="18">
        <f>EJ164*VLOOKUP('Données projet'!$B$15,Paramètres!$A$1:$I$89,3,0)*VLOOKUP('Données projet'!$B$15,Paramètres!$A$1:$I$89,5,0)</f>
        <v>4.4337866711430253E-14</v>
      </c>
      <c r="EL164" s="14">
        <f t="shared" si="179"/>
        <v>7.3222115536967035E-13</v>
      </c>
      <c r="EM164" s="22">
        <f t="shared" si="180"/>
        <v>1.3525069634579169E-12</v>
      </c>
      <c r="EN164" s="62">
        <f t="shared" si="128"/>
        <v>293.33333333333468</v>
      </c>
      <c r="EO164" s="62">
        <f ca="1">AVERAGE(OFFSET($EN$3,0,0,'Données projet'!$E$15+1,1))-AVERAGE(OFFSET($H$3,0,0,'Données projet'!$E$15+1,1))</f>
        <v>288.82868507674738</v>
      </c>
      <c r="EP164" s="62">
        <f t="shared" si="154"/>
        <v>283.48738729114024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>
        <f>EXP(-LN(2)/35)*EV163+(1-EXP(-LN(2)/35))/(LN(2)/35)*ER164*ES164*VLOOKUP('Données projet'!$B$15,Paramètres!$A$1:$I$89,3,0)*0.475*44/12</f>
        <v>0.13545260879911186</v>
      </c>
      <c r="EW164" s="23">
        <f>EXP(-LN(2)/25)*EW163+(1-EXP(-LN(2)/25))/(LN(2)/25)*Calculateur!ER164*Calculateur!ET164*VLOOKUP('Données projet'!$B$15,Paramètres!$A$1:$I$89,3,0)*0.475*44/12</f>
        <v>0</v>
      </c>
      <c r="EX164" s="23">
        <f>EXP(-LN(2)/2)*EX163+(1-EXP(-LN(2)/2))/(LN(2)/2)*ER164*EU164*VLOOKUP('Données projet'!$B$15,Paramètres!$A$1:$I$89,3,0)*0.475*44/12</f>
        <v>0</v>
      </c>
      <c r="EY164" s="24">
        <f t="shared" si="181"/>
        <v>0.13545260879911186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3.4106051316484809E-13</v>
      </c>
      <c r="O165" s="14">
        <f>N165*VLOOKUP('Données projet'!$B$9,Paramètres!$A$1:$I$89,3,0)*VLOOKUP('Données projet'!$B$9,Paramètres!$A$1:$I$89,5,0)</f>
        <v>1.5961632016114892E-13</v>
      </c>
      <c r="P165" s="14">
        <f t="shared" si="141"/>
        <v>2.2708641912150958E-12</v>
      </c>
      <c r="Q165" s="22">
        <f t="shared" si="162"/>
        <v>4.2330868906469593E-12</v>
      </c>
      <c r="R165" s="62">
        <f t="shared" si="109"/>
        <v>293.33333333333752</v>
      </c>
      <c r="S165" s="62">
        <f ca="1">AVERAGE(OFFSET($R$3,0,0,'Données projet'!$E$9+1,1))-AVERAGE(OFFSET($H$3,0,0,'Données projet'!$E$9+1,1))</f>
        <v>317.54276561627643</v>
      </c>
      <c r="T165" s="62">
        <f t="shared" si="142"/>
        <v>238.92443174298893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-1.1368683772161603E-13</v>
      </c>
      <c r="AJ165" s="14">
        <f>AI165*VLOOKUP('Données projet'!$B$10,Paramètres!$A$1:$I$89,3,0)*VLOOKUP('Données projet'!$B$10,Paramètres!$A$1:$I$89,5,0)</f>
        <v>-9.9316821433603781E-14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327.826081588335</v>
      </c>
      <c r="AO165" s="62">
        <f t="shared" si="144"/>
        <v>348.84706693879735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0.45006659545951411</v>
      </c>
      <c r="AV165" s="23">
        <f>EXP(-LN(2)/25)*AV164+(1-EXP(-LN(2)/25))/(LN(2)/25)*Calculateur!AQ165*Calculateur!AS165*VLOOKUP('Données projet'!$B$10,Paramètres!$A$1:$I$89,3,0)*0.475*44/12</f>
        <v>0.35310155114931419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0.80316814660882829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>
        <f>BD165*VLOOKUP('Données projet'!$B$11,Paramètres!$A$1:$I$89,3,0)*VLOOKUP('Données projet'!$B$11,Paramètres!$A$1:$I$89,5,0)</f>
        <v>0</v>
      </c>
      <c r="BF165" s="14" t="e">
        <f t="shared" si="167"/>
        <v>#NUM!</v>
      </c>
      <c r="BG165" s="22" t="e">
        <f t="shared" si="168"/>
        <v>#NUM!</v>
      </c>
      <c r="BH165" s="62" t="e">
        <f t="shared" si="116"/>
        <v>#NUM!</v>
      </c>
      <c r="BI165" s="62">
        <f ca="1">AVERAGE(OFFSET($BH$3,0,0,'Données projet'!$E$11+1,1))-AVERAGE(OFFSET($H$3,0,0,'Données projet'!$E$11+1,1))</f>
        <v>487.04124684635974</v>
      </c>
      <c r="BJ165" s="62">
        <f t="shared" si="146"/>
        <v>306.61893266146666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0.19766438314100285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0.19766438314100285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>
        <f>BY165*VLOOKUP('Données projet'!$B$12,Paramètres!$A$1:$I$89,3,0)*VLOOKUP('Données projet'!$B$12,Paramètres!$A$1:$I$89,5,0)</f>
        <v>0</v>
      </c>
      <c r="CA165" s="14" t="e">
        <f t="shared" si="170"/>
        <v>#NUM!</v>
      </c>
      <c r="CB165" s="22" t="e">
        <f t="shared" si="171"/>
        <v>#NUM!</v>
      </c>
      <c r="CC165" s="62" t="e">
        <f t="shared" si="119"/>
        <v>#NUM!</v>
      </c>
      <c r="CD165" s="62">
        <f ca="1">AVERAGE(OFFSET($CC$3,0,0,'Données projet'!$E$12+1,1))-AVERAGE(OFFSET($H$3,0,0,'Données projet'!$E$12+1,1))</f>
        <v>439.06700232017681</v>
      </c>
      <c r="CE165" s="62">
        <f t="shared" si="148"/>
        <v>278.21741231699929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0.1763774495719716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0.1763774495719716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317.99999999999972</v>
      </c>
      <c r="CU165" s="18">
        <f>CT165*VLOOKUP('Données projet'!$B$13,Paramètres!$A$1:$I$89,3,0)*VLOOKUP('Données projet'!$B$13,Paramètres!$A$1:$I$89,5,0)</f>
        <v>233.1575999999998</v>
      </c>
      <c r="CV165" s="14">
        <f t="shared" si="173"/>
        <v>56.964885721091697</v>
      </c>
      <c r="CW165" s="22">
        <f t="shared" si="174"/>
        <v>505.29666263090093</v>
      </c>
      <c r="CX165" s="62">
        <f t="shared" si="122"/>
        <v>798.62999596423424</v>
      </c>
      <c r="CY165" s="62">
        <f ca="1">AVERAGE(OFFSET($CX$3,0,0,'Données projet'!$E$13+1,1))-AVERAGE(OFFSET($H$3,0,0,'Données projet'!$E$13+1,1))</f>
        <v>327.81662150328646</v>
      </c>
      <c r="CZ165" s="62">
        <f t="shared" si="150"/>
        <v>320.24200483294322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0.14655963191073515</v>
      </c>
      <c r="DG165" s="23">
        <f>EXP(-LN(2)/25)*DG164+(1-EXP(-LN(2)/25))/(LN(2)/25)*Calculateur!DB165*Calculateur!DD165*VLOOKUP('Données projet'!$B$13,Paramètres!$A$1:$I$89,3,0)*0.475*44/12</f>
        <v>0</v>
      </c>
      <c r="DH165" s="23">
        <f>EXP(-LN(2)/2)*DH164+(1-EXP(-LN(2)/2))/(LN(2)/2)*DB165*DE165*VLOOKUP('Données projet'!$B$13,Paramètres!$A$1:$I$89,3,0)*0.475*44/12</f>
        <v>0</v>
      </c>
      <c r="DI165" s="24">
        <f t="shared" si="175"/>
        <v>0.14655963191073515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5.6843418860808015E-14</v>
      </c>
      <c r="DP165" s="18">
        <f>DO165*VLOOKUP('Données projet'!$B$14,Paramètres!$A$1:$I$89,3,0)*VLOOKUP('Données projet'!$B$14,Paramètres!$A$1:$I$89,5,0)</f>
        <v>3.7243808037601412E-14</v>
      </c>
      <c r="DQ165" s="14">
        <f t="shared" si="176"/>
        <v>6.2767589361185393E-13</v>
      </c>
      <c r="DR165" s="22">
        <f t="shared" si="177"/>
        <v>1.1580684803728015E-12</v>
      </c>
      <c r="DS165" s="62">
        <f t="shared" si="125"/>
        <v>293.33333333333445</v>
      </c>
      <c r="DT165" s="62">
        <f ca="1">AVERAGE(OFFSET($DS$3,0,0,'Données projet'!$E$14+1,1))-AVERAGE(OFFSET($H$3,0,0,'Données projet'!$E$14+1,1))</f>
        <v>210.08998695869161</v>
      </c>
      <c r="DU165" s="62">
        <f t="shared" si="152"/>
        <v>207.30911916430881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>
        <f>EXP(-LN(2)/35)*EA164+(1-EXP(-LN(2)/35))/(LN(2)/35)*DW165*DX165*VLOOKUP('Données projet'!$B$14,Paramètres!$A$1:$I$89,3,0)*0.475*44/12</f>
        <v>3.3677532439062519E-2</v>
      </c>
      <c r="EB165" s="23">
        <f>EXP(-LN(2)/25)*EB164+(1-EXP(-LN(2)/25))/(LN(2)/25)*Calculateur!DW165*Calculateur!DY165*VLOOKUP('Données projet'!$B$14,Paramètres!$A$1:$I$89,3,0)*0.475*44/12</f>
        <v>0</v>
      </c>
      <c r="EC165" s="23">
        <f>EXP(-LN(2)/2)*EC164+(1-EXP(-LN(2)/2))/(LN(2)/2)*DW165*DZ165*VLOOKUP('Données projet'!$B$14,Paramètres!$A$1:$I$89,3,0)*0.475*44/12</f>
        <v>0</v>
      </c>
      <c r="ED165" s="24">
        <f t="shared" si="178"/>
        <v>3.3677532439062519E-2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5.6843418860808015E-14</v>
      </c>
      <c r="EK165" s="18">
        <f>EJ165*VLOOKUP('Données projet'!$B$15,Paramètres!$A$1:$I$89,3,0)*VLOOKUP('Données projet'!$B$15,Paramètres!$A$1:$I$89,5,0)</f>
        <v>4.4337866711430253E-14</v>
      </c>
      <c r="EL165" s="14">
        <f t="shared" si="179"/>
        <v>7.3222115536967035E-13</v>
      </c>
      <c r="EM165" s="22">
        <f t="shared" si="180"/>
        <v>1.3525069634579169E-12</v>
      </c>
      <c r="EN165" s="62">
        <f t="shared" si="128"/>
        <v>293.33333333333468</v>
      </c>
      <c r="EO165" s="62">
        <f ca="1">AVERAGE(OFFSET($EN$3,0,0,'Données projet'!$E$15+1,1))-AVERAGE(OFFSET($H$3,0,0,'Données projet'!$E$15+1,1))</f>
        <v>288.82868507674738</v>
      </c>
      <c r="EP165" s="62">
        <f t="shared" si="154"/>
        <v>283.48738729114024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>
        <f>EXP(-LN(2)/35)*EV164+(1-EXP(-LN(2)/35))/(LN(2)/35)*ER165*ES165*VLOOKUP('Données projet'!$B$15,Paramètres!$A$1:$I$89,3,0)*0.475*44/12</f>
        <v>0.1327964657584948</v>
      </c>
      <c r="EW165" s="23">
        <f>EXP(-LN(2)/25)*EW164+(1-EXP(-LN(2)/25))/(LN(2)/25)*Calculateur!ER165*Calculateur!ET165*VLOOKUP('Données projet'!$B$15,Paramètres!$A$1:$I$89,3,0)*0.475*44/12</f>
        <v>0</v>
      </c>
      <c r="EX165" s="23">
        <f>EXP(-LN(2)/2)*EX164+(1-EXP(-LN(2)/2))/(LN(2)/2)*ER165*EU165*VLOOKUP('Données projet'!$B$15,Paramètres!$A$1:$I$89,3,0)*0.475*44/12</f>
        <v>0</v>
      </c>
      <c r="EY165" s="24">
        <f t="shared" si="181"/>
        <v>0.1327964657584948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3.4106051316484809E-13</v>
      </c>
      <c r="O166" s="14">
        <f>N166*VLOOKUP('Données projet'!$B$9,Paramètres!$A$1:$I$89,3,0)*VLOOKUP('Données projet'!$B$9,Paramètres!$A$1:$I$89,5,0)</f>
        <v>1.5961632016114892E-13</v>
      </c>
      <c r="P166" s="14">
        <f t="shared" si="141"/>
        <v>2.2708641912150958E-12</v>
      </c>
      <c r="Q166" s="22">
        <f t="shared" si="162"/>
        <v>4.2330868906469593E-12</v>
      </c>
      <c r="R166" s="62">
        <f t="shared" si="109"/>
        <v>293.33333333333752</v>
      </c>
      <c r="S166" s="62">
        <f ca="1">AVERAGE(OFFSET($R$3,0,0,'Données projet'!$E$9+1,1))-AVERAGE(OFFSET($H$3,0,0,'Données projet'!$E$9+1,1))</f>
        <v>317.54276561627643</v>
      </c>
      <c r="T166" s="62">
        <f t="shared" si="142"/>
        <v>238.92443174298893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-1.1368683772161603E-13</v>
      </c>
      <c r="AJ166" s="14">
        <f>AI166*VLOOKUP('Données projet'!$B$10,Paramètres!$A$1:$I$89,3,0)*VLOOKUP('Données projet'!$B$10,Paramètres!$A$1:$I$89,5,0)</f>
        <v>-9.9316821433603781E-14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327.826081588335</v>
      </c>
      <c r="AO166" s="62">
        <f t="shared" si="144"/>
        <v>348.84706693879735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0.44124106403607033</v>
      </c>
      <c r="AV166" s="23">
        <f>EXP(-LN(2)/25)*AV165+(1-EXP(-LN(2)/25))/(LN(2)/25)*Calculateur!AQ166*Calculateur!AS166*VLOOKUP('Données projet'!$B$10,Paramètres!$A$1:$I$89,3,0)*0.475*44/12</f>
        <v>0.34344597066433263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0.78468703470040291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>
        <f>BD166*VLOOKUP('Données projet'!$B$11,Paramètres!$A$1:$I$89,3,0)*VLOOKUP('Données projet'!$B$11,Paramètres!$A$1:$I$89,5,0)</f>
        <v>0</v>
      </c>
      <c r="BF166" s="14" t="e">
        <f t="shared" si="167"/>
        <v>#NUM!</v>
      </c>
      <c r="BG166" s="22" t="e">
        <f t="shared" si="168"/>
        <v>#NUM!</v>
      </c>
      <c r="BH166" s="62" t="e">
        <f t="shared" si="116"/>
        <v>#NUM!</v>
      </c>
      <c r="BI166" s="62">
        <f ca="1">AVERAGE(OFFSET($BH$3,0,0,'Données projet'!$E$11+1,1))-AVERAGE(OFFSET($H$3,0,0,'Données projet'!$E$11+1,1))</f>
        <v>487.04124684635974</v>
      </c>
      <c r="BJ166" s="62">
        <f t="shared" si="146"/>
        <v>306.61893266146666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0.19378830515097686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0.19378830515097686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>
        <f>BY166*VLOOKUP('Données projet'!$B$12,Paramètres!$A$1:$I$89,3,0)*VLOOKUP('Données projet'!$B$12,Paramètres!$A$1:$I$89,5,0)</f>
        <v>0</v>
      </c>
      <c r="CA166" s="14" t="e">
        <f t="shared" si="170"/>
        <v>#NUM!</v>
      </c>
      <c r="CB166" s="22" t="e">
        <f t="shared" si="171"/>
        <v>#NUM!</v>
      </c>
      <c r="CC166" s="62" t="e">
        <f t="shared" si="119"/>
        <v>#NUM!</v>
      </c>
      <c r="CD166" s="62">
        <f ca="1">AVERAGE(OFFSET($CC$3,0,0,'Données projet'!$E$12+1,1))-AVERAGE(OFFSET($H$3,0,0,'Données projet'!$E$12+1,1))</f>
        <v>439.06700232017681</v>
      </c>
      <c r="CE166" s="62">
        <f t="shared" si="148"/>
        <v>278.21741231699929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0.17291879536548688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0.17291879536548688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317.99999999999972</v>
      </c>
      <c r="CU166" s="18">
        <f>CT166*VLOOKUP('Données projet'!$B$13,Paramètres!$A$1:$I$89,3,0)*VLOOKUP('Données projet'!$B$13,Paramètres!$A$1:$I$89,5,0)</f>
        <v>233.1575999999998</v>
      </c>
      <c r="CV166" s="14">
        <f t="shared" si="173"/>
        <v>56.964885721091697</v>
      </c>
      <c r="CW166" s="22">
        <f t="shared" si="174"/>
        <v>505.29666263090093</v>
      </c>
      <c r="CX166" s="62">
        <f t="shared" si="122"/>
        <v>798.62999596423424</v>
      </c>
      <c r="CY166" s="62">
        <f ca="1">AVERAGE(OFFSET($CX$3,0,0,'Données projet'!$E$13+1,1))-AVERAGE(OFFSET($H$3,0,0,'Données projet'!$E$13+1,1))</f>
        <v>327.81662150328646</v>
      </c>
      <c r="CZ166" s="62">
        <f t="shared" si="150"/>
        <v>320.24200483294322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0.14368568692151432</v>
      </c>
      <c r="DG166" s="23">
        <f>EXP(-LN(2)/25)*DG165+(1-EXP(-LN(2)/25))/(LN(2)/25)*Calculateur!DB166*Calculateur!DD166*VLOOKUP('Données projet'!$B$13,Paramètres!$A$1:$I$89,3,0)*0.475*44/12</f>
        <v>0</v>
      </c>
      <c r="DH166" s="23">
        <f>EXP(-LN(2)/2)*DH165+(1-EXP(-LN(2)/2))/(LN(2)/2)*DB166*DE166*VLOOKUP('Données projet'!$B$13,Paramètres!$A$1:$I$89,3,0)*0.475*44/12</f>
        <v>0</v>
      </c>
      <c r="DI166" s="24">
        <f t="shared" si="175"/>
        <v>0.14368568692151432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5.6843418860808015E-14</v>
      </c>
      <c r="DP166" s="18">
        <f>DO166*VLOOKUP('Données projet'!$B$14,Paramètres!$A$1:$I$89,3,0)*VLOOKUP('Données projet'!$B$14,Paramètres!$A$1:$I$89,5,0)</f>
        <v>3.7243808037601412E-14</v>
      </c>
      <c r="DQ166" s="14">
        <f t="shared" si="176"/>
        <v>6.2767589361185393E-13</v>
      </c>
      <c r="DR166" s="22">
        <f t="shared" si="177"/>
        <v>1.1580684803728015E-12</v>
      </c>
      <c r="DS166" s="62">
        <f t="shared" si="125"/>
        <v>293.33333333333445</v>
      </c>
      <c r="DT166" s="62">
        <f ca="1">AVERAGE(OFFSET($DS$3,0,0,'Données projet'!$E$14+1,1))-AVERAGE(OFFSET($H$3,0,0,'Données projet'!$E$14+1,1))</f>
        <v>210.08998695869161</v>
      </c>
      <c r="DU166" s="62">
        <f t="shared" si="152"/>
        <v>207.30911916430881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>
        <f>EXP(-LN(2)/35)*EA165+(1-EXP(-LN(2)/35))/(LN(2)/35)*DW166*DX166*VLOOKUP('Données projet'!$B$14,Paramètres!$A$1:$I$89,3,0)*0.475*44/12</f>
        <v>3.301713656919901E-2</v>
      </c>
      <c r="EB166" s="23">
        <f>EXP(-LN(2)/25)*EB165+(1-EXP(-LN(2)/25))/(LN(2)/25)*Calculateur!DW166*Calculateur!DY166*VLOOKUP('Données projet'!$B$14,Paramètres!$A$1:$I$89,3,0)*0.475*44/12</f>
        <v>0</v>
      </c>
      <c r="EC166" s="23">
        <f>EXP(-LN(2)/2)*EC165+(1-EXP(-LN(2)/2))/(LN(2)/2)*DW166*DZ166*VLOOKUP('Données projet'!$B$14,Paramètres!$A$1:$I$89,3,0)*0.475*44/12</f>
        <v>0</v>
      </c>
      <c r="ED166" s="24">
        <f t="shared" si="178"/>
        <v>3.301713656919901E-2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5.6843418860808015E-14</v>
      </c>
      <c r="EK166" s="18">
        <f>EJ166*VLOOKUP('Données projet'!$B$15,Paramètres!$A$1:$I$89,3,0)*VLOOKUP('Données projet'!$B$15,Paramètres!$A$1:$I$89,5,0)</f>
        <v>4.4337866711430253E-14</v>
      </c>
      <c r="EL166" s="14">
        <f t="shared" si="179"/>
        <v>7.3222115536967035E-13</v>
      </c>
      <c r="EM166" s="22">
        <f t="shared" si="180"/>
        <v>1.3525069634579169E-12</v>
      </c>
      <c r="EN166" s="62">
        <f t="shared" si="128"/>
        <v>293.33333333333468</v>
      </c>
      <c r="EO166" s="62">
        <f ca="1">AVERAGE(OFFSET($EN$3,0,0,'Données projet'!$E$15+1,1))-AVERAGE(OFFSET($H$3,0,0,'Données projet'!$E$15+1,1))</f>
        <v>288.82868507674738</v>
      </c>
      <c r="EP166" s="62">
        <f t="shared" si="154"/>
        <v>283.48738729114024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>
        <f>EXP(-LN(2)/35)*EV165+(1-EXP(-LN(2)/35))/(LN(2)/35)*ER166*ES166*VLOOKUP('Données projet'!$B$15,Paramètres!$A$1:$I$89,3,0)*0.475*44/12</f>
        <v>0.13019240806281696</v>
      </c>
      <c r="EW166" s="23">
        <f>EXP(-LN(2)/25)*EW165+(1-EXP(-LN(2)/25))/(LN(2)/25)*Calculateur!ER166*Calculateur!ET166*VLOOKUP('Données projet'!$B$15,Paramètres!$A$1:$I$89,3,0)*0.475*44/12</f>
        <v>0</v>
      </c>
      <c r="EX166" s="23">
        <f>EXP(-LN(2)/2)*EX165+(1-EXP(-LN(2)/2))/(LN(2)/2)*ER166*EU166*VLOOKUP('Données projet'!$B$15,Paramètres!$A$1:$I$89,3,0)*0.475*44/12</f>
        <v>0</v>
      </c>
      <c r="EY166" s="24">
        <f t="shared" si="181"/>
        <v>0.13019240806281696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3.4106051316484809E-13</v>
      </c>
      <c r="O167" s="14">
        <f>N167*VLOOKUP('Données projet'!$B$9,Paramètres!$A$1:$I$89,3,0)*VLOOKUP('Données projet'!$B$9,Paramètres!$A$1:$I$89,5,0)</f>
        <v>1.5961632016114892E-13</v>
      </c>
      <c r="P167" s="14">
        <f t="shared" si="141"/>
        <v>2.2708641912150958E-12</v>
      </c>
      <c r="Q167" s="22">
        <f t="shared" si="162"/>
        <v>4.2330868906469593E-12</v>
      </c>
      <c r="R167" s="62">
        <f t="shared" si="109"/>
        <v>293.33333333333752</v>
      </c>
      <c r="S167" s="62">
        <f ca="1">AVERAGE(OFFSET($R$3,0,0,'Données projet'!$E$9+1,1))-AVERAGE(OFFSET($H$3,0,0,'Données projet'!$E$9+1,1))</f>
        <v>317.54276561627643</v>
      </c>
      <c r="T167" s="62">
        <f t="shared" si="142"/>
        <v>238.92443174298893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-1.1368683772161603E-13</v>
      </c>
      <c r="AJ167" s="14">
        <f>AI167*VLOOKUP('Données projet'!$B$10,Paramètres!$A$1:$I$89,3,0)*VLOOKUP('Données projet'!$B$10,Paramètres!$A$1:$I$89,5,0)</f>
        <v>-9.9316821433603781E-14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327.826081588335</v>
      </c>
      <c r="AO167" s="62">
        <f t="shared" si="144"/>
        <v>348.84706693879735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0.43258859590079762</v>
      </c>
      <c r="AV167" s="23">
        <f>EXP(-LN(2)/25)*AV166+(1-EXP(-LN(2)/25))/(LN(2)/25)*Calculateur!AQ167*Calculateur!AS167*VLOOKUP('Données projet'!$B$10,Paramètres!$A$1:$I$89,3,0)*0.475*44/12</f>
        <v>0.33405442253547779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0.76664301843627536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>
        <f>BD167*VLOOKUP('Données projet'!$B$11,Paramètres!$A$1:$I$89,3,0)*VLOOKUP('Données projet'!$B$11,Paramètres!$A$1:$I$89,5,0)</f>
        <v>0</v>
      </c>
      <c r="BF167" s="14" t="e">
        <f t="shared" si="167"/>
        <v>#NUM!</v>
      </c>
      <c r="BG167" s="22" t="e">
        <f t="shared" si="168"/>
        <v>#NUM!</v>
      </c>
      <c r="BH167" s="62" t="e">
        <f t="shared" si="116"/>
        <v>#NUM!</v>
      </c>
      <c r="BI167" s="62">
        <f ca="1">AVERAGE(OFFSET($BH$3,0,0,'Données projet'!$E$11+1,1))-AVERAGE(OFFSET($H$3,0,0,'Données projet'!$E$11+1,1))</f>
        <v>487.04124684635974</v>
      </c>
      <c r="BJ167" s="62">
        <f t="shared" si="146"/>
        <v>306.61893266146666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0.18998823468616116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0.18998823468616116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>
        <f>BY167*VLOOKUP('Données projet'!$B$12,Paramètres!$A$1:$I$89,3,0)*VLOOKUP('Données projet'!$B$12,Paramètres!$A$1:$I$89,5,0)</f>
        <v>0</v>
      </c>
      <c r="CA167" s="14" t="e">
        <f t="shared" si="170"/>
        <v>#NUM!</v>
      </c>
      <c r="CB167" s="22" t="e">
        <f t="shared" si="171"/>
        <v>#NUM!</v>
      </c>
      <c r="CC167" s="62" t="e">
        <f t="shared" si="119"/>
        <v>#NUM!</v>
      </c>
      <c r="CD167" s="62">
        <f ca="1">AVERAGE(OFFSET($CC$3,0,0,'Données projet'!$E$12+1,1))-AVERAGE(OFFSET($H$3,0,0,'Données projet'!$E$12+1,1))</f>
        <v>439.06700232017681</v>
      </c>
      <c r="CE167" s="62">
        <f t="shared" si="148"/>
        <v>278.21741231699929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0.16952796325842054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0.16952796325842054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317.99999999999972</v>
      </c>
      <c r="CU167" s="18">
        <f>CT167*VLOOKUP('Données projet'!$B$13,Paramètres!$A$1:$I$89,3,0)*VLOOKUP('Données projet'!$B$13,Paramètres!$A$1:$I$89,5,0)</f>
        <v>233.1575999999998</v>
      </c>
      <c r="CV167" s="14">
        <f t="shared" si="173"/>
        <v>56.964885721091697</v>
      </c>
      <c r="CW167" s="22">
        <f t="shared" si="174"/>
        <v>505.29666263090093</v>
      </c>
      <c r="CX167" s="62">
        <f t="shared" si="122"/>
        <v>798.62999596423424</v>
      </c>
      <c r="CY167" s="62">
        <f ca="1">AVERAGE(OFFSET($CX$3,0,0,'Données projet'!$E$13+1,1))-AVERAGE(OFFSET($H$3,0,0,'Données projet'!$E$13+1,1))</f>
        <v>327.81662150328646</v>
      </c>
      <c r="CZ167" s="62">
        <f t="shared" si="150"/>
        <v>320.24200483294322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0.14086809824059876</v>
      </c>
      <c r="DG167" s="23">
        <f>EXP(-LN(2)/25)*DG166+(1-EXP(-LN(2)/25))/(LN(2)/25)*Calculateur!DB167*Calculateur!DD167*VLOOKUP('Données projet'!$B$13,Paramètres!$A$1:$I$89,3,0)*0.475*44/12</f>
        <v>0</v>
      </c>
      <c r="DH167" s="23">
        <f>EXP(-LN(2)/2)*DH166+(1-EXP(-LN(2)/2))/(LN(2)/2)*DB167*DE167*VLOOKUP('Données projet'!$B$13,Paramètres!$A$1:$I$89,3,0)*0.475*44/12</f>
        <v>0</v>
      </c>
      <c r="DI167" s="24">
        <f t="shared" si="175"/>
        <v>0.14086809824059876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5.6843418860808015E-14</v>
      </c>
      <c r="DP167" s="18">
        <f>DO167*VLOOKUP('Données projet'!$B$14,Paramètres!$A$1:$I$89,3,0)*VLOOKUP('Données projet'!$B$14,Paramètres!$A$1:$I$89,5,0)</f>
        <v>3.7243808037601412E-14</v>
      </c>
      <c r="DQ167" s="14">
        <f t="shared" si="176"/>
        <v>6.2767589361185393E-13</v>
      </c>
      <c r="DR167" s="22">
        <f t="shared" si="177"/>
        <v>1.1580684803728015E-12</v>
      </c>
      <c r="DS167" s="62">
        <f t="shared" si="125"/>
        <v>293.33333333333445</v>
      </c>
      <c r="DT167" s="62">
        <f ca="1">AVERAGE(OFFSET($DS$3,0,0,'Données projet'!$E$14+1,1))-AVERAGE(OFFSET($H$3,0,0,'Données projet'!$E$14+1,1))</f>
        <v>210.08998695869161</v>
      </c>
      <c r="DU167" s="62">
        <f t="shared" si="152"/>
        <v>207.30911916430881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>
        <f>EXP(-LN(2)/35)*EA166+(1-EXP(-LN(2)/35))/(LN(2)/35)*DW167*DX167*VLOOKUP('Données projet'!$B$14,Paramètres!$A$1:$I$89,3,0)*0.475*44/12</f>
        <v>3.2369690659541817E-2</v>
      </c>
      <c r="EB167" s="23">
        <f>EXP(-LN(2)/25)*EB166+(1-EXP(-LN(2)/25))/(LN(2)/25)*Calculateur!DW167*Calculateur!DY167*VLOOKUP('Données projet'!$B$14,Paramètres!$A$1:$I$89,3,0)*0.475*44/12</f>
        <v>0</v>
      </c>
      <c r="EC167" s="23">
        <f>EXP(-LN(2)/2)*EC166+(1-EXP(-LN(2)/2))/(LN(2)/2)*DW167*DZ167*VLOOKUP('Données projet'!$B$14,Paramètres!$A$1:$I$89,3,0)*0.475*44/12</f>
        <v>0</v>
      </c>
      <c r="ED167" s="24">
        <f t="shared" si="178"/>
        <v>3.2369690659541817E-2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5.6843418860808015E-14</v>
      </c>
      <c r="EK167" s="18">
        <f>EJ167*VLOOKUP('Données projet'!$B$15,Paramètres!$A$1:$I$89,3,0)*VLOOKUP('Données projet'!$B$15,Paramètres!$A$1:$I$89,5,0)</f>
        <v>4.4337866711430253E-14</v>
      </c>
      <c r="EL167" s="14">
        <f t="shared" si="179"/>
        <v>7.3222115536967035E-13</v>
      </c>
      <c r="EM167" s="22">
        <f t="shared" si="180"/>
        <v>1.3525069634579169E-12</v>
      </c>
      <c r="EN167" s="62">
        <f t="shared" si="128"/>
        <v>293.33333333333468</v>
      </c>
      <c r="EO167" s="62">
        <f ca="1">AVERAGE(OFFSET($EN$3,0,0,'Données projet'!$E$15+1,1))-AVERAGE(OFFSET($H$3,0,0,'Données projet'!$E$15+1,1))</f>
        <v>288.82868507674738</v>
      </c>
      <c r="EP167" s="62">
        <f t="shared" si="154"/>
        <v>283.48738729114024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>
        <f>EXP(-LN(2)/35)*EV166+(1-EXP(-LN(2)/35))/(LN(2)/35)*ER167*ES167*VLOOKUP('Données projet'!$B$15,Paramètres!$A$1:$I$89,3,0)*0.475*44/12</f>
        <v>0.12763941435023299</v>
      </c>
      <c r="EW167" s="23">
        <f>EXP(-LN(2)/25)*EW166+(1-EXP(-LN(2)/25))/(LN(2)/25)*Calculateur!ER167*Calculateur!ET167*VLOOKUP('Données projet'!$B$15,Paramètres!$A$1:$I$89,3,0)*0.475*44/12</f>
        <v>0</v>
      </c>
      <c r="EX167" s="23">
        <f>EXP(-LN(2)/2)*EX166+(1-EXP(-LN(2)/2))/(LN(2)/2)*ER167*EU167*VLOOKUP('Données projet'!$B$15,Paramètres!$A$1:$I$89,3,0)*0.475*44/12</f>
        <v>0</v>
      </c>
      <c r="EY167" s="24">
        <f t="shared" si="181"/>
        <v>0.12763941435023299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3.4106051316484809E-13</v>
      </c>
      <c r="O168" s="14">
        <f>N168*VLOOKUP('Données projet'!$B$9,Paramètres!$A$1:$I$89,3,0)*VLOOKUP('Données projet'!$B$9,Paramètres!$A$1:$I$89,5,0)</f>
        <v>1.5961632016114892E-13</v>
      </c>
      <c r="P168" s="14">
        <f t="shared" si="141"/>
        <v>2.2708641912150958E-12</v>
      </c>
      <c r="Q168" s="22">
        <f t="shared" si="162"/>
        <v>4.2330868906469593E-12</v>
      </c>
      <c r="R168" s="62">
        <f t="shared" si="109"/>
        <v>293.33333333333752</v>
      </c>
      <c r="S168" s="62">
        <f ca="1">AVERAGE(OFFSET($R$3,0,0,'Données projet'!$E$9+1,1))-AVERAGE(OFFSET($H$3,0,0,'Données projet'!$E$9+1,1))</f>
        <v>317.54276561627643</v>
      </c>
      <c r="T168" s="62">
        <f t="shared" si="142"/>
        <v>238.92443174298893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-1.1368683772161603E-13</v>
      </c>
      <c r="AJ168" s="14">
        <f>AI168*VLOOKUP('Données projet'!$B$10,Paramètres!$A$1:$I$89,3,0)*VLOOKUP('Données projet'!$B$10,Paramètres!$A$1:$I$89,5,0)</f>
        <v>-9.9316821433603781E-14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327.826081588335</v>
      </c>
      <c r="AO168" s="62">
        <f t="shared" si="144"/>
        <v>348.84706693879735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0.42410579738817317</v>
      </c>
      <c r="AV168" s="23">
        <f>EXP(-LN(2)/25)*AV167+(1-EXP(-LN(2)/25))/(LN(2)/25)*Calculateur!AQ168*Calculateur!AS168*VLOOKUP('Données projet'!$B$10,Paramètres!$A$1:$I$89,3,0)*0.475*44/12</f>
        <v>0.32491968678408656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0.74902548417225967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>
        <f>BD168*VLOOKUP('Données projet'!$B$11,Paramètres!$A$1:$I$89,3,0)*VLOOKUP('Données projet'!$B$11,Paramètres!$A$1:$I$89,5,0)</f>
        <v>0</v>
      </c>
      <c r="BF168" s="14" t="e">
        <f t="shared" si="167"/>
        <v>#NUM!</v>
      </c>
      <c r="BG168" s="22" t="e">
        <f t="shared" si="168"/>
        <v>#NUM!</v>
      </c>
      <c r="BH168" s="62" t="e">
        <f t="shared" si="116"/>
        <v>#NUM!</v>
      </c>
      <c r="BI168" s="62">
        <f ca="1">AVERAGE(OFFSET($BH$3,0,0,'Données projet'!$E$11+1,1))-AVERAGE(OFFSET($H$3,0,0,'Données projet'!$E$11+1,1))</f>
        <v>487.04124684635974</v>
      </c>
      <c r="BJ168" s="62">
        <f t="shared" si="146"/>
        <v>306.61893266146666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0.18626268128534637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0.18626268128534637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>
        <f>BY168*VLOOKUP('Données projet'!$B$12,Paramètres!$A$1:$I$89,3,0)*VLOOKUP('Données projet'!$B$12,Paramètres!$A$1:$I$89,5,0)</f>
        <v>0</v>
      </c>
      <c r="CA168" s="14" t="e">
        <f t="shared" si="170"/>
        <v>#NUM!</v>
      </c>
      <c r="CB168" s="22" t="e">
        <f t="shared" si="171"/>
        <v>#NUM!</v>
      </c>
      <c r="CC168" s="62" t="e">
        <f t="shared" si="119"/>
        <v>#NUM!</v>
      </c>
      <c r="CD168" s="62">
        <f ca="1">AVERAGE(OFFSET($CC$3,0,0,'Données projet'!$E$12+1,1))-AVERAGE(OFFSET($H$3,0,0,'Données projet'!$E$12+1,1))</f>
        <v>439.06700232017681</v>
      </c>
      <c r="CE168" s="62">
        <f t="shared" si="148"/>
        <v>278.21741231699929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0.1662036233007704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0.1662036233007704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317.99999999999972</v>
      </c>
      <c r="CU168" s="18">
        <f>CT168*VLOOKUP('Données projet'!$B$13,Paramètres!$A$1:$I$89,3,0)*VLOOKUP('Données projet'!$B$13,Paramètres!$A$1:$I$89,5,0)</f>
        <v>233.1575999999998</v>
      </c>
      <c r="CV168" s="14">
        <f t="shared" si="173"/>
        <v>56.964885721091697</v>
      </c>
      <c r="CW168" s="22">
        <f t="shared" si="174"/>
        <v>505.29666263090093</v>
      </c>
      <c r="CX168" s="62">
        <f t="shared" si="122"/>
        <v>798.62999596423424</v>
      </c>
      <c r="CY168" s="62">
        <f ca="1">AVERAGE(OFFSET($CX$3,0,0,'Données projet'!$E$13+1,1))-AVERAGE(OFFSET($H$3,0,0,'Données projet'!$E$13+1,1))</f>
        <v>327.81662150328646</v>
      </c>
      <c r="CZ168" s="62">
        <f t="shared" si="150"/>
        <v>320.24200483294322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0.13810576075515654</v>
      </c>
      <c r="DG168" s="23">
        <f>EXP(-LN(2)/25)*DG167+(1-EXP(-LN(2)/25))/(LN(2)/25)*Calculateur!DB168*Calculateur!DD168*VLOOKUP('Données projet'!$B$13,Paramètres!$A$1:$I$89,3,0)*0.475*44/12</f>
        <v>0</v>
      </c>
      <c r="DH168" s="23">
        <f>EXP(-LN(2)/2)*DH167+(1-EXP(-LN(2)/2))/(LN(2)/2)*DB168*DE168*VLOOKUP('Données projet'!$B$13,Paramètres!$A$1:$I$89,3,0)*0.475*44/12</f>
        <v>0</v>
      </c>
      <c r="DI168" s="24">
        <f t="shared" si="175"/>
        <v>0.13810576075515654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5.6843418860808015E-14</v>
      </c>
      <c r="DP168" s="18">
        <f>DO168*VLOOKUP('Données projet'!$B$14,Paramètres!$A$1:$I$89,3,0)*VLOOKUP('Données projet'!$B$14,Paramètres!$A$1:$I$89,5,0)</f>
        <v>3.7243808037601412E-14</v>
      </c>
      <c r="DQ168" s="14">
        <f t="shared" si="176"/>
        <v>6.2767589361185393E-13</v>
      </c>
      <c r="DR168" s="22">
        <f t="shared" si="177"/>
        <v>1.1580684803728015E-12</v>
      </c>
      <c r="DS168" s="62">
        <f t="shared" si="125"/>
        <v>293.33333333333445</v>
      </c>
      <c r="DT168" s="62">
        <f ca="1">AVERAGE(OFFSET($DS$3,0,0,'Données projet'!$E$14+1,1))-AVERAGE(OFFSET($H$3,0,0,'Données projet'!$E$14+1,1))</f>
        <v>210.08998695869161</v>
      </c>
      <c r="DU168" s="62">
        <f t="shared" si="152"/>
        <v>207.30911916430881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>
        <f>EXP(-LN(2)/35)*EA167+(1-EXP(-LN(2)/35))/(LN(2)/35)*DW168*DX168*VLOOKUP('Données projet'!$B$14,Paramètres!$A$1:$I$89,3,0)*0.475*44/12</f>
        <v>3.1734940769269991E-2</v>
      </c>
      <c r="EB168" s="23">
        <f>EXP(-LN(2)/25)*EB167+(1-EXP(-LN(2)/25))/(LN(2)/25)*Calculateur!DW168*Calculateur!DY168*VLOOKUP('Données projet'!$B$14,Paramètres!$A$1:$I$89,3,0)*0.475*44/12</f>
        <v>0</v>
      </c>
      <c r="EC168" s="23">
        <f>EXP(-LN(2)/2)*EC167+(1-EXP(-LN(2)/2))/(LN(2)/2)*DW168*DZ168*VLOOKUP('Données projet'!$B$14,Paramètres!$A$1:$I$89,3,0)*0.475*44/12</f>
        <v>0</v>
      </c>
      <c r="ED168" s="24">
        <f t="shared" si="178"/>
        <v>3.1734940769269991E-2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5.6843418860808015E-14</v>
      </c>
      <c r="EK168" s="18">
        <f>EJ168*VLOOKUP('Données projet'!$B$15,Paramètres!$A$1:$I$89,3,0)*VLOOKUP('Données projet'!$B$15,Paramètres!$A$1:$I$89,5,0)</f>
        <v>4.4337866711430253E-14</v>
      </c>
      <c r="EL168" s="14">
        <f t="shared" si="179"/>
        <v>7.3222115536967035E-13</v>
      </c>
      <c r="EM168" s="22">
        <f t="shared" si="180"/>
        <v>1.3525069634579169E-12</v>
      </c>
      <c r="EN168" s="62">
        <f t="shared" si="128"/>
        <v>293.33333333333468</v>
      </c>
      <c r="EO168" s="62">
        <f ca="1">AVERAGE(OFFSET($EN$3,0,0,'Données projet'!$E$15+1,1))-AVERAGE(OFFSET($H$3,0,0,'Données projet'!$E$15+1,1))</f>
        <v>288.82868507674738</v>
      </c>
      <c r="EP168" s="62">
        <f t="shared" si="154"/>
        <v>283.48738729114024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>
        <f>EXP(-LN(2)/35)*EV167+(1-EXP(-LN(2)/35))/(LN(2)/35)*ER168*ES168*VLOOKUP('Données projet'!$B$15,Paramètres!$A$1:$I$89,3,0)*0.475*44/12</f>
        <v>0.12513648328718038</v>
      </c>
      <c r="EW168" s="23">
        <f>EXP(-LN(2)/25)*EW167+(1-EXP(-LN(2)/25))/(LN(2)/25)*Calculateur!ER168*Calculateur!ET168*VLOOKUP('Données projet'!$B$15,Paramètres!$A$1:$I$89,3,0)*0.475*44/12</f>
        <v>0</v>
      </c>
      <c r="EX168" s="23">
        <f>EXP(-LN(2)/2)*EX167+(1-EXP(-LN(2)/2))/(LN(2)/2)*ER168*EU168*VLOOKUP('Données projet'!$B$15,Paramètres!$A$1:$I$89,3,0)*0.475*44/12</f>
        <v>0</v>
      </c>
      <c r="EY168" s="24">
        <f t="shared" si="181"/>
        <v>0.12513648328718038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3.4106051316484809E-13</v>
      </c>
      <c r="O169" s="14">
        <f>N169*VLOOKUP('Données projet'!$B$9,Paramètres!$A$1:$I$89,3,0)*VLOOKUP('Données projet'!$B$9,Paramètres!$A$1:$I$89,5,0)</f>
        <v>1.5961632016114892E-13</v>
      </c>
      <c r="P169" s="14">
        <f t="shared" si="141"/>
        <v>2.2708641912150958E-12</v>
      </c>
      <c r="Q169" s="22">
        <f t="shared" si="162"/>
        <v>4.2330868906469593E-12</v>
      </c>
      <c r="R169" s="62">
        <f t="shared" si="109"/>
        <v>293.33333333333752</v>
      </c>
      <c r="S169" s="62">
        <f ca="1">AVERAGE(OFFSET($R$3,0,0,'Données projet'!$E$9+1,1))-AVERAGE(OFFSET($H$3,0,0,'Données projet'!$E$9+1,1))</f>
        <v>317.54276561627643</v>
      </c>
      <c r="T169" s="62">
        <f t="shared" si="142"/>
        <v>238.92443174298893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-1.1368683772161603E-13</v>
      </c>
      <c r="AJ169" s="14">
        <f>AI169*VLOOKUP('Données projet'!$B$10,Paramètres!$A$1:$I$89,3,0)*VLOOKUP('Données projet'!$B$10,Paramètres!$A$1:$I$89,5,0)</f>
        <v>-9.9316821433603781E-14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327.826081588335</v>
      </c>
      <c r="AO169" s="62">
        <f t="shared" si="144"/>
        <v>348.84706693879735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0.41578934138038509</v>
      </c>
      <c r="AV169" s="23">
        <f>EXP(-LN(2)/25)*AV168+(1-EXP(-LN(2)/25))/(LN(2)/25)*Calculateur!AQ169*Calculateur!AS169*VLOOKUP('Données projet'!$B$10,Paramètres!$A$1:$I$89,3,0)*0.475*44/12</f>
        <v>0.31603474086219202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0.73182408224257711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>
        <f>BD169*VLOOKUP('Données projet'!$B$11,Paramètres!$A$1:$I$89,3,0)*VLOOKUP('Données projet'!$B$11,Paramètres!$A$1:$I$89,5,0)</f>
        <v>0</v>
      </c>
      <c r="BF169" s="14" t="e">
        <f t="shared" si="167"/>
        <v>#NUM!</v>
      </c>
      <c r="BG169" s="22" t="e">
        <f t="shared" si="168"/>
        <v>#NUM!</v>
      </c>
      <c r="BH169" s="62" t="e">
        <f t="shared" si="116"/>
        <v>#NUM!</v>
      </c>
      <c r="BI169" s="62">
        <f ca="1">AVERAGE(OFFSET($BH$3,0,0,'Données projet'!$E$11+1,1))-AVERAGE(OFFSET($H$3,0,0,'Données projet'!$E$11+1,1))</f>
        <v>487.04124684635974</v>
      </c>
      <c r="BJ169" s="62">
        <f t="shared" si="146"/>
        <v>306.61893266146666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0.18261018371435836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0.18261018371435836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>
        <f>BY169*VLOOKUP('Données projet'!$B$12,Paramètres!$A$1:$I$89,3,0)*VLOOKUP('Données projet'!$B$12,Paramètres!$A$1:$I$89,5,0)</f>
        <v>0</v>
      </c>
      <c r="CA169" s="14" t="e">
        <f t="shared" si="170"/>
        <v>#NUM!</v>
      </c>
      <c r="CB169" s="22" t="e">
        <f t="shared" si="171"/>
        <v>#NUM!</v>
      </c>
      <c r="CC169" s="62" t="e">
        <f t="shared" si="119"/>
        <v>#NUM!</v>
      </c>
      <c r="CD169" s="62">
        <f ca="1">AVERAGE(OFFSET($CC$3,0,0,'Données projet'!$E$12+1,1))-AVERAGE(OFFSET($H$3,0,0,'Données projet'!$E$12+1,1))</f>
        <v>439.06700232017681</v>
      </c>
      <c r="CE169" s="62">
        <f t="shared" si="148"/>
        <v>278.21741231699929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0.16294447162204265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0.16294447162204265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317.99999999999972</v>
      </c>
      <c r="CU169" s="18">
        <f>CT169*VLOOKUP('Données projet'!$B$13,Paramètres!$A$1:$I$89,3,0)*VLOOKUP('Données projet'!$B$13,Paramètres!$A$1:$I$89,5,0)</f>
        <v>233.1575999999998</v>
      </c>
      <c r="CV169" s="14">
        <f t="shared" si="173"/>
        <v>56.964885721091697</v>
      </c>
      <c r="CW169" s="22">
        <f t="shared" si="174"/>
        <v>505.29666263090093</v>
      </c>
      <c r="CX169" s="62">
        <f t="shared" si="122"/>
        <v>798.62999596423424</v>
      </c>
      <c r="CY169" s="62">
        <f ca="1">AVERAGE(OFFSET($CX$3,0,0,'Données projet'!$E$13+1,1))-AVERAGE(OFFSET($H$3,0,0,'Données projet'!$E$13+1,1))</f>
        <v>327.81662150328646</v>
      </c>
      <c r="CZ169" s="62">
        <f t="shared" si="150"/>
        <v>320.24200483294322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0.13539759102294435</v>
      </c>
      <c r="DG169" s="23">
        <f>EXP(-LN(2)/25)*DG168+(1-EXP(-LN(2)/25))/(LN(2)/25)*Calculateur!DB169*Calculateur!DD169*VLOOKUP('Données projet'!$B$13,Paramètres!$A$1:$I$89,3,0)*0.475*44/12</f>
        <v>0</v>
      </c>
      <c r="DH169" s="23">
        <f>EXP(-LN(2)/2)*DH168+(1-EXP(-LN(2)/2))/(LN(2)/2)*DB169*DE169*VLOOKUP('Données projet'!$B$13,Paramètres!$A$1:$I$89,3,0)*0.475*44/12</f>
        <v>0</v>
      </c>
      <c r="DI169" s="24">
        <f t="shared" si="175"/>
        <v>0.13539759102294435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5.6843418860808015E-14</v>
      </c>
      <c r="DP169" s="18">
        <f>DO169*VLOOKUP('Données projet'!$B$14,Paramètres!$A$1:$I$89,3,0)*VLOOKUP('Données projet'!$B$14,Paramètres!$A$1:$I$89,5,0)</f>
        <v>3.7243808037601412E-14</v>
      </c>
      <c r="DQ169" s="14">
        <f t="shared" si="176"/>
        <v>6.2767589361185393E-13</v>
      </c>
      <c r="DR169" s="22">
        <f t="shared" si="177"/>
        <v>1.1580684803728015E-12</v>
      </c>
      <c r="DS169" s="62">
        <f t="shared" si="125"/>
        <v>293.33333333333445</v>
      </c>
      <c r="DT169" s="62">
        <f ca="1">AVERAGE(OFFSET($DS$3,0,0,'Données projet'!$E$14+1,1))-AVERAGE(OFFSET($H$3,0,0,'Données projet'!$E$14+1,1))</f>
        <v>210.08998695869161</v>
      </c>
      <c r="DU169" s="62">
        <f t="shared" si="152"/>
        <v>207.30911916430881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>
        <f>EXP(-LN(2)/35)*EA168+(1-EXP(-LN(2)/35))/(LN(2)/35)*DW169*DX169*VLOOKUP('Données projet'!$B$14,Paramètres!$A$1:$I$89,3,0)*0.475*44/12</f>
        <v>3.1112637937187191E-2</v>
      </c>
      <c r="EB169" s="23">
        <f>EXP(-LN(2)/25)*EB168+(1-EXP(-LN(2)/25))/(LN(2)/25)*Calculateur!DW169*Calculateur!DY169*VLOOKUP('Données projet'!$B$14,Paramètres!$A$1:$I$89,3,0)*0.475*44/12</f>
        <v>0</v>
      </c>
      <c r="EC169" s="23">
        <f>EXP(-LN(2)/2)*EC168+(1-EXP(-LN(2)/2))/(LN(2)/2)*DW169*DZ169*VLOOKUP('Données projet'!$B$14,Paramètres!$A$1:$I$89,3,0)*0.475*44/12</f>
        <v>0</v>
      </c>
      <c r="ED169" s="24">
        <f t="shared" si="178"/>
        <v>3.1112637937187191E-2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5.6843418860808015E-14</v>
      </c>
      <c r="EK169" s="18">
        <f>EJ169*VLOOKUP('Données projet'!$B$15,Paramètres!$A$1:$I$89,3,0)*VLOOKUP('Données projet'!$B$15,Paramètres!$A$1:$I$89,5,0)</f>
        <v>4.4337866711430253E-14</v>
      </c>
      <c r="EL169" s="14">
        <f t="shared" si="179"/>
        <v>7.3222115536967035E-13</v>
      </c>
      <c r="EM169" s="22">
        <f t="shared" si="180"/>
        <v>1.3525069634579169E-12</v>
      </c>
      <c r="EN169" s="62">
        <f t="shared" si="128"/>
        <v>293.33333333333468</v>
      </c>
      <c r="EO169" s="62">
        <f ca="1">AVERAGE(OFFSET($EN$3,0,0,'Données projet'!$E$15+1,1))-AVERAGE(OFFSET($H$3,0,0,'Données projet'!$E$15+1,1))</f>
        <v>288.82868507674738</v>
      </c>
      <c r="EP169" s="62">
        <f t="shared" si="154"/>
        <v>283.48738729114024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>
        <f>EXP(-LN(2)/35)*EV168+(1-EXP(-LN(2)/35))/(LN(2)/35)*ER169*ES169*VLOOKUP('Données projet'!$B$15,Paramètres!$A$1:$I$89,3,0)*0.475*44/12</f>
        <v>0.12268263317563705</v>
      </c>
      <c r="EW169" s="23">
        <f>EXP(-LN(2)/25)*EW168+(1-EXP(-LN(2)/25))/(LN(2)/25)*Calculateur!ER169*Calculateur!ET169*VLOOKUP('Données projet'!$B$15,Paramètres!$A$1:$I$89,3,0)*0.475*44/12</f>
        <v>0</v>
      </c>
      <c r="EX169" s="23">
        <f>EXP(-LN(2)/2)*EX168+(1-EXP(-LN(2)/2))/(LN(2)/2)*ER169*EU169*VLOOKUP('Données projet'!$B$15,Paramètres!$A$1:$I$89,3,0)*0.475*44/12</f>
        <v>0</v>
      </c>
      <c r="EY169" s="24">
        <f t="shared" si="181"/>
        <v>0.12268263317563705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3.4106051316484809E-13</v>
      </c>
      <c r="O170" s="14">
        <f>N170*VLOOKUP('Données projet'!$B$9,Paramètres!$A$1:$I$89,3,0)*VLOOKUP('Données projet'!$B$9,Paramètres!$A$1:$I$89,5,0)</f>
        <v>1.5961632016114892E-13</v>
      </c>
      <c r="P170" s="14">
        <f t="shared" si="141"/>
        <v>2.2708641912150958E-12</v>
      </c>
      <c r="Q170" s="22">
        <f t="shared" si="162"/>
        <v>4.2330868906469593E-12</v>
      </c>
      <c r="R170" s="62">
        <f t="shared" si="109"/>
        <v>293.33333333333752</v>
      </c>
      <c r="S170" s="62">
        <f ca="1">AVERAGE(OFFSET($R$3,0,0,'Données projet'!$E$9+1,1))-AVERAGE(OFFSET($H$3,0,0,'Données projet'!$E$9+1,1))</f>
        <v>317.54276561627643</v>
      </c>
      <c r="T170" s="62">
        <f t="shared" si="142"/>
        <v>238.92443174298893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-1.1368683772161603E-13</v>
      </c>
      <c r="AJ170" s="14">
        <f>AI170*VLOOKUP('Données projet'!$B$10,Paramètres!$A$1:$I$89,3,0)*VLOOKUP('Données projet'!$B$10,Paramètres!$A$1:$I$89,5,0)</f>
        <v>-9.9316821433603781E-14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327.826081588335</v>
      </c>
      <c r="AO170" s="62">
        <f t="shared" si="144"/>
        <v>348.84706693879735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0.4076359660023724</v>
      </c>
      <c r="AV170" s="23">
        <f>EXP(-LN(2)/25)*AV169+(1-EXP(-LN(2)/25))/(LN(2)/25)*Calculateur!AQ170*Calculateur!AS170*VLOOKUP('Données projet'!$B$10,Paramètres!$A$1:$I$89,3,0)*0.475*44/12</f>
        <v>0.30739275425377066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0.71502872025614306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>
        <f>BD170*VLOOKUP('Données projet'!$B$11,Paramètres!$A$1:$I$89,3,0)*VLOOKUP('Données projet'!$B$11,Paramètres!$A$1:$I$89,5,0)</f>
        <v>0</v>
      </c>
      <c r="BF170" s="14" t="e">
        <f t="shared" si="167"/>
        <v>#NUM!</v>
      </c>
      <c r="BG170" s="22" t="e">
        <f t="shared" si="168"/>
        <v>#NUM!</v>
      </c>
      <c r="BH170" s="62" t="e">
        <f t="shared" si="116"/>
        <v>#NUM!</v>
      </c>
      <c r="BI170" s="62">
        <f ca="1">AVERAGE(OFFSET($BH$3,0,0,'Données projet'!$E$11+1,1))-AVERAGE(OFFSET($H$3,0,0,'Données projet'!$E$11+1,1))</f>
        <v>487.04124684635974</v>
      </c>
      <c r="BJ170" s="62">
        <f t="shared" si="146"/>
        <v>306.61893266146666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0.17902930939293388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0.17902930939293388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>
        <f>BY170*VLOOKUP('Données projet'!$B$12,Paramètres!$A$1:$I$89,3,0)*VLOOKUP('Données projet'!$B$12,Paramètres!$A$1:$I$89,5,0)</f>
        <v>0</v>
      </c>
      <c r="CA170" s="14" t="e">
        <f t="shared" si="170"/>
        <v>#NUM!</v>
      </c>
      <c r="CB170" s="22" t="e">
        <f t="shared" si="171"/>
        <v>#NUM!</v>
      </c>
      <c r="CC170" s="62" t="e">
        <f t="shared" si="119"/>
        <v>#NUM!</v>
      </c>
      <c r="CD170" s="62">
        <f ca="1">AVERAGE(OFFSET($CC$3,0,0,'Données projet'!$E$12+1,1))-AVERAGE(OFFSET($H$3,0,0,'Données projet'!$E$12+1,1))</f>
        <v>439.06700232017681</v>
      </c>
      <c r="CE170" s="62">
        <f t="shared" si="148"/>
        <v>278.21741231699929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0.1597492299198485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0.1597492299198485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317.99999999999972</v>
      </c>
      <c r="CU170" s="18">
        <f>CT170*VLOOKUP('Données projet'!$B$13,Paramètres!$A$1:$I$89,3,0)*VLOOKUP('Données projet'!$B$13,Paramètres!$A$1:$I$89,5,0)</f>
        <v>233.1575999999998</v>
      </c>
      <c r="CV170" s="14">
        <f t="shared" si="173"/>
        <v>56.964885721091697</v>
      </c>
      <c r="CW170" s="22">
        <f t="shared" si="174"/>
        <v>505.29666263090093</v>
      </c>
      <c r="CX170" s="62">
        <f t="shared" si="122"/>
        <v>798.62999596423424</v>
      </c>
      <c r="CY170" s="62">
        <f ca="1">AVERAGE(OFFSET($CX$3,0,0,'Données projet'!$E$13+1,1))-AVERAGE(OFFSET($H$3,0,0,'Données projet'!$E$13+1,1))</f>
        <v>327.81662150328646</v>
      </c>
      <c r="CZ170" s="62">
        <f t="shared" si="150"/>
        <v>320.24200483294322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0.1327425268473604</v>
      </c>
      <c r="DG170" s="23">
        <f>EXP(-LN(2)/25)*DG169+(1-EXP(-LN(2)/25))/(LN(2)/25)*Calculateur!DB170*Calculateur!DD170*VLOOKUP('Données projet'!$B$13,Paramètres!$A$1:$I$89,3,0)*0.475*44/12</f>
        <v>0</v>
      </c>
      <c r="DH170" s="23">
        <f>EXP(-LN(2)/2)*DH169+(1-EXP(-LN(2)/2))/(LN(2)/2)*DB170*DE170*VLOOKUP('Données projet'!$B$13,Paramètres!$A$1:$I$89,3,0)*0.475*44/12</f>
        <v>0</v>
      </c>
      <c r="DI170" s="24">
        <f t="shared" si="175"/>
        <v>0.1327425268473604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5.6843418860808015E-14</v>
      </c>
      <c r="DP170" s="18">
        <f>DO170*VLOOKUP('Données projet'!$B$14,Paramètres!$A$1:$I$89,3,0)*VLOOKUP('Données projet'!$B$14,Paramètres!$A$1:$I$89,5,0)</f>
        <v>3.7243808037601412E-14</v>
      </c>
      <c r="DQ170" s="14">
        <f t="shared" si="176"/>
        <v>6.2767589361185393E-13</v>
      </c>
      <c r="DR170" s="22">
        <f t="shared" si="177"/>
        <v>1.1580684803728015E-12</v>
      </c>
      <c r="DS170" s="62">
        <f t="shared" si="125"/>
        <v>293.33333333333445</v>
      </c>
      <c r="DT170" s="62">
        <f ca="1">AVERAGE(OFFSET($DS$3,0,0,'Données projet'!$E$14+1,1))-AVERAGE(OFFSET($H$3,0,0,'Données projet'!$E$14+1,1))</f>
        <v>210.08998695869161</v>
      </c>
      <c r="DU170" s="62">
        <f t="shared" si="152"/>
        <v>207.30911916430881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>
        <f>EXP(-LN(2)/35)*EA169+(1-EXP(-LN(2)/35))/(LN(2)/35)*DW170*DX170*VLOOKUP('Données projet'!$B$14,Paramètres!$A$1:$I$89,3,0)*0.475*44/12</f>
        <v>3.0502538084074285E-2</v>
      </c>
      <c r="EB170" s="23">
        <f>EXP(-LN(2)/25)*EB169+(1-EXP(-LN(2)/25))/(LN(2)/25)*Calculateur!DW170*Calculateur!DY170*VLOOKUP('Données projet'!$B$14,Paramètres!$A$1:$I$89,3,0)*0.475*44/12</f>
        <v>0</v>
      </c>
      <c r="EC170" s="23">
        <f>EXP(-LN(2)/2)*EC169+(1-EXP(-LN(2)/2))/(LN(2)/2)*DW170*DZ170*VLOOKUP('Données projet'!$B$14,Paramètres!$A$1:$I$89,3,0)*0.475*44/12</f>
        <v>0</v>
      </c>
      <c r="ED170" s="24">
        <f t="shared" si="178"/>
        <v>3.0502538084074285E-2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5.6843418860808015E-14</v>
      </c>
      <c r="EK170" s="18">
        <f>EJ170*VLOOKUP('Données projet'!$B$15,Paramètres!$A$1:$I$89,3,0)*VLOOKUP('Données projet'!$B$15,Paramètres!$A$1:$I$89,5,0)</f>
        <v>4.4337866711430253E-14</v>
      </c>
      <c r="EL170" s="14">
        <f t="shared" si="179"/>
        <v>7.3222115536967035E-13</v>
      </c>
      <c r="EM170" s="22">
        <f t="shared" si="180"/>
        <v>1.3525069634579169E-12</v>
      </c>
      <c r="EN170" s="62">
        <f t="shared" si="128"/>
        <v>293.33333333333468</v>
      </c>
      <c r="EO170" s="62">
        <f ca="1">AVERAGE(OFFSET($EN$3,0,0,'Données projet'!$E$15+1,1))-AVERAGE(OFFSET($H$3,0,0,'Données projet'!$E$15+1,1))</f>
        <v>288.82868507674738</v>
      </c>
      <c r="EP170" s="62">
        <f t="shared" si="154"/>
        <v>283.48738729114024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>
        <f>EXP(-LN(2)/35)*EV169+(1-EXP(-LN(2)/35))/(LN(2)/35)*ER170*ES170*VLOOKUP('Données projet'!$B$15,Paramètres!$A$1:$I$89,3,0)*0.475*44/12</f>
        <v>0.12027690156808028</v>
      </c>
      <c r="EW170" s="23">
        <f>EXP(-LN(2)/25)*EW169+(1-EXP(-LN(2)/25))/(LN(2)/25)*Calculateur!ER170*Calculateur!ET170*VLOOKUP('Données projet'!$B$15,Paramètres!$A$1:$I$89,3,0)*0.475*44/12</f>
        <v>0</v>
      </c>
      <c r="EX170" s="23">
        <f>EXP(-LN(2)/2)*EX169+(1-EXP(-LN(2)/2))/(LN(2)/2)*ER170*EU170*VLOOKUP('Données projet'!$B$15,Paramètres!$A$1:$I$89,3,0)*0.475*44/12</f>
        <v>0</v>
      </c>
      <c r="EY170" s="24">
        <f t="shared" si="181"/>
        <v>0.12027690156808028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3.4106051316484809E-13</v>
      </c>
      <c r="O171" s="14">
        <f>N171*VLOOKUP('Données projet'!$B$9,Paramètres!$A$1:$I$89,3,0)*VLOOKUP('Données projet'!$B$9,Paramètres!$A$1:$I$89,5,0)</f>
        <v>1.5961632016114892E-13</v>
      </c>
      <c r="P171" s="14">
        <f t="shared" si="141"/>
        <v>2.2708641912150958E-12</v>
      </c>
      <c r="Q171" s="22">
        <f t="shared" si="162"/>
        <v>4.2330868906469593E-12</v>
      </c>
      <c r="R171" s="62">
        <f t="shared" si="109"/>
        <v>293.33333333333752</v>
      </c>
      <c r="S171" s="62">
        <f ca="1">AVERAGE(OFFSET($R$3,0,0,'Données projet'!$E$9+1,1))-AVERAGE(OFFSET($H$3,0,0,'Données projet'!$E$9+1,1))</f>
        <v>317.54276561627643</v>
      </c>
      <c r="T171" s="62">
        <f t="shared" si="142"/>
        <v>238.92443174298893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-1.1368683772161603E-13</v>
      </c>
      <c r="AJ171" s="14">
        <f>AI171*VLOOKUP('Données projet'!$B$10,Paramètres!$A$1:$I$89,3,0)*VLOOKUP('Données projet'!$B$10,Paramètres!$A$1:$I$89,5,0)</f>
        <v>-9.9316821433603781E-14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327.826081588335</v>
      </c>
      <c r="AO171" s="62">
        <f t="shared" si="144"/>
        <v>348.84706693879735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0.39964247334245462</v>
      </c>
      <c r="AV171" s="23">
        <f>EXP(-LN(2)/25)*AV170+(1-EXP(-LN(2)/25))/(LN(2)/25)*Calculateur!AQ171*Calculateur!AS171*VLOOKUP('Données projet'!$B$10,Paramètres!$A$1:$I$89,3,0)*0.475*44/12</f>
        <v>0.29898708322361889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0.69862955656607351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>
        <f>BD171*VLOOKUP('Données projet'!$B$11,Paramètres!$A$1:$I$89,3,0)*VLOOKUP('Données projet'!$B$11,Paramètres!$A$1:$I$89,5,0)</f>
        <v>0</v>
      </c>
      <c r="BF171" s="14" t="e">
        <f t="shared" si="167"/>
        <v>#NUM!</v>
      </c>
      <c r="BG171" s="22" t="e">
        <f t="shared" si="168"/>
        <v>#NUM!</v>
      </c>
      <c r="BH171" s="62" t="e">
        <f t="shared" si="116"/>
        <v>#NUM!</v>
      </c>
      <c r="BI171" s="62">
        <f ca="1">AVERAGE(OFFSET($BH$3,0,0,'Données projet'!$E$11+1,1))-AVERAGE(OFFSET($H$3,0,0,'Données projet'!$E$11+1,1))</f>
        <v>487.04124684635974</v>
      </c>
      <c r="BJ171" s="62">
        <f t="shared" si="146"/>
        <v>306.61893266146666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0.17551865383283485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0.17551865383283485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>
        <f>BY171*VLOOKUP('Données projet'!$B$12,Paramètres!$A$1:$I$89,3,0)*VLOOKUP('Données projet'!$B$12,Paramètres!$A$1:$I$89,5,0)</f>
        <v>0</v>
      </c>
      <c r="CA171" s="14" t="e">
        <f t="shared" si="170"/>
        <v>#NUM!</v>
      </c>
      <c r="CB171" s="22" t="e">
        <f t="shared" si="171"/>
        <v>#NUM!</v>
      </c>
      <c r="CC171" s="62" t="e">
        <f t="shared" si="119"/>
        <v>#NUM!</v>
      </c>
      <c r="CD171" s="62">
        <f ca="1">AVERAGE(OFFSET($CC$3,0,0,'Données projet'!$E$12+1,1))-AVERAGE(OFFSET($H$3,0,0,'Données projet'!$E$12+1,1))</f>
        <v>439.06700232017681</v>
      </c>
      <c r="CE171" s="62">
        <f t="shared" si="148"/>
        <v>278.21741231699929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0.15661664495852937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0.15661664495852937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317.99999999999972</v>
      </c>
      <c r="CU171" s="18">
        <f>CT171*VLOOKUP('Données projet'!$B$13,Paramètres!$A$1:$I$89,3,0)*VLOOKUP('Données projet'!$B$13,Paramètres!$A$1:$I$89,5,0)</f>
        <v>233.1575999999998</v>
      </c>
      <c r="CV171" s="14">
        <f t="shared" si="173"/>
        <v>56.964885721091697</v>
      </c>
      <c r="CW171" s="22">
        <f t="shared" si="174"/>
        <v>505.29666263090093</v>
      </c>
      <c r="CX171" s="62">
        <f t="shared" si="122"/>
        <v>798.62999596423424</v>
      </c>
      <c r="CY171" s="62">
        <f ca="1">AVERAGE(OFFSET($CX$3,0,0,'Données projet'!$E$13+1,1))-AVERAGE(OFFSET($H$3,0,0,'Données projet'!$E$13+1,1))</f>
        <v>327.81662150328646</v>
      </c>
      <c r="CZ171" s="62">
        <f t="shared" si="150"/>
        <v>320.24200483294322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0.13013952686083041</v>
      </c>
      <c r="DG171" s="23">
        <f>EXP(-LN(2)/25)*DG170+(1-EXP(-LN(2)/25))/(LN(2)/25)*Calculateur!DB171*Calculateur!DD171*VLOOKUP('Données projet'!$B$13,Paramètres!$A$1:$I$89,3,0)*0.475*44/12</f>
        <v>0</v>
      </c>
      <c r="DH171" s="23">
        <f>EXP(-LN(2)/2)*DH170+(1-EXP(-LN(2)/2))/(LN(2)/2)*DB171*DE171*VLOOKUP('Données projet'!$B$13,Paramètres!$A$1:$I$89,3,0)*0.475*44/12</f>
        <v>0</v>
      </c>
      <c r="DI171" s="24">
        <f t="shared" si="175"/>
        <v>0.13013952686083041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5.6843418860808015E-14</v>
      </c>
      <c r="DP171" s="18">
        <f>DO171*VLOOKUP('Données projet'!$B$14,Paramètres!$A$1:$I$89,3,0)*VLOOKUP('Données projet'!$B$14,Paramètres!$A$1:$I$89,5,0)</f>
        <v>3.7243808037601412E-14</v>
      </c>
      <c r="DQ171" s="14">
        <f t="shared" si="176"/>
        <v>6.2767589361185393E-13</v>
      </c>
      <c r="DR171" s="22">
        <f t="shared" si="177"/>
        <v>1.1580684803728015E-12</v>
      </c>
      <c r="DS171" s="62">
        <f t="shared" si="125"/>
        <v>293.33333333333445</v>
      </c>
      <c r="DT171" s="62">
        <f ca="1">AVERAGE(OFFSET($DS$3,0,0,'Données projet'!$E$14+1,1))-AVERAGE(OFFSET($H$3,0,0,'Données projet'!$E$14+1,1))</f>
        <v>210.08998695869161</v>
      </c>
      <c r="DU171" s="62">
        <f t="shared" si="152"/>
        <v>207.30911916430881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>
        <f>EXP(-LN(2)/35)*EA170+(1-EXP(-LN(2)/35))/(LN(2)/35)*DW171*DX171*VLOOKUP('Données projet'!$B$14,Paramètres!$A$1:$I$89,3,0)*0.475*44/12</f>
        <v>2.9904401916956758E-2</v>
      </c>
      <c r="EB171" s="23">
        <f>EXP(-LN(2)/25)*EB170+(1-EXP(-LN(2)/25))/(LN(2)/25)*Calculateur!DW171*Calculateur!DY171*VLOOKUP('Données projet'!$B$14,Paramètres!$A$1:$I$89,3,0)*0.475*44/12</f>
        <v>0</v>
      </c>
      <c r="EC171" s="23">
        <f>EXP(-LN(2)/2)*EC170+(1-EXP(-LN(2)/2))/(LN(2)/2)*DW171*DZ171*VLOOKUP('Données projet'!$B$14,Paramètres!$A$1:$I$89,3,0)*0.475*44/12</f>
        <v>0</v>
      </c>
      <c r="ED171" s="24">
        <f t="shared" si="178"/>
        <v>2.9904401916956758E-2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5.6843418860808015E-14</v>
      </c>
      <c r="EK171" s="18">
        <f>EJ171*VLOOKUP('Données projet'!$B$15,Paramètres!$A$1:$I$89,3,0)*VLOOKUP('Données projet'!$B$15,Paramètres!$A$1:$I$89,5,0)</f>
        <v>4.4337866711430253E-14</v>
      </c>
      <c r="EL171" s="14">
        <f t="shared" si="179"/>
        <v>7.3222115536967035E-13</v>
      </c>
      <c r="EM171" s="22">
        <f t="shared" si="180"/>
        <v>1.3525069634579169E-12</v>
      </c>
      <c r="EN171" s="62">
        <f t="shared" si="128"/>
        <v>293.33333333333468</v>
      </c>
      <c r="EO171" s="62">
        <f ca="1">AVERAGE(OFFSET($EN$3,0,0,'Données projet'!$E$15+1,1))-AVERAGE(OFFSET($H$3,0,0,'Données projet'!$E$15+1,1))</f>
        <v>288.82868507674738</v>
      </c>
      <c r="EP171" s="62">
        <f t="shared" si="154"/>
        <v>283.48738729114024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>
        <f>EXP(-LN(2)/35)*EV170+(1-EXP(-LN(2)/35))/(LN(2)/35)*ER171*ES171*VLOOKUP('Données projet'!$B$15,Paramètres!$A$1:$I$89,3,0)*0.475*44/12</f>
        <v>0.11791834488999632</v>
      </c>
      <c r="EW171" s="23">
        <f>EXP(-LN(2)/25)*EW170+(1-EXP(-LN(2)/25))/(LN(2)/25)*Calculateur!ER171*Calculateur!ET171*VLOOKUP('Données projet'!$B$15,Paramètres!$A$1:$I$89,3,0)*0.475*44/12</f>
        <v>0</v>
      </c>
      <c r="EX171" s="23">
        <f>EXP(-LN(2)/2)*EX170+(1-EXP(-LN(2)/2))/(LN(2)/2)*ER171*EU171*VLOOKUP('Données projet'!$B$15,Paramètres!$A$1:$I$89,3,0)*0.475*44/12</f>
        <v>0</v>
      </c>
      <c r="EY171" s="24">
        <f t="shared" si="181"/>
        <v>0.11791834488999632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3.4106051316484809E-13</v>
      </c>
      <c r="O172" s="14">
        <f>N172*VLOOKUP('Données projet'!$B$9,Paramètres!$A$1:$I$89,3,0)*VLOOKUP('Données projet'!$B$9,Paramètres!$A$1:$I$89,5,0)</f>
        <v>1.5961632016114892E-13</v>
      </c>
      <c r="P172" s="14">
        <f t="shared" si="141"/>
        <v>2.2708641912150958E-12</v>
      </c>
      <c r="Q172" s="22">
        <f t="shared" si="162"/>
        <v>4.2330868906469593E-12</v>
      </c>
      <c r="R172" s="62">
        <f t="shared" si="109"/>
        <v>293.33333333333752</v>
      </c>
      <c r="S172" s="62">
        <f ca="1">AVERAGE(OFFSET($R$3,0,0,'Données projet'!$E$9+1,1))-AVERAGE(OFFSET($H$3,0,0,'Données projet'!$E$9+1,1))</f>
        <v>317.54276561627643</v>
      </c>
      <c r="T172" s="62">
        <f t="shared" si="142"/>
        <v>238.92443174298893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-1.1368683772161603E-13</v>
      </c>
      <c r="AJ172" s="14">
        <f>AI172*VLOOKUP('Données projet'!$B$10,Paramètres!$A$1:$I$89,3,0)*VLOOKUP('Données projet'!$B$10,Paramètres!$A$1:$I$89,5,0)</f>
        <v>-9.9316821433603781E-14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327.826081588335</v>
      </c>
      <c r="AO172" s="62">
        <f t="shared" si="144"/>
        <v>348.84706693879735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0.39180572819804871</v>
      </c>
      <c r="AV172" s="23">
        <f>EXP(-LN(2)/25)*AV171+(1-EXP(-LN(2)/25))/(LN(2)/25)*Calculateur!AQ172*Calculateur!AS172*VLOOKUP('Données projet'!$B$10,Paramètres!$A$1:$I$89,3,0)*0.475*44/12</f>
        <v>0.29081126570982169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0.68261699390787034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>
        <f>BD172*VLOOKUP('Données projet'!$B$11,Paramètres!$A$1:$I$89,3,0)*VLOOKUP('Données projet'!$B$11,Paramètres!$A$1:$I$89,5,0)</f>
        <v>0</v>
      </c>
      <c r="BF172" s="14" t="e">
        <f t="shared" si="167"/>
        <v>#NUM!</v>
      </c>
      <c r="BG172" s="22" t="e">
        <f t="shared" si="168"/>
        <v>#NUM!</v>
      </c>
      <c r="BH172" s="62" t="e">
        <f t="shared" si="116"/>
        <v>#NUM!</v>
      </c>
      <c r="BI172" s="62">
        <f ca="1">AVERAGE(OFFSET($BH$3,0,0,'Données projet'!$E$11+1,1))-AVERAGE(OFFSET($H$3,0,0,'Données projet'!$E$11+1,1))</f>
        <v>487.04124684635974</v>
      </c>
      <c r="BJ172" s="62">
        <f t="shared" si="146"/>
        <v>306.61893266146666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0.1720768400869809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0.1720768400869809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>
        <f>BY172*VLOOKUP('Données projet'!$B$12,Paramètres!$A$1:$I$89,3,0)*VLOOKUP('Données projet'!$B$12,Paramètres!$A$1:$I$89,5,0)</f>
        <v>0</v>
      </c>
      <c r="CA172" s="14" t="e">
        <f t="shared" si="170"/>
        <v>#NUM!</v>
      </c>
      <c r="CB172" s="22" t="e">
        <f t="shared" si="171"/>
        <v>#NUM!</v>
      </c>
      <c r="CC172" s="62" t="e">
        <f t="shared" si="119"/>
        <v>#NUM!</v>
      </c>
      <c r="CD172" s="62">
        <f ca="1">AVERAGE(OFFSET($CC$3,0,0,'Données projet'!$E$12+1,1))-AVERAGE(OFFSET($H$3,0,0,'Données projet'!$E$12+1,1))</f>
        <v>439.06700232017681</v>
      </c>
      <c r="CE172" s="62">
        <f t="shared" si="148"/>
        <v>278.21741231699929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0.15354548807761356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0.15354548807761356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317.99999999999972</v>
      </c>
      <c r="CU172" s="18">
        <f>CT172*VLOOKUP('Données projet'!$B$13,Paramètres!$A$1:$I$89,3,0)*VLOOKUP('Données projet'!$B$13,Paramètres!$A$1:$I$89,5,0)</f>
        <v>233.1575999999998</v>
      </c>
      <c r="CV172" s="14">
        <f t="shared" si="173"/>
        <v>56.964885721091697</v>
      </c>
      <c r="CW172" s="22">
        <f t="shared" si="174"/>
        <v>505.29666263090093</v>
      </c>
      <c r="CX172" s="62">
        <f t="shared" si="122"/>
        <v>798.62999596423424</v>
      </c>
      <c r="CY172" s="62">
        <f ca="1">AVERAGE(OFFSET($CX$3,0,0,'Données projet'!$E$13+1,1))-AVERAGE(OFFSET($H$3,0,0,'Données projet'!$E$13+1,1))</f>
        <v>327.81662150328646</v>
      </c>
      <c r="CZ172" s="62">
        <f t="shared" si="150"/>
        <v>320.24200483294322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0.12758757011636307</v>
      </c>
      <c r="DG172" s="23">
        <f>EXP(-LN(2)/25)*DG171+(1-EXP(-LN(2)/25))/(LN(2)/25)*Calculateur!DB172*Calculateur!DD172*VLOOKUP('Données projet'!$B$13,Paramètres!$A$1:$I$89,3,0)*0.475*44/12</f>
        <v>0</v>
      </c>
      <c r="DH172" s="23">
        <f>EXP(-LN(2)/2)*DH171+(1-EXP(-LN(2)/2))/(LN(2)/2)*DB172*DE172*VLOOKUP('Données projet'!$B$13,Paramètres!$A$1:$I$89,3,0)*0.475*44/12</f>
        <v>0</v>
      </c>
      <c r="DI172" s="24">
        <f t="shared" si="175"/>
        <v>0.12758757011636307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5.6843418860808015E-14</v>
      </c>
      <c r="DP172" s="18">
        <f>DO172*VLOOKUP('Données projet'!$B$14,Paramètres!$A$1:$I$89,3,0)*VLOOKUP('Données projet'!$B$14,Paramètres!$A$1:$I$89,5,0)</f>
        <v>3.7243808037601412E-14</v>
      </c>
      <c r="DQ172" s="14">
        <f t="shared" si="176"/>
        <v>6.2767589361185393E-13</v>
      </c>
      <c r="DR172" s="22">
        <f t="shared" si="177"/>
        <v>1.1580684803728015E-12</v>
      </c>
      <c r="DS172" s="62">
        <f t="shared" si="125"/>
        <v>293.33333333333445</v>
      </c>
      <c r="DT172" s="62">
        <f ca="1">AVERAGE(OFFSET($DS$3,0,0,'Données projet'!$E$14+1,1))-AVERAGE(OFFSET($H$3,0,0,'Données projet'!$E$14+1,1))</f>
        <v>210.08998695869161</v>
      </c>
      <c r="DU172" s="62">
        <f t="shared" si="152"/>
        <v>207.30911916430881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>
        <f>EXP(-LN(2)/35)*EA171+(1-EXP(-LN(2)/35))/(LN(2)/35)*DW172*DX172*VLOOKUP('Données projet'!$B$14,Paramètres!$A$1:$I$89,3,0)*0.475*44/12</f>
        <v>2.9317994835249366E-2</v>
      </c>
      <c r="EB172" s="23">
        <f>EXP(-LN(2)/25)*EB171+(1-EXP(-LN(2)/25))/(LN(2)/25)*Calculateur!DW172*Calculateur!DY172*VLOOKUP('Données projet'!$B$14,Paramètres!$A$1:$I$89,3,0)*0.475*44/12</f>
        <v>0</v>
      </c>
      <c r="EC172" s="23">
        <f>EXP(-LN(2)/2)*EC171+(1-EXP(-LN(2)/2))/(LN(2)/2)*DW172*DZ172*VLOOKUP('Données projet'!$B$14,Paramètres!$A$1:$I$89,3,0)*0.475*44/12</f>
        <v>0</v>
      </c>
      <c r="ED172" s="24">
        <f t="shared" si="178"/>
        <v>2.9317994835249366E-2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5.6843418860808015E-14</v>
      </c>
      <c r="EK172" s="18">
        <f>EJ172*VLOOKUP('Données projet'!$B$15,Paramètres!$A$1:$I$89,3,0)*VLOOKUP('Données projet'!$B$15,Paramètres!$A$1:$I$89,5,0)</f>
        <v>4.4337866711430253E-14</v>
      </c>
      <c r="EL172" s="14">
        <f t="shared" si="179"/>
        <v>7.3222115536967035E-13</v>
      </c>
      <c r="EM172" s="22">
        <f t="shared" si="180"/>
        <v>1.3525069634579169E-12</v>
      </c>
      <c r="EN172" s="62">
        <f t="shared" si="128"/>
        <v>293.33333333333468</v>
      </c>
      <c r="EO172" s="62">
        <f ca="1">AVERAGE(OFFSET($EN$3,0,0,'Données projet'!$E$15+1,1))-AVERAGE(OFFSET($H$3,0,0,'Données projet'!$E$15+1,1))</f>
        <v>288.82868507674738</v>
      </c>
      <c r="EP172" s="62">
        <f t="shared" si="154"/>
        <v>283.48738729114024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>
        <f>EXP(-LN(2)/35)*EV171+(1-EXP(-LN(2)/35))/(LN(2)/35)*ER172*ES172*VLOOKUP('Données projet'!$B$15,Paramètres!$A$1:$I$89,3,0)*0.475*44/12</f>
        <v>0.11560603806979206</v>
      </c>
      <c r="EW172" s="23">
        <f>EXP(-LN(2)/25)*EW171+(1-EXP(-LN(2)/25))/(LN(2)/25)*Calculateur!ER172*Calculateur!ET172*VLOOKUP('Données projet'!$B$15,Paramètres!$A$1:$I$89,3,0)*0.475*44/12</f>
        <v>0</v>
      </c>
      <c r="EX172" s="23">
        <f>EXP(-LN(2)/2)*EX171+(1-EXP(-LN(2)/2))/(LN(2)/2)*ER172*EU172*VLOOKUP('Données projet'!$B$15,Paramètres!$A$1:$I$89,3,0)*0.475*44/12</f>
        <v>0</v>
      </c>
      <c r="EY172" s="24">
        <f t="shared" si="181"/>
        <v>0.11560603806979206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3.4106051316484809E-13</v>
      </c>
      <c r="O173" s="14">
        <f>N173*VLOOKUP('Données projet'!$B$9,Paramètres!$A$1:$I$89,3,0)*VLOOKUP('Données projet'!$B$9,Paramètres!$A$1:$I$89,5,0)</f>
        <v>1.5961632016114892E-13</v>
      </c>
      <c r="P173" s="14">
        <f t="shared" si="141"/>
        <v>2.2708641912150958E-12</v>
      </c>
      <c r="Q173" s="22">
        <f t="shared" si="162"/>
        <v>4.2330868906469593E-12</v>
      </c>
      <c r="R173" s="62">
        <f t="shared" si="109"/>
        <v>293.33333333333752</v>
      </c>
      <c r="S173" s="62">
        <f ca="1">AVERAGE(OFFSET($R$3,0,0,'Données projet'!$E$9+1,1))-AVERAGE(OFFSET($H$3,0,0,'Données projet'!$E$9+1,1))</f>
        <v>317.54276561627643</v>
      </c>
      <c r="T173" s="62">
        <f t="shared" si="142"/>
        <v>238.92443174298893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-1.1368683772161603E-13</v>
      </c>
      <c r="AJ173" s="14">
        <f>AI173*VLOOKUP('Données projet'!$B$10,Paramètres!$A$1:$I$89,3,0)*VLOOKUP('Données projet'!$B$10,Paramètres!$A$1:$I$89,5,0)</f>
        <v>-9.9316821433603781E-14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327.826081588335</v>
      </c>
      <c r="AO173" s="62">
        <f t="shared" si="144"/>
        <v>348.84706693879735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0.38412265684598207</v>
      </c>
      <c r="AV173" s="23">
        <f>EXP(-LN(2)/25)*AV172+(1-EXP(-LN(2)/25))/(LN(2)/25)*Calculateur!AQ173*Calculateur!AS173*VLOOKUP('Données projet'!$B$10,Paramètres!$A$1:$I$89,3,0)*0.475*44/12</f>
        <v>0.28285901635588678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0.66698167320186885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>
        <f>BD173*VLOOKUP('Données projet'!$B$11,Paramètres!$A$1:$I$89,3,0)*VLOOKUP('Données projet'!$B$11,Paramètres!$A$1:$I$89,5,0)</f>
        <v>0</v>
      </c>
      <c r="BF173" s="14" t="e">
        <f t="shared" si="167"/>
        <v>#NUM!</v>
      </c>
      <c r="BG173" s="22" t="e">
        <f t="shared" si="168"/>
        <v>#NUM!</v>
      </c>
      <c r="BH173" s="62" t="e">
        <f t="shared" si="116"/>
        <v>#NUM!</v>
      </c>
      <c r="BI173" s="62">
        <f ca="1">AVERAGE(OFFSET($BH$3,0,0,'Données projet'!$E$11+1,1))-AVERAGE(OFFSET($H$3,0,0,'Données projet'!$E$11+1,1))</f>
        <v>487.04124684635974</v>
      </c>
      <c r="BJ173" s="62">
        <f t="shared" si="146"/>
        <v>306.61893266146666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0.16870251820938406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0.16870251820938406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>
        <f>BY173*VLOOKUP('Données projet'!$B$12,Paramètres!$A$1:$I$89,3,0)*VLOOKUP('Données projet'!$B$12,Paramètres!$A$1:$I$89,5,0)</f>
        <v>0</v>
      </c>
      <c r="CA173" s="14" t="e">
        <f t="shared" si="170"/>
        <v>#NUM!</v>
      </c>
      <c r="CB173" s="22" t="e">
        <f t="shared" si="171"/>
        <v>#NUM!</v>
      </c>
      <c r="CC173" s="62" t="e">
        <f t="shared" si="119"/>
        <v>#NUM!</v>
      </c>
      <c r="CD173" s="62">
        <f ca="1">AVERAGE(OFFSET($CC$3,0,0,'Données projet'!$E$12+1,1))-AVERAGE(OFFSET($H$3,0,0,'Données projet'!$E$12+1,1))</f>
        <v>439.06700232017681</v>
      </c>
      <c r="CE173" s="62">
        <f t="shared" si="148"/>
        <v>278.21741231699929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0.15053455470991178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0.15053455470991178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317.99999999999972</v>
      </c>
      <c r="CU173" s="18">
        <f>CT173*VLOOKUP('Données projet'!$B$13,Paramètres!$A$1:$I$89,3,0)*VLOOKUP('Données projet'!$B$13,Paramètres!$A$1:$I$89,5,0)</f>
        <v>233.1575999999998</v>
      </c>
      <c r="CV173" s="14">
        <f t="shared" si="173"/>
        <v>56.964885721091697</v>
      </c>
      <c r="CW173" s="22">
        <f t="shared" si="174"/>
        <v>505.29666263090093</v>
      </c>
      <c r="CX173" s="62">
        <f t="shared" si="122"/>
        <v>798.62999596423424</v>
      </c>
      <c r="CY173" s="62">
        <f ca="1">AVERAGE(OFFSET($CX$3,0,0,'Données projet'!$E$13+1,1))-AVERAGE(OFFSET($H$3,0,0,'Données projet'!$E$13+1,1))</f>
        <v>327.81662150328646</v>
      </c>
      <c r="CZ173" s="62">
        <f t="shared" si="150"/>
        <v>320.24200483294322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0.1250856556871148</v>
      </c>
      <c r="DG173" s="23">
        <f>EXP(-LN(2)/25)*DG172+(1-EXP(-LN(2)/25))/(LN(2)/25)*Calculateur!DB173*Calculateur!DD173*VLOOKUP('Données projet'!$B$13,Paramètres!$A$1:$I$89,3,0)*0.475*44/12</f>
        <v>0</v>
      </c>
      <c r="DH173" s="23">
        <f>EXP(-LN(2)/2)*DH172+(1-EXP(-LN(2)/2))/(LN(2)/2)*DB173*DE173*VLOOKUP('Données projet'!$B$13,Paramètres!$A$1:$I$89,3,0)*0.475*44/12</f>
        <v>0</v>
      </c>
      <c r="DI173" s="24">
        <f t="shared" si="175"/>
        <v>0.1250856556871148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5.6843418860808015E-14</v>
      </c>
      <c r="DP173" s="18">
        <f>DO173*VLOOKUP('Données projet'!$B$14,Paramètres!$A$1:$I$89,3,0)*VLOOKUP('Données projet'!$B$14,Paramètres!$A$1:$I$89,5,0)</f>
        <v>3.7243808037601412E-14</v>
      </c>
      <c r="DQ173" s="14">
        <f t="shared" si="176"/>
        <v>6.2767589361185393E-13</v>
      </c>
      <c r="DR173" s="22">
        <f t="shared" si="177"/>
        <v>1.1580684803728015E-12</v>
      </c>
      <c r="DS173" s="62">
        <f t="shared" si="125"/>
        <v>293.33333333333445</v>
      </c>
      <c r="DT173" s="62">
        <f ca="1">AVERAGE(OFFSET($DS$3,0,0,'Données projet'!$E$14+1,1))-AVERAGE(OFFSET($H$3,0,0,'Données projet'!$E$14+1,1))</f>
        <v>210.08998695869161</v>
      </c>
      <c r="DU173" s="62">
        <f t="shared" si="152"/>
        <v>207.30911916430881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>
        <f>EXP(-LN(2)/35)*EA172+(1-EXP(-LN(2)/35))/(LN(2)/35)*DW173*DX173*VLOOKUP('Données projet'!$B$14,Paramètres!$A$1:$I$89,3,0)*0.475*44/12</f>
        <v>2.8743086838741255E-2</v>
      </c>
      <c r="EB173" s="23">
        <f>EXP(-LN(2)/25)*EB172+(1-EXP(-LN(2)/25))/(LN(2)/25)*Calculateur!DW173*Calculateur!DY173*VLOOKUP('Données projet'!$B$14,Paramètres!$A$1:$I$89,3,0)*0.475*44/12</f>
        <v>0</v>
      </c>
      <c r="EC173" s="23">
        <f>EXP(-LN(2)/2)*EC172+(1-EXP(-LN(2)/2))/(LN(2)/2)*DW173*DZ173*VLOOKUP('Données projet'!$B$14,Paramètres!$A$1:$I$89,3,0)*0.475*44/12</f>
        <v>0</v>
      </c>
      <c r="ED173" s="24">
        <f t="shared" si="178"/>
        <v>2.8743086838741255E-2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5.6843418860808015E-14</v>
      </c>
      <c r="EK173" s="18">
        <f>EJ173*VLOOKUP('Données projet'!$B$15,Paramètres!$A$1:$I$89,3,0)*VLOOKUP('Données projet'!$B$15,Paramètres!$A$1:$I$89,5,0)</f>
        <v>4.4337866711430253E-14</v>
      </c>
      <c r="EL173" s="14">
        <f t="shared" si="179"/>
        <v>7.3222115536967035E-13</v>
      </c>
      <c r="EM173" s="22">
        <f t="shared" si="180"/>
        <v>1.3525069634579169E-12</v>
      </c>
      <c r="EN173" s="62">
        <f t="shared" si="128"/>
        <v>293.33333333333468</v>
      </c>
      <c r="EO173" s="62">
        <f ca="1">AVERAGE(OFFSET($EN$3,0,0,'Données projet'!$E$15+1,1))-AVERAGE(OFFSET($H$3,0,0,'Données projet'!$E$15+1,1))</f>
        <v>288.82868507674738</v>
      </c>
      <c r="EP173" s="62">
        <f t="shared" si="154"/>
        <v>283.48738729114024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>
        <f>EXP(-LN(2)/35)*EV172+(1-EXP(-LN(2)/35))/(LN(2)/35)*ER173*ES173*VLOOKUP('Données projet'!$B$15,Paramètres!$A$1:$I$89,3,0)*0.475*44/12</f>
        <v>0.1133390741759641</v>
      </c>
      <c r="EW173" s="23">
        <f>EXP(-LN(2)/25)*EW172+(1-EXP(-LN(2)/25))/(LN(2)/25)*Calculateur!ER173*Calculateur!ET173*VLOOKUP('Données projet'!$B$15,Paramètres!$A$1:$I$89,3,0)*0.475*44/12</f>
        <v>0</v>
      </c>
      <c r="EX173" s="23">
        <f>EXP(-LN(2)/2)*EX172+(1-EXP(-LN(2)/2))/(LN(2)/2)*ER173*EU173*VLOOKUP('Données projet'!$B$15,Paramètres!$A$1:$I$89,3,0)*0.475*44/12</f>
        <v>0</v>
      </c>
      <c r="EY173" s="24">
        <f t="shared" si="181"/>
        <v>0.1133390741759641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3.4106051316484809E-13</v>
      </c>
      <c r="O174" s="14">
        <f>N174*VLOOKUP('Données projet'!$B$9,Paramètres!$A$1:$I$89,3,0)*VLOOKUP('Données projet'!$B$9,Paramètres!$A$1:$I$89,5,0)</f>
        <v>1.5961632016114892E-13</v>
      </c>
      <c r="P174" s="14">
        <f t="shared" si="141"/>
        <v>2.2708641912150958E-12</v>
      </c>
      <c r="Q174" s="22">
        <f t="shared" si="162"/>
        <v>4.2330868906469593E-12</v>
      </c>
      <c r="R174" s="62">
        <f t="shared" si="109"/>
        <v>293.33333333333752</v>
      </c>
      <c r="S174" s="62">
        <f ca="1">AVERAGE(OFFSET($R$3,0,0,'Données projet'!$E$9+1,1))-AVERAGE(OFFSET($H$3,0,0,'Données projet'!$E$9+1,1))</f>
        <v>317.54276561627643</v>
      </c>
      <c r="T174" s="62">
        <f t="shared" si="142"/>
        <v>238.92443174298893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-1.1368683772161603E-13</v>
      </c>
      <c r="AJ174" s="14">
        <f>AI174*VLOOKUP('Données projet'!$B$10,Paramètres!$A$1:$I$89,3,0)*VLOOKUP('Données projet'!$B$10,Paramètres!$A$1:$I$89,5,0)</f>
        <v>-9.9316821433603781E-14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327.826081588335</v>
      </c>
      <c r="AO174" s="62">
        <f t="shared" si="144"/>
        <v>348.84706693879735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0.37659024583691864</v>
      </c>
      <c r="AV174" s="23">
        <f>EXP(-LN(2)/25)*AV173+(1-EXP(-LN(2)/25))/(LN(2)/25)*Calculateur!AQ174*Calculateur!AS174*VLOOKUP('Données projet'!$B$10,Paramètres!$A$1:$I$89,3,0)*0.475*44/12</f>
        <v>0.27512422167872586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0.65171446751564455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>
        <f>BD174*VLOOKUP('Données projet'!$B$11,Paramètres!$A$1:$I$89,3,0)*VLOOKUP('Données projet'!$B$11,Paramètres!$A$1:$I$89,5,0)</f>
        <v>0</v>
      </c>
      <c r="BF174" s="14" t="e">
        <f t="shared" si="167"/>
        <v>#NUM!</v>
      </c>
      <c r="BG174" s="22" t="e">
        <f t="shared" si="168"/>
        <v>#NUM!</v>
      </c>
      <c r="BH174" s="62" t="e">
        <f t="shared" si="116"/>
        <v>#NUM!</v>
      </c>
      <c r="BI174" s="62">
        <f ca="1">AVERAGE(OFFSET($BH$3,0,0,'Données projet'!$E$11+1,1))-AVERAGE(OFFSET($H$3,0,0,'Données projet'!$E$11+1,1))</f>
        <v>487.04124684635974</v>
      </c>
      <c r="BJ174" s="62">
        <f t="shared" si="146"/>
        <v>306.61893266146666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0.16539436472567379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0.16539436472567379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>
        <f>BY174*VLOOKUP('Données projet'!$B$12,Paramètres!$A$1:$I$89,3,0)*VLOOKUP('Données projet'!$B$12,Paramètres!$A$1:$I$89,5,0)</f>
        <v>0</v>
      </c>
      <c r="CA174" s="14" t="e">
        <f t="shared" si="170"/>
        <v>#NUM!</v>
      </c>
      <c r="CB174" s="22" t="e">
        <f t="shared" si="171"/>
        <v>#NUM!</v>
      </c>
      <c r="CC174" s="62" t="e">
        <f t="shared" si="119"/>
        <v>#NUM!</v>
      </c>
      <c r="CD174" s="62">
        <f ca="1">AVERAGE(OFFSET($CC$3,0,0,'Données projet'!$E$12+1,1))-AVERAGE(OFFSET($H$3,0,0,'Données projet'!$E$12+1,1))</f>
        <v>439.06700232017681</v>
      </c>
      <c r="CE174" s="62">
        <f t="shared" si="148"/>
        <v>278.21741231699929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0.14758266390906261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0.14758266390906261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317.99999999999972</v>
      </c>
      <c r="CU174" s="18">
        <f>CT174*VLOOKUP('Données projet'!$B$13,Paramètres!$A$1:$I$89,3,0)*VLOOKUP('Données projet'!$B$13,Paramètres!$A$1:$I$89,5,0)</f>
        <v>233.1575999999998</v>
      </c>
      <c r="CV174" s="14">
        <f t="shared" si="173"/>
        <v>56.964885721091697</v>
      </c>
      <c r="CW174" s="22">
        <f t="shared" si="174"/>
        <v>505.29666263090093</v>
      </c>
      <c r="CX174" s="62">
        <f t="shared" si="122"/>
        <v>798.62999596423424</v>
      </c>
      <c r="CY174" s="62">
        <f ca="1">AVERAGE(OFFSET($CX$3,0,0,'Données projet'!$E$13+1,1))-AVERAGE(OFFSET($H$3,0,0,'Données projet'!$E$13+1,1))</f>
        <v>327.81662150328646</v>
      </c>
      <c r="CZ174" s="62">
        <f t="shared" si="150"/>
        <v>320.24200483294322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0.12263280227380698</v>
      </c>
      <c r="DG174" s="23">
        <f>EXP(-LN(2)/25)*DG173+(1-EXP(-LN(2)/25))/(LN(2)/25)*Calculateur!DB174*Calculateur!DD174*VLOOKUP('Données projet'!$B$13,Paramètres!$A$1:$I$89,3,0)*0.475*44/12</f>
        <v>0</v>
      </c>
      <c r="DH174" s="23">
        <f>EXP(-LN(2)/2)*DH173+(1-EXP(-LN(2)/2))/(LN(2)/2)*DB174*DE174*VLOOKUP('Données projet'!$B$13,Paramètres!$A$1:$I$89,3,0)*0.475*44/12</f>
        <v>0</v>
      </c>
      <c r="DI174" s="24">
        <f t="shared" si="175"/>
        <v>0.12263280227380698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5.6843418860808015E-14</v>
      </c>
      <c r="DP174" s="18">
        <f>DO174*VLOOKUP('Données projet'!$B$14,Paramètres!$A$1:$I$89,3,0)*VLOOKUP('Données projet'!$B$14,Paramètres!$A$1:$I$89,5,0)</f>
        <v>3.7243808037601412E-14</v>
      </c>
      <c r="DQ174" s="14">
        <f t="shared" si="176"/>
        <v>6.2767589361185393E-13</v>
      </c>
      <c r="DR174" s="22">
        <f t="shared" si="177"/>
        <v>1.1580684803728015E-12</v>
      </c>
      <c r="DS174" s="62">
        <f t="shared" si="125"/>
        <v>293.33333333333445</v>
      </c>
      <c r="DT174" s="62">
        <f ca="1">AVERAGE(OFFSET($DS$3,0,0,'Données projet'!$E$14+1,1))-AVERAGE(OFFSET($H$3,0,0,'Données projet'!$E$14+1,1))</f>
        <v>210.08998695869161</v>
      </c>
      <c r="DU174" s="62">
        <f t="shared" si="152"/>
        <v>207.30911916430881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>
        <f>EXP(-LN(2)/35)*EA173+(1-EXP(-LN(2)/35))/(LN(2)/35)*DW174*DX174*VLOOKUP('Données projet'!$B$14,Paramètres!$A$1:$I$89,3,0)*0.475*44/12</f>
        <v>2.8179452437385413E-2</v>
      </c>
      <c r="EB174" s="23">
        <f>EXP(-LN(2)/25)*EB173+(1-EXP(-LN(2)/25))/(LN(2)/25)*Calculateur!DW174*Calculateur!DY174*VLOOKUP('Données projet'!$B$14,Paramètres!$A$1:$I$89,3,0)*0.475*44/12</f>
        <v>0</v>
      </c>
      <c r="EC174" s="23">
        <f>EXP(-LN(2)/2)*EC173+(1-EXP(-LN(2)/2))/(LN(2)/2)*DW174*DZ174*VLOOKUP('Données projet'!$B$14,Paramètres!$A$1:$I$89,3,0)*0.475*44/12</f>
        <v>0</v>
      </c>
      <c r="ED174" s="24">
        <f t="shared" si="178"/>
        <v>2.8179452437385413E-2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5.6843418860808015E-14</v>
      </c>
      <c r="EK174" s="18">
        <f>EJ174*VLOOKUP('Données projet'!$B$15,Paramètres!$A$1:$I$89,3,0)*VLOOKUP('Données projet'!$B$15,Paramètres!$A$1:$I$89,5,0)</f>
        <v>4.4337866711430253E-14</v>
      </c>
      <c r="EL174" s="14">
        <f t="shared" si="179"/>
        <v>7.3222115536967035E-13</v>
      </c>
      <c r="EM174" s="22">
        <f t="shared" si="180"/>
        <v>1.3525069634579169E-12</v>
      </c>
      <c r="EN174" s="62">
        <f t="shared" si="128"/>
        <v>293.33333333333468</v>
      </c>
      <c r="EO174" s="62">
        <f ca="1">AVERAGE(OFFSET($EN$3,0,0,'Données projet'!$E$15+1,1))-AVERAGE(OFFSET($H$3,0,0,'Données projet'!$E$15+1,1))</f>
        <v>288.82868507674738</v>
      </c>
      <c r="EP174" s="62">
        <f t="shared" si="154"/>
        <v>283.48738729114024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>
        <f>EXP(-LN(2)/35)*EV173+(1-EXP(-LN(2)/35))/(LN(2)/35)*ER174*ES174*VLOOKUP('Données projet'!$B$15,Paramètres!$A$1:$I$89,3,0)*0.475*44/12</f>
        <v>0.11111656406138268</v>
      </c>
      <c r="EW174" s="23">
        <f>EXP(-LN(2)/25)*EW173+(1-EXP(-LN(2)/25))/(LN(2)/25)*Calculateur!ER174*Calculateur!ET174*VLOOKUP('Données projet'!$B$15,Paramètres!$A$1:$I$89,3,0)*0.475*44/12</f>
        <v>0</v>
      </c>
      <c r="EX174" s="23">
        <f>EXP(-LN(2)/2)*EX173+(1-EXP(-LN(2)/2))/(LN(2)/2)*ER174*EU174*VLOOKUP('Données projet'!$B$15,Paramètres!$A$1:$I$89,3,0)*0.475*44/12</f>
        <v>0</v>
      </c>
      <c r="EY174" s="24">
        <f t="shared" si="181"/>
        <v>0.11111656406138268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3.4106051316484809E-13</v>
      </c>
      <c r="O175" s="14">
        <f>N175*VLOOKUP('Données projet'!$B$9,Paramètres!$A$1:$I$89,3,0)*VLOOKUP('Données projet'!$B$9,Paramètres!$A$1:$I$89,5,0)</f>
        <v>1.5961632016114892E-13</v>
      </c>
      <c r="P175" s="14">
        <f t="shared" si="141"/>
        <v>2.2708641912150958E-12</v>
      </c>
      <c r="Q175" s="22">
        <f t="shared" si="162"/>
        <v>4.2330868906469593E-12</v>
      </c>
      <c r="R175" s="62">
        <f t="shared" si="109"/>
        <v>293.33333333333752</v>
      </c>
      <c r="S175" s="62">
        <f ca="1">AVERAGE(OFFSET($R$3,0,0,'Données projet'!$E$9+1,1))-AVERAGE(OFFSET($H$3,0,0,'Données projet'!$E$9+1,1))</f>
        <v>317.54276561627643</v>
      </c>
      <c r="T175" s="62">
        <f t="shared" si="142"/>
        <v>238.92443174298893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-1.1368683772161603E-13</v>
      </c>
      <c r="AJ175" s="14">
        <f>AI175*VLOOKUP('Données projet'!$B$10,Paramètres!$A$1:$I$89,3,0)*VLOOKUP('Données projet'!$B$10,Paramètres!$A$1:$I$89,5,0)</f>
        <v>-9.9316821433603781E-14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327.826081588335</v>
      </c>
      <c r="AO175" s="62">
        <f t="shared" si="144"/>
        <v>348.84706693879735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0.36920554081342588</v>
      </c>
      <c r="AV175" s="23">
        <f>EXP(-LN(2)/25)*AV174+(1-EXP(-LN(2)/25))/(LN(2)/25)*Calculateur!AQ175*Calculateur!AS175*VLOOKUP('Données projet'!$B$10,Paramètres!$A$1:$I$89,3,0)*0.475*44/12</f>
        <v>0.26760093536876706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0.63680647618219299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>
        <f>BD175*VLOOKUP('Données projet'!$B$11,Paramètres!$A$1:$I$89,3,0)*VLOOKUP('Données projet'!$B$11,Paramètres!$A$1:$I$89,5,0)</f>
        <v>0</v>
      </c>
      <c r="BF175" s="14" t="e">
        <f t="shared" si="167"/>
        <v>#NUM!</v>
      </c>
      <c r="BG175" s="22" t="e">
        <f t="shared" si="168"/>
        <v>#NUM!</v>
      </c>
      <c r="BH175" s="62" t="e">
        <f t="shared" si="116"/>
        <v>#NUM!</v>
      </c>
      <c r="BI175" s="62">
        <f ca="1">AVERAGE(OFFSET($BH$3,0,0,'Données projet'!$E$11+1,1))-AVERAGE(OFFSET($H$3,0,0,'Données projet'!$E$11+1,1))</f>
        <v>487.04124684635974</v>
      </c>
      <c r="BJ175" s="62">
        <f t="shared" si="146"/>
        <v>306.61893266146666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0.16215108211400467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0.16215108211400467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>
        <f>BY175*VLOOKUP('Données projet'!$B$12,Paramètres!$A$1:$I$89,3,0)*VLOOKUP('Données projet'!$B$12,Paramètres!$A$1:$I$89,5,0)</f>
        <v>0</v>
      </c>
      <c r="CA175" s="14" t="e">
        <f t="shared" si="170"/>
        <v>#NUM!</v>
      </c>
      <c r="CB175" s="22" t="e">
        <f t="shared" si="171"/>
        <v>#NUM!</v>
      </c>
      <c r="CC175" s="62" t="e">
        <f t="shared" si="119"/>
        <v>#NUM!</v>
      </c>
      <c r="CD175" s="62">
        <f ca="1">AVERAGE(OFFSET($CC$3,0,0,'Données projet'!$E$12+1,1))-AVERAGE(OFFSET($H$3,0,0,'Données projet'!$E$12+1,1))</f>
        <v>439.06700232017681</v>
      </c>
      <c r="CE175" s="62">
        <f t="shared" si="148"/>
        <v>278.21741231699929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0.14468865788634247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0.14468865788634247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317.99999999999972</v>
      </c>
      <c r="CU175" s="18">
        <f>CT175*VLOOKUP('Données projet'!$B$13,Paramètres!$A$1:$I$89,3,0)*VLOOKUP('Données projet'!$B$13,Paramètres!$A$1:$I$89,5,0)</f>
        <v>233.1575999999998</v>
      </c>
      <c r="CV175" s="14">
        <f t="shared" si="173"/>
        <v>56.964885721091697</v>
      </c>
      <c r="CW175" s="22">
        <f t="shared" si="174"/>
        <v>505.29666263090093</v>
      </c>
      <c r="CX175" s="62">
        <f t="shared" si="122"/>
        <v>798.62999596423424</v>
      </c>
      <c r="CY175" s="62">
        <f ca="1">AVERAGE(OFFSET($CX$3,0,0,'Données projet'!$E$13+1,1))-AVERAGE(OFFSET($H$3,0,0,'Données projet'!$E$13+1,1))</f>
        <v>327.81662150328646</v>
      </c>
      <c r="CZ175" s="62">
        <f t="shared" si="150"/>
        <v>320.24200483294322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0.12022804781984125</v>
      </c>
      <c r="DG175" s="23">
        <f>EXP(-LN(2)/25)*DG174+(1-EXP(-LN(2)/25))/(LN(2)/25)*Calculateur!DB175*Calculateur!DD175*VLOOKUP('Données projet'!$B$13,Paramètres!$A$1:$I$89,3,0)*0.475*44/12</f>
        <v>0</v>
      </c>
      <c r="DH175" s="23">
        <f>EXP(-LN(2)/2)*DH174+(1-EXP(-LN(2)/2))/(LN(2)/2)*DB175*DE175*VLOOKUP('Données projet'!$B$13,Paramètres!$A$1:$I$89,3,0)*0.475*44/12</f>
        <v>0</v>
      </c>
      <c r="DI175" s="24">
        <f t="shared" si="175"/>
        <v>0.12022804781984125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5.6843418860808015E-14</v>
      </c>
      <c r="DP175" s="18">
        <f>DO175*VLOOKUP('Données projet'!$B$14,Paramètres!$A$1:$I$89,3,0)*VLOOKUP('Données projet'!$B$14,Paramètres!$A$1:$I$89,5,0)</f>
        <v>3.7243808037601412E-14</v>
      </c>
      <c r="DQ175" s="14">
        <f t="shared" si="176"/>
        <v>6.2767589361185393E-13</v>
      </c>
      <c r="DR175" s="22">
        <f t="shared" si="177"/>
        <v>1.1580684803728015E-12</v>
      </c>
      <c r="DS175" s="62">
        <f t="shared" si="125"/>
        <v>293.33333333333445</v>
      </c>
      <c r="DT175" s="62">
        <f ca="1">AVERAGE(OFFSET($DS$3,0,0,'Données projet'!$E$14+1,1))-AVERAGE(OFFSET($H$3,0,0,'Données projet'!$E$14+1,1))</f>
        <v>210.08998695869161</v>
      </c>
      <c r="DU175" s="62">
        <f t="shared" si="152"/>
        <v>207.30911916430881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>
        <f>EXP(-LN(2)/35)*EA174+(1-EXP(-LN(2)/35))/(LN(2)/35)*DW175*DX175*VLOOKUP('Données projet'!$B$14,Paramètres!$A$1:$I$89,3,0)*0.475*44/12</f>
        <v>2.762687056285712E-2</v>
      </c>
      <c r="EB175" s="23">
        <f>EXP(-LN(2)/25)*EB174+(1-EXP(-LN(2)/25))/(LN(2)/25)*Calculateur!DW175*Calculateur!DY175*VLOOKUP('Données projet'!$B$14,Paramètres!$A$1:$I$89,3,0)*0.475*44/12</f>
        <v>0</v>
      </c>
      <c r="EC175" s="23">
        <f>EXP(-LN(2)/2)*EC174+(1-EXP(-LN(2)/2))/(LN(2)/2)*DW175*DZ175*VLOOKUP('Données projet'!$B$14,Paramètres!$A$1:$I$89,3,0)*0.475*44/12</f>
        <v>0</v>
      </c>
      <c r="ED175" s="24">
        <f t="shared" si="178"/>
        <v>2.762687056285712E-2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5.6843418860808015E-14</v>
      </c>
      <c r="EK175" s="18">
        <f>EJ175*VLOOKUP('Données projet'!$B$15,Paramètres!$A$1:$I$89,3,0)*VLOOKUP('Données projet'!$B$15,Paramètres!$A$1:$I$89,5,0)</f>
        <v>4.4337866711430253E-14</v>
      </c>
      <c r="EL175" s="14">
        <f t="shared" si="179"/>
        <v>7.3222115536967035E-13</v>
      </c>
      <c r="EM175" s="22">
        <f t="shared" si="180"/>
        <v>1.3525069634579169E-12</v>
      </c>
      <c r="EN175" s="62">
        <f t="shared" si="128"/>
        <v>293.33333333333468</v>
      </c>
      <c r="EO175" s="62">
        <f ca="1">AVERAGE(OFFSET($EN$3,0,0,'Données projet'!$E$15+1,1))-AVERAGE(OFFSET($H$3,0,0,'Données projet'!$E$15+1,1))</f>
        <v>288.82868507674738</v>
      </c>
      <c r="EP175" s="62">
        <f t="shared" si="154"/>
        <v>283.48738729114024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>
        <f>EXP(-LN(2)/35)*EV174+(1-EXP(-LN(2)/35))/(LN(2)/35)*ER175*ES175*VLOOKUP('Données projet'!$B$15,Paramètres!$A$1:$I$89,3,0)*0.475*44/12</f>
        <v>0.10893763601455088</v>
      </c>
      <c r="EW175" s="23">
        <f>EXP(-LN(2)/25)*EW174+(1-EXP(-LN(2)/25))/(LN(2)/25)*Calculateur!ER175*Calculateur!ET175*VLOOKUP('Données projet'!$B$15,Paramètres!$A$1:$I$89,3,0)*0.475*44/12</f>
        <v>0</v>
      </c>
      <c r="EX175" s="23">
        <f>EXP(-LN(2)/2)*EX174+(1-EXP(-LN(2)/2))/(LN(2)/2)*ER175*EU175*VLOOKUP('Données projet'!$B$15,Paramètres!$A$1:$I$89,3,0)*0.475*44/12</f>
        <v>0</v>
      </c>
      <c r="EY175" s="24">
        <f t="shared" si="181"/>
        <v>0.10893763601455088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3.4106051316484809E-13</v>
      </c>
      <c r="O176" s="14">
        <f>N176*VLOOKUP('Données projet'!$B$9,Paramètres!$A$1:$I$89,3,0)*VLOOKUP('Données projet'!$B$9,Paramètres!$A$1:$I$89,5,0)</f>
        <v>1.5961632016114892E-13</v>
      </c>
      <c r="P176" s="14">
        <f t="shared" si="141"/>
        <v>2.2708641912150958E-12</v>
      </c>
      <c r="Q176" s="22">
        <f t="shared" si="162"/>
        <v>4.2330868906469593E-12</v>
      </c>
      <c r="R176" s="62">
        <f t="shared" si="109"/>
        <v>293.33333333333752</v>
      </c>
      <c r="S176" s="62">
        <f ca="1">AVERAGE(OFFSET($R$3,0,0,'Données projet'!$E$9+1,1))-AVERAGE(OFFSET($H$3,0,0,'Données projet'!$E$9+1,1))</f>
        <v>317.54276561627643</v>
      </c>
      <c r="T176" s="62">
        <f t="shared" si="142"/>
        <v>238.92443174298893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-1.1368683772161603E-13</v>
      </c>
      <c r="AJ176" s="14">
        <f>AI176*VLOOKUP('Données projet'!$B$10,Paramètres!$A$1:$I$89,3,0)*VLOOKUP('Données projet'!$B$10,Paramètres!$A$1:$I$89,5,0)</f>
        <v>-9.9316821433603781E-14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327.826081588335</v>
      </c>
      <c r="AO176" s="62">
        <f t="shared" si="144"/>
        <v>348.84706693879735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0.3619656453512185</v>
      </c>
      <c r="AV176" s="23">
        <f>EXP(-LN(2)/25)*AV175+(1-EXP(-LN(2)/25))/(LN(2)/25)*Calculateur!AQ176*Calculateur!AS176*VLOOKUP('Données projet'!$B$10,Paramètres!$A$1:$I$89,3,0)*0.475*44/12</f>
        <v>0.26028337371858656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0.62224901906980512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>
        <f>BD176*VLOOKUP('Données projet'!$B$11,Paramètres!$A$1:$I$89,3,0)*VLOOKUP('Données projet'!$B$11,Paramètres!$A$1:$I$89,5,0)</f>
        <v>0</v>
      </c>
      <c r="BF176" s="14" t="e">
        <f t="shared" si="167"/>
        <v>#NUM!</v>
      </c>
      <c r="BG176" s="22" t="e">
        <f t="shared" si="168"/>
        <v>#NUM!</v>
      </c>
      <c r="BH176" s="62" t="e">
        <f t="shared" si="116"/>
        <v>#NUM!</v>
      </c>
      <c r="BI176" s="62">
        <f ca="1">AVERAGE(OFFSET($BH$3,0,0,'Données projet'!$E$11+1,1))-AVERAGE(OFFSET($H$3,0,0,'Données projet'!$E$11+1,1))</f>
        <v>487.04124684635974</v>
      </c>
      <c r="BJ176" s="62">
        <f t="shared" si="146"/>
        <v>306.61893266146666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0.15897139829614332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0.15897139829614332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>
        <f>BY176*VLOOKUP('Données projet'!$B$12,Paramètres!$A$1:$I$89,3,0)*VLOOKUP('Données projet'!$B$12,Paramètres!$A$1:$I$89,5,0)</f>
        <v>0</v>
      </c>
      <c r="CA176" s="14" t="e">
        <f t="shared" si="170"/>
        <v>#NUM!</v>
      </c>
      <c r="CB176" s="22" t="e">
        <f t="shared" si="171"/>
        <v>#NUM!</v>
      </c>
      <c r="CC176" s="62" t="e">
        <f t="shared" si="119"/>
        <v>#NUM!</v>
      </c>
      <c r="CD176" s="62">
        <f ca="1">AVERAGE(OFFSET($CC$3,0,0,'Données projet'!$E$12+1,1))-AVERAGE(OFFSET($H$3,0,0,'Données projet'!$E$12+1,1))</f>
        <v>439.06700232017681</v>
      </c>
      <c r="CE176" s="62">
        <f t="shared" si="148"/>
        <v>278.21741231699929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0.14185140155655851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0.14185140155655851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317.99999999999972</v>
      </c>
      <c r="CU176" s="18">
        <f>CT176*VLOOKUP('Données projet'!$B$13,Paramètres!$A$1:$I$89,3,0)*VLOOKUP('Données projet'!$B$13,Paramètres!$A$1:$I$89,5,0)</f>
        <v>233.1575999999998</v>
      </c>
      <c r="CV176" s="14">
        <f t="shared" si="173"/>
        <v>56.964885721091697</v>
      </c>
      <c r="CW176" s="22">
        <f t="shared" si="174"/>
        <v>505.29666263090093</v>
      </c>
      <c r="CX176" s="62">
        <f t="shared" si="122"/>
        <v>798.62999596423424</v>
      </c>
      <c r="CY176" s="62">
        <f ca="1">AVERAGE(OFFSET($CX$3,0,0,'Données projet'!$E$13+1,1))-AVERAGE(OFFSET($H$3,0,0,'Données projet'!$E$13+1,1))</f>
        <v>327.81662150328646</v>
      </c>
      <c r="CZ176" s="62">
        <f t="shared" si="150"/>
        <v>320.24200483294322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0.11787044913396241</v>
      </c>
      <c r="DG176" s="23">
        <f>EXP(-LN(2)/25)*DG175+(1-EXP(-LN(2)/25))/(LN(2)/25)*Calculateur!DB176*Calculateur!DD176*VLOOKUP('Données projet'!$B$13,Paramètres!$A$1:$I$89,3,0)*0.475*44/12</f>
        <v>0</v>
      </c>
      <c r="DH176" s="23">
        <f>EXP(-LN(2)/2)*DH175+(1-EXP(-LN(2)/2))/(LN(2)/2)*DB176*DE176*VLOOKUP('Données projet'!$B$13,Paramètres!$A$1:$I$89,3,0)*0.475*44/12</f>
        <v>0</v>
      </c>
      <c r="DI176" s="24">
        <f t="shared" si="175"/>
        <v>0.11787044913396241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5.6843418860808015E-14</v>
      </c>
      <c r="DP176" s="18">
        <f>DO176*VLOOKUP('Données projet'!$B$14,Paramètres!$A$1:$I$89,3,0)*VLOOKUP('Données projet'!$B$14,Paramètres!$A$1:$I$89,5,0)</f>
        <v>3.7243808037601412E-14</v>
      </c>
      <c r="DQ176" s="14">
        <f t="shared" si="176"/>
        <v>6.2767589361185393E-13</v>
      </c>
      <c r="DR176" s="22">
        <f t="shared" si="177"/>
        <v>1.1580684803728015E-12</v>
      </c>
      <c r="DS176" s="62">
        <f t="shared" si="125"/>
        <v>293.33333333333445</v>
      </c>
      <c r="DT176" s="62">
        <f ca="1">AVERAGE(OFFSET($DS$3,0,0,'Données projet'!$E$14+1,1))-AVERAGE(OFFSET($H$3,0,0,'Données projet'!$E$14+1,1))</f>
        <v>210.08998695869161</v>
      </c>
      <c r="DU176" s="62">
        <f t="shared" si="152"/>
        <v>207.30911916430881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>
        <f>EXP(-LN(2)/35)*EA175+(1-EXP(-LN(2)/35))/(LN(2)/35)*DW176*DX176*VLOOKUP('Données projet'!$B$14,Paramètres!$A$1:$I$89,3,0)*0.475*44/12</f>
        <v>2.7085124481846665E-2</v>
      </c>
      <c r="EB176" s="23">
        <f>EXP(-LN(2)/25)*EB175+(1-EXP(-LN(2)/25))/(LN(2)/25)*Calculateur!DW176*Calculateur!DY176*VLOOKUP('Données projet'!$B$14,Paramètres!$A$1:$I$89,3,0)*0.475*44/12</f>
        <v>0</v>
      </c>
      <c r="EC176" s="23">
        <f>EXP(-LN(2)/2)*EC175+(1-EXP(-LN(2)/2))/(LN(2)/2)*DW176*DZ176*VLOOKUP('Données projet'!$B$14,Paramètres!$A$1:$I$89,3,0)*0.475*44/12</f>
        <v>0</v>
      </c>
      <c r="ED176" s="24">
        <f t="shared" si="178"/>
        <v>2.7085124481846665E-2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5.6843418860808015E-14</v>
      </c>
      <c r="EK176" s="18">
        <f>EJ176*VLOOKUP('Données projet'!$B$15,Paramètres!$A$1:$I$89,3,0)*VLOOKUP('Données projet'!$B$15,Paramètres!$A$1:$I$89,5,0)</f>
        <v>4.4337866711430253E-14</v>
      </c>
      <c r="EL176" s="14">
        <f t="shared" si="179"/>
        <v>7.3222115536967035E-13</v>
      </c>
      <c r="EM176" s="22">
        <f t="shared" si="180"/>
        <v>1.3525069634579169E-12</v>
      </c>
      <c r="EN176" s="62">
        <f t="shared" si="128"/>
        <v>293.33333333333468</v>
      </c>
      <c r="EO176" s="62">
        <f ca="1">AVERAGE(OFFSET($EN$3,0,0,'Données projet'!$E$15+1,1))-AVERAGE(OFFSET($H$3,0,0,'Données projet'!$E$15+1,1))</f>
        <v>288.82868507674738</v>
      </c>
      <c r="EP176" s="62">
        <f t="shared" si="154"/>
        <v>283.48738729114024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>
        <f>EXP(-LN(2)/35)*EV175+(1-EXP(-LN(2)/35))/(LN(2)/35)*ER176*ES176*VLOOKUP('Données projet'!$B$15,Paramètres!$A$1:$I$89,3,0)*0.475*44/12</f>
        <v>0.10680143541770257</v>
      </c>
      <c r="EW176" s="23">
        <f>EXP(-LN(2)/25)*EW175+(1-EXP(-LN(2)/25))/(LN(2)/25)*Calculateur!ER176*Calculateur!ET176*VLOOKUP('Données projet'!$B$15,Paramètres!$A$1:$I$89,3,0)*0.475*44/12</f>
        <v>0</v>
      </c>
      <c r="EX176" s="23">
        <f>EXP(-LN(2)/2)*EX175+(1-EXP(-LN(2)/2))/(LN(2)/2)*ER176*EU176*VLOOKUP('Données projet'!$B$15,Paramètres!$A$1:$I$89,3,0)*0.475*44/12</f>
        <v>0</v>
      </c>
      <c r="EY176" s="24">
        <f t="shared" si="181"/>
        <v>0.10680143541770257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3.4106051316484809E-13</v>
      </c>
      <c r="O177" s="14">
        <f>N177*VLOOKUP('Données projet'!$B$9,Paramètres!$A$1:$I$89,3,0)*VLOOKUP('Données projet'!$B$9,Paramètres!$A$1:$I$89,5,0)</f>
        <v>1.5961632016114892E-13</v>
      </c>
      <c r="P177" s="14">
        <f t="shared" si="141"/>
        <v>2.2708641912150958E-12</v>
      </c>
      <c r="Q177" s="22">
        <f t="shared" si="162"/>
        <v>4.2330868906469593E-12</v>
      </c>
      <c r="R177" s="62">
        <f t="shared" si="109"/>
        <v>293.33333333333752</v>
      </c>
      <c r="S177" s="62">
        <f ca="1">AVERAGE(OFFSET($R$3,0,0,'Données projet'!$E$9+1,1))-AVERAGE(OFFSET($H$3,0,0,'Données projet'!$E$9+1,1))</f>
        <v>317.54276561627643</v>
      </c>
      <c r="T177" s="62">
        <f t="shared" si="142"/>
        <v>238.92443174298893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-1.1368683772161603E-13</v>
      </c>
      <c r="AJ177" s="14">
        <f>AI177*VLOOKUP('Données projet'!$B$10,Paramètres!$A$1:$I$89,3,0)*VLOOKUP('Données projet'!$B$10,Paramètres!$A$1:$I$89,5,0)</f>
        <v>-9.9316821433603781E-14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327.826081588335</v>
      </c>
      <c r="AO177" s="62">
        <f t="shared" si="144"/>
        <v>348.84706693879735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0.35486771982312482</v>
      </c>
      <c r="AV177" s="23">
        <f>EXP(-LN(2)/25)*AV176+(1-EXP(-LN(2)/25))/(LN(2)/25)*Calculateur!AQ177*Calculateur!AS177*VLOOKUP('Données projet'!$B$10,Paramètres!$A$1:$I$89,3,0)*0.475*44/12</f>
        <v>0.25316591117654408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0.60803363099966889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>
        <f>BD177*VLOOKUP('Données projet'!$B$11,Paramètres!$A$1:$I$89,3,0)*VLOOKUP('Données projet'!$B$11,Paramètres!$A$1:$I$89,5,0)</f>
        <v>0</v>
      </c>
      <c r="BF177" s="14" t="e">
        <f t="shared" si="167"/>
        <v>#NUM!</v>
      </c>
      <c r="BG177" s="22" t="e">
        <f t="shared" si="168"/>
        <v>#NUM!</v>
      </c>
      <c r="BH177" s="62" t="e">
        <f t="shared" si="116"/>
        <v>#NUM!</v>
      </c>
      <c r="BI177" s="62">
        <f ca="1">AVERAGE(OFFSET($BH$3,0,0,'Données projet'!$E$11+1,1))-AVERAGE(OFFSET($H$3,0,0,'Données projet'!$E$11+1,1))</f>
        <v>487.04124684635974</v>
      </c>
      <c r="BJ177" s="62">
        <f t="shared" si="146"/>
        <v>306.61893266146666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0.15585406613853461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0.15585406613853461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>
        <f>BY177*VLOOKUP('Données projet'!$B$12,Paramètres!$A$1:$I$89,3,0)*VLOOKUP('Données projet'!$B$12,Paramètres!$A$1:$I$89,5,0)</f>
        <v>0</v>
      </c>
      <c r="CA177" s="14" t="e">
        <f t="shared" si="170"/>
        <v>#NUM!</v>
      </c>
      <c r="CB177" s="22" t="e">
        <f t="shared" si="171"/>
        <v>#NUM!</v>
      </c>
      <c r="CC177" s="62" t="e">
        <f t="shared" si="119"/>
        <v>#NUM!</v>
      </c>
      <c r="CD177" s="62">
        <f ca="1">AVERAGE(OFFSET($CC$3,0,0,'Données projet'!$E$12+1,1))-AVERAGE(OFFSET($H$3,0,0,'Données projet'!$E$12+1,1))</f>
        <v>439.06700232017681</v>
      </c>
      <c r="CE177" s="62">
        <f t="shared" si="148"/>
        <v>278.21741231699929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0.13906978209284612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0.13906978209284612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317.99999999999972</v>
      </c>
      <c r="CU177" s="18">
        <f>CT177*VLOOKUP('Données projet'!$B$13,Paramètres!$A$1:$I$89,3,0)*VLOOKUP('Données projet'!$B$13,Paramètres!$A$1:$I$89,5,0)</f>
        <v>233.1575999999998</v>
      </c>
      <c r="CV177" s="14">
        <f t="shared" si="173"/>
        <v>56.964885721091697</v>
      </c>
      <c r="CW177" s="22">
        <f t="shared" si="174"/>
        <v>505.29666263090093</v>
      </c>
      <c r="CX177" s="62">
        <f t="shared" si="122"/>
        <v>798.62999596423424</v>
      </c>
      <c r="CY177" s="62">
        <f ca="1">AVERAGE(OFFSET($CX$3,0,0,'Données projet'!$E$13+1,1))-AVERAGE(OFFSET($H$3,0,0,'Données projet'!$E$13+1,1))</f>
        <v>327.81662150328646</v>
      </c>
      <c r="CZ177" s="62">
        <f t="shared" si="150"/>
        <v>320.24200483294322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0.11555908152032045</v>
      </c>
      <c r="DG177" s="23">
        <f>EXP(-LN(2)/25)*DG176+(1-EXP(-LN(2)/25))/(LN(2)/25)*Calculateur!DB177*Calculateur!DD177*VLOOKUP('Données projet'!$B$13,Paramètres!$A$1:$I$89,3,0)*0.475*44/12</f>
        <v>0</v>
      </c>
      <c r="DH177" s="23">
        <f>EXP(-LN(2)/2)*DH176+(1-EXP(-LN(2)/2))/(LN(2)/2)*DB177*DE177*VLOOKUP('Données projet'!$B$13,Paramètres!$A$1:$I$89,3,0)*0.475*44/12</f>
        <v>0</v>
      </c>
      <c r="DI177" s="24">
        <f t="shared" si="175"/>
        <v>0.11555908152032045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5.6843418860808015E-14</v>
      </c>
      <c r="DP177" s="18">
        <f>DO177*VLOOKUP('Données projet'!$B$14,Paramètres!$A$1:$I$89,3,0)*VLOOKUP('Données projet'!$B$14,Paramètres!$A$1:$I$89,5,0)</f>
        <v>3.7243808037601412E-14</v>
      </c>
      <c r="DQ177" s="14">
        <f t="shared" si="176"/>
        <v>6.2767589361185393E-13</v>
      </c>
      <c r="DR177" s="22">
        <f t="shared" si="177"/>
        <v>1.1580684803728015E-12</v>
      </c>
      <c r="DS177" s="62">
        <f t="shared" si="125"/>
        <v>293.33333333333445</v>
      </c>
      <c r="DT177" s="62">
        <f ca="1">AVERAGE(OFFSET($DS$3,0,0,'Données projet'!$E$14+1,1))-AVERAGE(OFFSET($H$3,0,0,'Données projet'!$E$14+1,1))</f>
        <v>210.08998695869161</v>
      </c>
      <c r="DU177" s="62">
        <f t="shared" si="152"/>
        <v>207.30911916430881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>
        <f>EXP(-LN(2)/35)*EA176+(1-EXP(-LN(2)/35))/(LN(2)/35)*DW177*DX177*VLOOKUP('Données projet'!$B$14,Paramètres!$A$1:$I$89,3,0)*0.475*44/12</f>
        <v>2.6554001711052343E-2</v>
      </c>
      <c r="EB177" s="23">
        <f>EXP(-LN(2)/25)*EB176+(1-EXP(-LN(2)/25))/(LN(2)/25)*Calculateur!DW177*Calculateur!DY177*VLOOKUP('Données projet'!$B$14,Paramètres!$A$1:$I$89,3,0)*0.475*44/12</f>
        <v>0</v>
      </c>
      <c r="EC177" s="23">
        <f>EXP(-LN(2)/2)*EC176+(1-EXP(-LN(2)/2))/(LN(2)/2)*DW177*DZ177*VLOOKUP('Données projet'!$B$14,Paramètres!$A$1:$I$89,3,0)*0.475*44/12</f>
        <v>0</v>
      </c>
      <c r="ED177" s="24">
        <f t="shared" si="178"/>
        <v>2.6554001711052343E-2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5.6843418860808015E-14</v>
      </c>
      <c r="EK177" s="18">
        <f>EJ177*VLOOKUP('Données projet'!$B$15,Paramètres!$A$1:$I$89,3,0)*VLOOKUP('Données projet'!$B$15,Paramètres!$A$1:$I$89,5,0)</f>
        <v>4.4337866711430253E-14</v>
      </c>
      <c r="EL177" s="14">
        <f t="shared" si="179"/>
        <v>7.3222115536967035E-13</v>
      </c>
      <c r="EM177" s="22">
        <f t="shared" si="180"/>
        <v>1.3525069634579169E-12</v>
      </c>
      <c r="EN177" s="62">
        <f t="shared" si="128"/>
        <v>293.33333333333468</v>
      </c>
      <c r="EO177" s="62">
        <f ca="1">AVERAGE(OFFSET($EN$3,0,0,'Données projet'!$E$15+1,1))-AVERAGE(OFFSET($H$3,0,0,'Données projet'!$E$15+1,1))</f>
        <v>288.82868507674738</v>
      </c>
      <c r="EP177" s="62">
        <f t="shared" si="154"/>
        <v>283.48738729114024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>
        <f>EXP(-LN(2)/35)*EV176+(1-EXP(-LN(2)/35))/(LN(2)/35)*ER177*ES177*VLOOKUP('Données projet'!$B$15,Paramètres!$A$1:$I$89,3,0)*0.475*44/12</f>
        <v>0.10470712441160475</v>
      </c>
      <c r="EW177" s="23">
        <f>EXP(-LN(2)/25)*EW176+(1-EXP(-LN(2)/25))/(LN(2)/25)*Calculateur!ER177*Calculateur!ET177*VLOOKUP('Données projet'!$B$15,Paramètres!$A$1:$I$89,3,0)*0.475*44/12</f>
        <v>0</v>
      </c>
      <c r="EX177" s="23">
        <f>EXP(-LN(2)/2)*EX176+(1-EXP(-LN(2)/2))/(LN(2)/2)*ER177*EU177*VLOOKUP('Données projet'!$B$15,Paramètres!$A$1:$I$89,3,0)*0.475*44/12</f>
        <v>0</v>
      </c>
      <c r="EY177" s="24">
        <f t="shared" si="181"/>
        <v>0.10470712441160475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3.4106051316484809E-13</v>
      </c>
      <c r="O178" s="14">
        <f>N178*VLOOKUP('Données projet'!$B$9,Paramètres!$A$1:$I$89,3,0)*VLOOKUP('Données projet'!$B$9,Paramètres!$A$1:$I$89,5,0)</f>
        <v>1.5961632016114892E-13</v>
      </c>
      <c r="P178" s="14">
        <f t="shared" si="141"/>
        <v>2.2708641912150958E-12</v>
      </c>
      <c r="Q178" s="22">
        <f t="shared" si="162"/>
        <v>4.2330868906469593E-12</v>
      </c>
      <c r="R178" s="62">
        <f t="shared" si="109"/>
        <v>293.33333333333752</v>
      </c>
      <c r="S178" s="62">
        <f ca="1">AVERAGE(OFFSET($R$3,0,0,'Données projet'!$E$9+1,1))-AVERAGE(OFFSET($H$3,0,0,'Données projet'!$E$9+1,1))</f>
        <v>317.54276561627643</v>
      </c>
      <c r="T178" s="62">
        <f t="shared" si="142"/>
        <v>238.92443174298893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-1.1368683772161603E-13</v>
      </c>
      <c r="AJ178" s="14">
        <f>AI178*VLOOKUP('Données projet'!$B$10,Paramètres!$A$1:$I$89,3,0)*VLOOKUP('Données projet'!$B$10,Paramètres!$A$1:$I$89,5,0)</f>
        <v>-9.9316821433603781E-14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327.826081588335</v>
      </c>
      <c r="AO178" s="62">
        <f t="shared" si="144"/>
        <v>348.84706693879735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0.34790898028532996</v>
      </c>
      <c r="AV178" s="23">
        <f>EXP(-LN(2)/25)*AV177+(1-EXP(-LN(2)/25))/(LN(2)/25)*Calculateur!AQ178*Calculateur!AS178*VLOOKUP('Données projet'!$B$10,Paramètres!$A$1:$I$89,3,0)*0.475*44/12</f>
        <v>0.24624307602200482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0.59415205630733481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>
        <f>BD178*VLOOKUP('Données projet'!$B$11,Paramètres!$A$1:$I$89,3,0)*VLOOKUP('Données projet'!$B$11,Paramètres!$A$1:$I$89,5,0)</f>
        <v>0</v>
      </c>
      <c r="BF178" s="14" t="e">
        <f t="shared" si="167"/>
        <v>#NUM!</v>
      </c>
      <c r="BG178" s="22" t="e">
        <f t="shared" si="168"/>
        <v>#NUM!</v>
      </c>
      <c r="BH178" s="62" t="e">
        <f t="shared" si="116"/>
        <v>#NUM!</v>
      </c>
      <c r="BI178" s="62">
        <f ca="1">AVERAGE(OFFSET($BH$3,0,0,'Données projet'!$E$11+1,1))-AVERAGE(OFFSET($H$3,0,0,'Données projet'!$E$11+1,1))</f>
        <v>487.04124684635974</v>
      </c>
      <c r="BJ178" s="62">
        <f t="shared" si="146"/>
        <v>306.61893266146666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0.15279786296315173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0.15279786296315173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>
        <f>BY178*VLOOKUP('Données projet'!$B$12,Paramètres!$A$1:$I$89,3,0)*VLOOKUP('Données projet'!$B$12,Paramètres!$A$1:$I$89,5,0)</f>
        <v>0</v>
      </c>
      <c r="CA178" s="14" t="e">
        <f t="shared" si="170"/>
        <v>#NUM!</v>
      </c>
      <c r="CB178" s="22" t="e">
        <f t="shared" si="171"/>
        <v>#NUM!</v>
      </c>
      <c r="CC178" s="62" t="e">
        <f t="shared" si="119"/>
        <v>#NUM!</v>
      </c>
      <c r="CD178" s="62">
        <f ca="1">AVERAGE(OFFSET($CC$3,0,0,'Données projet'!$E$12+1,1))-AVERAGE(OFFSET($H$3,0,0,'Données projet'!$E$12+1,1))</f>
        <v>439.06700232017681</v>
      </c>
      <c r="CE178" s="62">
        <f t="shared" si="148"/>
        <v>278.21741231699929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0.13634270849019681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0.13634270849019681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317.99999999999972</v>
      </c>
      <c r="CU178" s="18">
        <f>CT178*VLOOKUP('Données projet'!$B$13,Paramètres!$A$1:$I$89,3,0)*VLOOKUP('Données projet'!$B$13,Paramètres!$A$1:$I$89,5,0)</f>
        <v>233.1575999999998</v>
      </c>
      <c r="CV178" s="14">
        <f t="shared" si="173"/>
        <v>56.964885721091697</v>
      </c>
      <c r="CW178" s="22">
        <f t="shared" si="174"/>
        <v>505.29666263090093</v>
      </c>
      <c r="CX178" s="62">
        <f t="shared" si="122"/>
        <v>798.62999596423424</v>
      </c>
      <c r="CY178" s="62">
        <f ca="1">AVERAGE(OFFSET($CX$3,0,0,'Données projet'!$E$13+1,1))-AVERAGE(OFFSET($H$3,0,0,'Données projet'!$E$13+1,1))</f>
        <v>327.81662150328646</v>
      </c>
      <c r="CZ178" s="62">
        <f t="shared" si="150"/>
        <v>320.24200483294322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0.11329303841578696</v>
      </c>
      <c r="DG178" s="23">
        <f>EXP(-LN(2)/25)*DG177+(1-EXP(-LN(2)/25))/(LN(2)/25)*Calculateur!DB178*Calculateur!DD178*VLOOKUP('Données projet'!$B$13,Paramètres!$A$1:$I$89,3,0)*0.475*44/12</f>
        <v>0</v>
      </c>
      <c r="DH178" s="23">
        <f>EXP(-LN(2)/2)*DH177+(1-EXP(-LN(2)/2))/(LN(2)/2)*DB178*DE178*VLOOKUP('Données projet'!$B$13,Paramètres!$A$1:$I$89,3,0)*0.475*44/12</f>
        <v>0</v>
      </c>
      <c r="DI178" s="24">
        <f t="shared" si="175"/>
        <v>0.11329303841578696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5.6843418860808015E-14</v>
      </c>
      <c r="DP178" s="18">
        <f>DO178*VLOOKUP('Données projet'!$B$14,Paramètres!$A$1:$I$89,3,0)*VLOOKUP('Données projet'!$B$14,Paramètres!$A$1:$I$89,5,0)</f>
        <v>3.7243808037601412E-14</v>
      </c>
      <c r="DQ178" s="14">
        <f t="shared" si="176"/>
        <v>6.2767589361185393E-13</v>
      </c>
      <c r="DR178" s="22">
        <f t="shared" si="177"/>
        <v>1.1580684803728015E-12</v>
      </c>
      <c r="DS178" s="62">
        <f t="shared" si="125"/>
        <v>293.33333333333445</v>
      </c>
      <c r="DT178" s="62">
        <f ca="1">AVERAGE(OFFSET($DS$3,0,0,'Données projet'!$E$14+1,1))-AVERAGE(OFFSET($H$3,0,0,'Données projet'!$E$14+1,1))</f>
        <v>210.08998695869161</v>
      </c>
      <c r="DU178" s="62">
        <f t="shared" si="152"/>
        <v>207.30911916430881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>
        <f>EXP(-LN(2)/35)*EA177+(1-EXP(-LN(2)/35))/(LN(2)/35)*DW178*DX178*VLOOKUP('Données projet'!$B$14,Paramètres!$A$1:$I$89,3,0)*0.475*44/12</f>
        <v>2.6033293933840393E-2</v>
      </c>
      <c r="EB178" s="23">
        <f>EXP(-LN(2)/25)*EB177+(1-EXP(-LN(2)/25))/(LN(2)/25)*Calculateur!DW178*Calculateur!DY178*VLOOKUP('Données projet'!$B$14,Paramètres!$A$1:$I$89,3,0)*0.475*44/12</f>
        <v>0</v>
      </c>
      <c r="EC178" s="23">
        <f>EXP(-LN(2)/2)*EC177+(1-EXP(-LN(2)/2))/(LN(2)/2)*DW178*DZ178*VLOOKUP('Données projet'!$B$14,Paramètres!$A$1:$I$89,3,0)*0.475*44/12</f>
        <v>0</v>
      </c>
      <c r="ED178" s="24">
        <f t="shared" si="178"/>
        <v>2.6033293933840393E-2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5.6843418860808015E-14</v>
      </c>
      <c r="EK178" s="18">
        <f>EJ178*VLOOKUP('Données projet'!$B$15,Paramètres!$A$1:$I$89,3,0)*VLOOKUP('Données projet'!$B$15,Paramètres!$A$1:$I$89,5,0)</f>
        <v>4.4337866711430253E-14</v>
      </c>
      <c r="EL178" s="14">
        <f t="shared" si="179"/>
        <v>7.3222115536967035E-13</v>
      </c>
      <c r="EM178" s="22">
        <f t="shared" si="180"/>
        <v>1.3525069634579169E-12</v>
      </c>
      <c r="EN178" s="62">
        <f t="shared" si="128"/>
        <v>293.33333333333468</v>
      </c>
      <c r="EO178" s="62">
        <f ca="1">AVERAGE(OFFSET($EN$3,0,0,'Données projet'!$E$15+1,1))-AVERAGE(OFFSET($H$3,0,0,'Données projet'!$E$15+1,1))</f>
        <v>288.82868507674738</v>
      </c>
      <c r="EP178" s="62">
        <f t="shared" si="154"/>
        <v>283.48738729114024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>
        <f>EXP(-LN(2)/35)*EV177+(1-EXP(-LN(2)/35))/(LN(2)/35)*ER178*ES178*VLOOKUP('Données projet'!$B$15,Paramètres!$A$1:$I$89,3,0)*0.475*44/12</f>
        <v>0.10265388156693292</v>
      </c>
      <c r="EW178" s="23">
        <f>EXP(-LN(2)/25)*EW177+(1-EXP(-LN(2)/25))/(LN(2)/25)*Calculateur!ER178*Calculateur!ET178*VLOOKUP('Données projet'!$B$15,Paramètres!$A$1:$I$89,3,0)*0.475*44/12</f>
        <v>0</v>
      </c>
      <c r="EX178" s="23">
        <f>EXP(-LN(2)/2)*EX177+(1-EXP(-LN(2)/2))/(LN(2)/2)*ER178*EU178*VLOOKUP('Données projet'!$B$15,Paramètres!$A$1:$I$89,3,0)*0.475*44/12</f>
        <v>0</v>
      </c>
      <c r="EY178" s="24">
        <f t="shared" si="181"/>
        <v>0.10265388156693292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3.4106051316484809E-13</v>
      </c>
      <c r="O179" s="14">
        <f>N179*VLOOKUP('Données projet'!$B$9,Paramètres!$A$1:$I$89,3,0)*VLOOKUP('Données projet'!$B$9,Paramètres!$A$1:$I$89,5,0)</f>
        <v>1.5961632016114892E-13</v>
      </c>
      <c r="P179" s="14">
        <f t="shared" si="141"/>
        <v>2.2708641912150958E-12</v>
      </c>
      <c r="Q179" s="22">
        <f t="shared" si="162"/>
        <v>4.2330868906469593E-12</v>
      </c>
      <c r="R179" s="62">
        <f t="shared" si="109"/>
        <v>293.33333333333752</v>
      </c>
      <c r="S179" s="62">
        <f ca="1">AVERAGE(OFFSET($R$3,0,0,'Données projet'!$E$9+1,1))-AVERAGE(OFFSET($H$3,0,0,'Données projet'!$E$9+1,1))</f>
        <v>317.54276561627643</v>
      </c>
      <c r="T179" s="62">
        <f t="shared" si="142"/>
        <v>238.92443174298893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-1.1368683772161603E-13</v>
      </c>
      <c r="AJ179" s="14">
        <f>AI179*VLOOKUP('Données projet'!$B$10,Paramètres!$A$1:$I$89,3,0)*VLOOKUP('Données projet'!$B$10,Paramètres!$A$1:$I$89,5,0)</f>
        <v>-9.9316821433603781E-14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327.826081588335</v>
      </c>
      <c r="AO179" s="62">
        <f t="shared" si="144"/>
        <v>348.84706693879735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0.34108669738545927</v>
      </c>
      <c r="AV179" s="23">
        <f>EXP(-LN(2)/25)*AV178+(1-EXP(-LN(2)/25))/(LN(2)/25)*Calculateur!AQ179*Calculateur!AS179*VLOOKUP('Données projet'!$B$10,Paramètres!$A$1:$I$89,3,0)*0.475*44/12</f>
        <v>0.23950954615882253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0.58059624354428174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>
        <f>BD179*VLOOKUP('Données projet'!$B$11,Paramètres!$A$1:$I$89,3,0)*VLOOKUP('Données projet'!$B$11,Paramètres!$A$1:$I$89,5,0)</f>
        <v>0</v>
      </c>
      <c r="BF179" s="14" t="e">
        <f t="shared" si="167"/>
        <v>#NUM!</v>
      </c>
      <c r="BG179" s="22" t="e">
        <f t="shared" si="168"/>
        <v>#NUM!</v>
      </c>
      <c r="BH179" s="62" t="e">
        <f t="shared" si="116"/>
        <v>#NUM!</v>
      </c>
      <c r="BI179" s="62">
        <f ca="1">AVERAGE(OFFSET($BH$3,0,0,'Données projet'!$E$11+1,1))-AVERAGE(OFFSET($H$3,0,0,'Données projet'!$E$11+1,1))</f>
        <v>487.04124684635974</v>
      </c>
      <c r="BJ179" s="62">
        <f t="shared" si="146"/>
        <v>306.61893266146666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0.14980159006793825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0.14980159006793825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>
        <f>BY179*VLOOKUP('Données projet'!$B$12,Paramètres!$A$1:$I$89,3,0)*VLOOKUP('Données projet'!$B$12,Paramètres!$A$1:$I$89,5,0)</f>
        <v>0</v>
      </c>
      <c r="CA179" s="14" t="e">
        <f t="shared" si="170"/>
        <v>#NUM!</v>
      </c>
      <c r="CB179" s="22" t="e">
        <f t="shared" si="171"/>
        <v>#NUM!</v>
      </c>
      <c r="CC179" s="62" t="e">
        <f t="shared" si="119"/>
        <v>#NUM!</v>
      </c>
      <c r="CD179" s="62">
        <f ca="1">AVERAGE(OFFSET($CC$3,0,0,'Données projet'!$E$12+1,1))-AVERAGE(OFFSET($H$3,0,0,'Données projet'!$E$12+1,1))</f>
        <v>439.06700232017681</v>
      </c>
      <c r="CE179" s="62">
        <f t="shared" si="148"/>
        <v>278.21741231699929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0.13366911113754479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0.13366911113754479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317.99999999999972</v>
      </c>
      <c r="CU179" s="18">
        <f>CT179*VLOOKUP('Données projet'!$B$13,Paramètres!$A$1:$I$89,3,0)*VLOOKUP('Données projet'!$B$13,Paramètres!$A$1:$I$89,5,0)</f>
        <v>233.1575999999998</v>
      </c>
      <c r="CV179" s="14">
        <f t="shared" si="173"/>
        <v>56.964885721091697</v>
      </c>
      <c r="CW179" s="22">
        <f t="shared" si="174"/>
        <v>505.29666263090093</v>
      </c>
      <c r="CX179" s="62">
        <f t="shared" si="122"/>
        <v>798.62999596423424</v>
      </c>
      <c r="CY179" s="62">
        <f ca="1">AVERAGE(OFFSET($CX$3,0,0,'Données projet'!$E$13+1,1))-AVERAGE(OFFSET($H$3,0,0,'Données projet'!$E$13+1,1))</f>
        <v>327.81662150328646</v>
      </c>
      <c r="CZ179" s="62">
        <f t="shared" si="150"/>
        <v>320.24200483294322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0.11107143103438356</v>
      </c>
      <c r="DG179" s="23">
        <f>EXP(-LN(2)/25)*DG178+(1-EXP(-LN(2)/25))/(LN(2)/25)*Calculateur!DB179*Calculateur!DD179*VLOOKUP('Données projet'!$B$13,Paramètres!$A$1:$I$89,3,0)*0.475*44/12</f>
        <v>0</v>
      </c>
      <c r="DH179" s="23">
        <f>EXP(-LN(2)/2)*DH178+(1-EXP(-LN(2)/2))/(LN(2)/2)*DB179*DE179*VLOOKUP('Données projet'!$B$13,Paramètres!$A$1:$I$89,3,0)*0.475*44/12</f>
        <v>0</v>
      </c>
      <c r="DI179" s="24">
        <f t="shared" si="175"/>
        <v>0.11107143103438356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5.6843418860808015E-14</v>
      </c>
      <c r="DP179" s="18">
        <f>DO179*VLOOKUP('Données projet'!$B$14,Paramètres!$A$1:$I$89,3,0)*VLOOKUP('Données projet'!$B$14,Paramètres!$A$1:$I$89,5,0)</f>
        <v>3.7243808037601412E-14</v>
      </c>
      <c r="DQ179" s="14">
        <f t="shared" si="176"/>
        <v>6.2767589361185393E-13</v>
      </c>
      <c r="DR179" s="22">
        <f t="shared" si="177"/>
        <v>1.1580684803728015E-12</v>
      </c>
      <c r="DS179" s="62">
        <f t="shared" si="125"/>
        <v>293.33333333333445</v>
      </c>
      <c r="DT179" s="62">
        <f ca="1">AVERAGE(OFFSET($DS$3,0,0,'Données projet'!$E$14+1,1))-AVERAGE(OFFSET($H$3,0,0,'Données projet'!$E$14+1,1))</f>
        <v>210.08998695869161</v>
      </c>
      <c r="DU179" s="62">
        <f t="shared" si="152"/>
        <v>207.30911916430881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>
        <f>EXP(-LN(2)/35)*EA178+(1-EXP(-LN(2)/35))/(LN(2)/35)*DW179*DX179*VLOOKUP('Données projet'!$B$14,Paramètres!$A$1:$I$89,3,0)*0.475*44/12</f>
        <v>2.5522796918539186E-2</v>
      </c>
      <c r="EB179" s="23">
        <f>EXP(-LN(2)/25)*EB178+(1-EXP(-LN(2)/25))/(LN(2)/25)*Calculateur!DW179*Calculateur!DY179*VLOOKUP('Données projet'!$B$14,Paramètres!$A$1:$I$89,3,0)*0.475*44/12</f>
        <v>0</v>
      </c>
      <c r="EC179" s="23">
        <f>EXP(-LN(2)/2)*EC178+(1-EXP(-LN(2)/2))/(LN(2)/2)*DW179*DZ179*VLOOKUP('Données projet'!$B$14,Paramètres!$A$1:$I$89,3,0)*0.475*44/12</f>
        <v>0</v>
      </c>
      <c r="ED179" s="24">
        <f t="shared" si="178"/>
        <v>2.5522796918539186E-2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5.6843418860808015E-14</v>
      </c>
      <c r="EK179" s="18">
        <f>EJ179*VLOOKUP('Données projet'!$B$15,Paramètres!$A$1:$I$89,3,0)*VLOOKUP('Données projet'!$B$15,Paramètres!$A$1:$I$89,5,0)</f>
        <v>4.4337866711430253E-14</v>
      </c>
      <c r="EL179" s="14">
        <f t="shared" si="179"/>
        <v>7.3222115536967035E-13</v>
      </c>
      <c r="EM179" s="22">
        <f t="shared" si="180"/>
        <v>1.3525069634579169E-12</v>
      </c>
      <c r="EN179" s="62">
        <f t="shared" si="128"/>
        <v>293.33333333333468</v>
      </c>
      <c r="EO179" s="62">
        <f ca="1">AVERAGE(OFFSET($EN$3,0,0,'Données projet'!$E$15+1,1))-AVERAGE(OFFSET($H$3,0,0,'Données projet'!$E$15+1,1))</f>
        <v>288.82868507674738</v>
      </c>
      <c r="EP179" s="62">
        <f t="shared" si="154"/>
        <v>283.48738729114024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>
        <f>EXP(-LN(2)/35)*EV178+(1-EXP(-LN(2)/35))/(LN(2)/35)*ER179*ES179*VLOOKUP('Données projet'!$B$15,Paramètres!$A$1:$I$89,3,0)*0.475*44/12</f>
        <v>0.10064090156209063</v>
      </c>
      <c r="EW179" s="23">
        <f>EXP(-LN(2)/25)*EW178+(1-EXP(-LN(2)/25))/(LN(2)/25)*Calculateur!ER179*Calculateur!ET179*VLOOKUP('Données projet'!$B$15,Paramètres!$A$1:$I$89,3,0)*0.475*44/12</f>
        <v>0</v>
      </c>
      <c r="EX179" s="23">
        <f>EXP(-LN(2)/2)*EX178+(1-EXP(-LN(2)/2))/(LN(2)/2)*ER179*EU179*VLOOKUP('Données projet'!$B$15,Paramètres!$A$1:$I$89,3,0)*0.475*44/12</f>
        <v>0</v>
      </c>
      <c r="EY179" s="24">
        <f t="shared" si="181"/>
        <v>0.10064090156209063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3.4106051316484809E-13</v>
      </c>
      <c r="O180" s="14">
        <f>N180*VLOOKUP('Données projet'!$B$9,Paramètres!$A$1:$I$89,3,0)*VLOOKUP('Données projet'!$B$9,Paramètres!$A$1:$I$89,5,0)</f>
        <v>1.5961632016114892E-13</v>
      </c>
      <c r="P180" s="14">
        <f t="shared" si="141"/>
        <v>2.2708641912150958E-12</v>
      </c>
      <c r="Q180" s="22">
        <f t="shared" si="162"/>
        <v>4.2330868906469593E-12</v>
      </c>
      <c r="R180" s="62">
        <f t="shared" si="109"/>
        <v>293.33333333333752</v>
      </c>
      <c r="S180" s="62">
        <f ca="1">AVERAGE(OFFSET($R$3,0,0,'Données projet'!$E$9+1,1))-AVERAGE(OFFSET($H$3,0,0,'Données projet'!$E$9+1,1))</f>
        <v>317.54276561627643</v>
      </c>
      <c r="T180" s="62">
        <f t="shared" si="142"/>
        <v>238.92443174298893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-1.1368683772161603E-13</v>
      </c>
      <c r="AJ180" s="14">
        <f>AI180*VLOOKUP('Données projet'!$B$10,Paramètres!$A$1:$I$89,3,0)*VLOOKUP('Données projet'!$B$10,Paramètres!$A$1:$I$89,5,0)</f>
        <v>-9.9316821433603781E-14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327.826081588335</v>
      </c>
      <c r="AO180" s="62">
        <f t="shared" si="144"/>
        <v>348.84706693879735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0.33439819529207332</v>
      </c>
      <c r="AV180" s="23">
        <f>EXP(-LN(2)/25)*AV179+(1-EXP(-LN(2)/25))/(LN(2)/25)*Calculateur!AQ180*Calculateur!AS180*VLOOKUP('Données projet'!$B$10,Paramètres!$A$1:$I$89,3,0)*0.475*44/12</f>
        <v>0.2329601450238499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0.56735834031592325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>
        <f>BD180*VLOOKUP('Données projet'!$B$11,Paramètres!$A$1:$I$89,3,0)*VLOOKUP('Données projet'!$B$11,Paramètres!$A$1:$I$89,5,0)</f>
        <v>0</v>
      </c>
      <c r="BF180" s="14" t="e">
        <f t="shared" si="167"/>
        <v>#NUM!</v>
      </c>
      <c r="BG180" s="22" t="e">
        <f t="shared" si="168"/>
        <v>#NUM!</v>
      </c>
      <c r="BH180" s="62" t="e">
        <f t="shared" si="116"/>
        <v>#NUM!</v>
      </c>
      <c r="BI180" s="62">
        <f ca="1">AVERAGE(OFFSET($BH$3,0,0,'Données projet'!$E$11+1,1))-AVERAGE(OFFSET($H$3,0,0,'Données projet'!$E$11+1,1))</f>
        <v>487.04124684635974</v>
      </c>
      <c r="BJ180" s="62">
        <f t="shared" si="146"/>
        <v>306.61893266146666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0.14686407225665388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0.14686407225665388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>
        <f>BY180*VLOOKUP('Données projet'!$B$12,Paramètres!$A$1:$I$89,3,0)*VLOOKUP('Données projet'!$B$12,Paramètres!$A$1:$I$89,5,0)</f>
        <v>0</v>
      </c>
      <c r="CA180" s="14" t="e">
        <f t="shared" si="170"/>
        <v>#NUM!</v>
      </c>
      <c r="CB180" s="22" t="e">
        <f t="shared" si="171"/>
        <v>#NUM!</v>
      </c>
      <c r="CC180" s="62" t="e">
        <f t="shared" si="119"/>
        <v>#NUM!</v>
      </c>
      <c r="CD180" s="62">
        <f ca="1">AVERAGE(OFFSET($CC$3,0,0,'Données projet'!$E$12+1,1))-AVERAGE(OFFSET($H$3,0,0,'Données projet'!$E$12+1,1))</f>
        <v>439.06700232017681</v>
      </c>
      <c r="CE180" s="62">
        <f t="shared" si="148"/>
        <v>278.21741231699929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0.13104794139824491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0.13104794139824491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317.99999999999972</v>
      </c>
      <c r="CU180" s="18">
        <f>CT180*VLOOKUP('Données projet'!$B$13,Paramètres!$A$1:$I$89,3,0)*VLOOKUP('Données projet'!$B$13,Paramètres!$A$1:$I$89,5,0)</f>
        <v>233.1575999999998</v>
      </c>
      <c r="CV180" s="14">
        <f t="shared" si="173"/>
        <v>56.964885721091697</v>
      </c>
      <c r="CW180" s="22">
        <f t="shared" si="174"/>
        <v>505.29666263090093</v>
      </c>
      <c r="CX180" s="62">
        <f t="shared" si="122"/>
        <v>798.62999596423424</v>
      </c>
      <c r="CY180" s="62">
        <f ca="1">AVERAGE(OFFSET($CX$3,0,0,'Données projet'!$E$13+1,1))-AVERAGE(OFFSET($H$3,0,0,'Données projet'!$E$13+1,1))</f>
        <v>327.81662150328646</v>
      </c>
      <c r="CZ180" s="62">
        <f t="shared" si="150"/>
        <v>320.24200483294322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0.10889338801868279</v>
      </c>
      <c r="DG180" s="23">
        <f>EXP(-LN(2)/25)*DG179+(1-EXP(-LN(2)/25))/(LN(2)/25)*Calculateur!DB180*Calculateur!DD180*VLOOKUP('Données projet'!$B$13,Paramètres!$A$1:$I$89,3,0)*0.475*44/12</f>
        <v>0</v>
      </c>
      <c r="DH180" s="23">
        <f>EXP(-LN(2)/2)*DH179+(1-EXP(-LN(2)/2))/(LN(2)/2)*DB180*DE180*VLOOKUP('Données projet'!$B$13,Paramètres!$A$1:$I$89,3,0)*0.475*44/12</f>
        <v>0</v>
      </c>
      <c r="DI180" s="24">
        <f t="shared" si="175"/>
        <v>0.10889338801868279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5.6843418860808015E-14</v>
      </c>
      <c r="DP180" s="18">
        <f>DO180*VLOOKUP('Données projet'!$B$14,Paramètres!$A$1:$I$89,3,0)*VLOOKUP('Données projet'!$B$14,Paramètres!$A$1:$I$89,5,0)</f>
        <v>3.7243808037601412E-14</v>
      </c>
      <c r="DQ180" s="14">
        <f t="shared" si="176"/>
        <v>6.2767589361185393E-13</v>
      </c>
      <c r="DR180" s="22">
        <f t="shared" si="177"/>
        <v>1.1580684803728015E-12</v>
      </c>
      <c r="DS180" s="62">
        <f t="shared" si="125"/>
        <v>293.33333333333445</v>
      </c>
      <c r="DT180" s="62">
        <f ca="1">AVERAGE(OFFSET($DS$3,0,0,'Données projet'!$E$14+1,1))-AVERAGE(OFFSET($H$3,0,0,'Données projet'!$E$14+1,1))</f>
        <v>210.08998695869161</v>
      </c>
      <c r="DU180" s="62">
        <f t="shared" si="152"/>
        <v>207.30911916430881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>
        <f>EXP(-LN(2)/35)*EA179+(1-EXP(-LN(2)/35))/(LN(2)/35)*DW180*DX180*VLOOKUP('Données projet'!$B$14,Paramètres!$A$1:$I$89,3,0)*0.475*44/12</f>
        <v>2.5022310438335603E-2</v>
      </c>
      <c r="EB180" s="23">
        <f>EXP(-LN(2)/25)*EB179+(1-EXP(-LN(2)/25))/(LN(2)/25)*Calculateur!DW180*Calculateur!DY180*VLOOKUP('Données projet'!$B$14,Paramètres!$A$1:$I$89,3,0)*0.475*44/12</f>
        <v>0</v>
      </c>
      <c r="EC180" s="23">
        <f>EXP(-LN(2)/2)*EC179+(1-EXP(-LN(2)/2))/(LN(2)/2)*DW180*DZ180*VLOOKUP('Données projet'!$B$14,Paramètres!$A$1:$I$89,3,0)*0.475*44/12</f>
        <v>0</v>
      </c>
      <c r="ED180" s="24">
        <f t="shared" si="178"/>
        <v>2.5022310438335603E-2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5.6843418860808015E-14</v>
      </c>
      <c r="EK180" s="18">
        <f>EJ180*VLOOKUP('Données projet'!$B$15,Paramètres!$A$1:$I$89,3,0)*VLOOKUP('Données projet'!$B$15,Paramètres!$A$1:$I$89,5,0)</f>
        <v>4.4337866711430253E-14</v>
      </c>
      <c r="EL180" s="14">
        <f t="shared" si="179"/>
        <v>7.3222115536967035E-13</v>
      </c>
      <c r="EM180" s="22">
        <f t="shared" si="180"/>
        <v>1.3525069634579169E-12</v>
      </c>
      <c r="EN180" s="62">
        <f t="shared" si="128"/>
        <v>293.33333333333468</v>
      </c>
      <c r="EO180" s="62">
        <f ca="1">AVERAGE(OFFSET($EN$3,0,0,'Données projet'!$E$15+1,1))-AVERAGE(OFFSET($H$3,0,0,'Données projet'!$E$15+1,1))</f>
        <v>288.82868507674738</v>
      </c>
      <c r="EP180" s="62">
        <f t="shared" si="154"/>
        <v>283.48738729114024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>
        <f>EXP(-LN(2)/35)*EV179+(1-EXP(-LN(2)/35))/(LN(2)/35)*ER180*ES180*VLOOKUP('Données projet'!$B$15,Paramètres!$A$1:$I$89,3,0)*0.475*44/12</f>
        <v>9.8667394867346728E-2</v>
      </c>
      <c r="EW180" s="23">
        <f>EXP(-LN(2)/25)*EW179+(1-EXP(-LN(2)/25))/(LN(2)/25)*Calculateur!ER180*Calculateur!ET180*VLOOKUP('Données projet'!$B$15,Paramètres!$A$1:$I$89,3,0)*0.475*44/12</f>
        <v>0</v>
      </c>
      <c r="EX180" s="23">
        <f>EXP(-LN(2)/2)*EX179+(1-EXP(-LN(2)/2))/(LN(2)/2)*ER180*EU180*VLOOKUP('Données projet'!$B$15,Paramètres!$A$1:$I$89,3,0)*0.475*44/12</f>
        <v>0</v>
      </c>
      <c r="EY180" s="24">
        <f t="shared" si="181"/>
        <v>9.8667394867346728E-2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3.4106051316484809E-13</v>
      </c>
      <c r="O181" s="14">
        <f>N181*VLOOKUP('Données projet'!$B$9,Paramètres!$A$1:$I$89,3,0)*VLOOKUP('Données projet'!$B$9,Paramètres!$A$1:$I$89,5,0)</f>
        <v>1.5961632016114892E-13</v>
      </c>
      <c r="P181" s="14">
        <f t="shared" si="141"/>
        <v>2.2708641912150958E-12</v>
      </c>
      <c r="Q181" s="22">
        <f t="shared" si="162"/>
        <v>4.2330868906469593E-12</v>
      </c>
      <c r="R181" s="62">
        <f t="shared" si="109"/>
        <v>293.33333333333752</v>
      </c>
      <c r="S181" s="62">
        <f ca="1">AVERAGE(OFFSET($R$3,0,0,'Données projet'!$E$9+1,1))-AVERAGE(OFFSET($H$3,0,0,'Données projet'!$E$9+1,1))</f>
        <v>317.54276561627643</v>
      </c>
      <c r="T181" s="62">
        <f t="shared" si="142"/>
        <v>238.92443174298893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-1.1368683772161603E-13</v>
      </c>
      <c r="AJ181" s="14">
        <f>AI181*VLOOKUP('Données projet'!$B$10,Paramètres!$A$1:$I$89,3,0)*VLOOKUP('Données projet'!$B$10,Paramètres!$A$1:$I$89,5,0)</f>
        <v>-9.9316821433603781E-14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327.826081588335</v>
      </c>
      <c r="AO181" s="62">
        <f t="shared" si="144"/>
        <v>348.84706693879735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0.32784085064515522</v>
      </c>
      <c r="AV181" s="23">
        <f>EXP(-LN(2)/25)*AV180+(1-EXP(-LN(2)/25))/(LN(2)/25)*Calculateur!AQ181*Calculateur!AS181*VLOOKUP('Données projet'!$B$10,Paramètres!$A$1:$I$89,3,0)*0.475*44/12</f>
        <v>0.22658983760733115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0.55443068825248631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>
        <f>BD181*VLOOKUP('Données projet'!$B$11,Paramètres!$A$1:$I$89,3,0)*VLOOKUP('Données projet'!$B$11,Paramètres!$A$1:$I$89,5,0)</f>
        <v>0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487.04124684635974</v>
      </c>
      <c r="BJ181" s="62">
        <f t="shared" si="146"/>
        <v>306.61893266146666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0.14398415737793985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0.14398415737793985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>
        <f>BY181*VLOOKUP('Données projet'!$B$12,Paramètres!$A$1:$I$89,3,0)*VLOOKUP('Données projet'!$B$12,Paramètres!$A$1:$I$89,5,0)</f>
        <v>0</v>
      </c>
      <c r="CA181" s="14" t="e">
        <f t="shared" si="170"/>
        <v>#NUM!</v>
      </c>
      <c r="CB181" s="22" t="e">
        <f t="shared" si="171"/>
        <v>#NUM!</v>
      </c>
      <c r="CC181" s="62" t="e">
        <f t="shared" si="119"/>
        <v>#NUM!</v>
      </c>
      <c r="CD181" s="62">
        <f ca="1">AVERAGE(OFFSET($CC$3,0,0,'Données projet'!$E$12+1,1))-AVERAGE(OFFSET($H$3,0,0,'Données projet'!$E$12+1,1))</f>
        <v>439.06700232017681</v>
      </c>
      <c r="CE181" s="62">
        <f t="shared" si="148"/>
        <v>278.21741231699929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0.12847817119877702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0.12847817119877702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317.99999999999972</v>
      </c>
      <c r="CU181" s="18">
        <f>CT181*VLOOKUP('Données projet'!$B$13,Paramètres!$A$1:$I$89,3,0)*VLOOKUP('Données projet'!$B$13,Paramètres!$A$1:$I$89,5,0)</f>
        <v>233.1575999999998</v>
      </c>
      <c r="CV181" s="14">
        <f t="shared" si="173"/>
        <v>56.964885721091697</v>
      </c>
      <c r="CW181" s="22">
        <f t="shared" si="174"/>
        <v>505.29666263090093</v>
      </c>
      <c r="CX181" s="62">
        <f t="shared" si="122"/>
        <v>798.62999596423424</v>
      </c>
      <c r="CY181" s="62">
        <f ca="1">AVERAGE(OFFSET($CX$3,0,0,'Données projet'!$E$13+1,1))-AVERAGE(OFFSET($H$3,0,0,'Données projet'!$E$13+1,1))</f>
        <v>327.81662150328646</v>
      </c>
      <c r="CZ181" s="62">
        <f t="shared" si="150"/>
        <v>320.24200483294322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0.10675805509804484</v>
      </c>
      <c r="DG181" s="23">
        <f>EXP(-LN(2)/25)*DG180+(1-EXP(-LN(2)/25))/(LN(2)/25)*Calculateur!DB181*Calculateur!DD181*VLOOKUP('Données projet'!$B$13,Paramètres!$A$1:$I$89,3,0)*0.475*44/12</f>
        <v>0</v>
      </c>
      <c r="DH181" s="23">
        <f>EXP(-LN(2)/2)*DH180+(1-EXP(-LN(2)/2))/(LN(2)/2)*DB181*DE181*VLOOKUP('Données projet'!$B$13,Paramètres!$A$1:$I$89,3,0)*0.475*44/12</f>
        <v>0</v>
      </c>
      <c r="DI181" s="24">
        <f t="shared" si="175"/>
        <v>0.10675805509804484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5.6843418860808015E-14</v>
      </c>
      <c r="DP181" s="18">
        <f>DO181*VLOOKUP('Données projet'!$B$14,Paramètres!$A$1:$I$89,3,0)*VLOOKUP('Données projet'!$B$14,Paramètres!$A$1:$I$89,5,0)</f>
        <v>3.7243808037601412E-14</v>
      </c>
      <c r="DQ181" s="14">
        <f t="shared" si="176"/>
        <v>6.2767589361185393E-13</v>
      </c>
      <c r="DR181" s="22">
        <f t="shared" si="177"/>
        <v>1.1580684803728015E-12</v>
      </c>
      <c r="DS181" s="62">
        <f t="shared" si="125"/>
        <v>293.33333333333445</v>
      </c>
      <c r="DT181" s="62">
        <f ca="1">AVERAGE(OFFSET($DS$3,0,0,'Données projet'!$E$14+1,1))-AVERAGE(OFFSET($H$3,0,0,'Données projet'!$E$14+1,1))</f>
        <v>210.08998695869161</v>
      </c>
      <c r="DU181" s="62">
        <f t="shared" si="152"/>
        <v>207.30911916430881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>
        <f>EXP(-LN(2)/35)*EA180+(1-EXP(-LN(2)/35))/(LN(2)/35)*DW181*DX181*VLOOKUP('Données projet'!$B$14,Paramètres!$A$1:$I$89,3,0)*0.475*44/12</f>
        <v>2.4531638192742202E-2</v>
      </c>
      <c r="EB181" s="23">
        <f>EXP(-LN(2)/25)*EB180+(1-EXP(-LN(2)/25))/(LN(2)/25)*Calculateur!DW181*Calculateur!DY181*VLOOKUP('Données projet'!$B$14,Paramètres!$A$1:$I$89,3,0)*0.475*44/12</f>
        <v>0</v>
      </c>
      <c r="EC181" s="23">
        <f>EXP(-LN(2)/2)*EC180+(1-EXP(-LN(2)/2))/(LN(2)/2)*DW181*DZ181*VLOOKUP('Données projet'!$B$14,Paramètres!$A$1:$I$89,3,0)*0.475*44/12</f>
        <v>0</v>
      </c>
      <c r="ED181" s="24">
        <f t="shared" si="178"/>
        <v>2.4531638192742202E-2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5.6843418860808015E-14</v>
      </c>
      <c r="EK181" s="18">
        <f>EJ181*VLOOKUP('Données projet'!$B$15,Paramètres!$A$1:$I$89,3,0)*VLOOKUP('Données projet'!$B$15,Paramètres!$A$1:$I$89,5,0)</f>
        <v>4.4337866711430253E-14</v>
      </c>
      <c r="EL181" s="14">
        <f t="shared" si="179"/>
        <v>7.3222115536967035E-13</v>
      </c>
      <c r="EM181" s="22">
        <f t="shared" si="180"/>
        <v>1.3525069634579169E-12</v>
      </c>
      <c r="EN181" s="62">
        <f t="shared" si="128"/>
        <v>293.33333333333468</v>
      </c>
      <c r="EO181" s="62">
        <f ca="1">AVERAGE(OFFSET($EN$3,0,0,'Données projet'!$E$15+1,1))-AVERAGE(OFFSET($H$3,0,0,'Données projet'!$E$15+1,1))</f>
        <v>288.82868507674738</v>
      </c>
      <c r="EP181" s="62">
        <f t="shared" si="154"/>
        <v>283.48738729114024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>
        <f>EXP(-LN(2)/35)*EV180+(1-EXP(-LN(2)/35))/(LN(2)/35)*ER181*ES181*VLOOKUP('Données projet'!$B$15,Paramètres!$A$1:$I$89,3,0)*0.475*44/12</f>
        <v>9.6732587435166537E-2</v>
      </c>
      <c r="EW181" s="23">
        <f>EXP(-LN(2)/25)*EW180+(1-EXP(-LN(2)/25))/(LN(2)/25)*Calculateur!ER181*Calculateur!ET181*VLOOKUP('Données projet'!$B$15,Paramètres!$A$1:$I$89,3,0)*0.475*44/12</f>
        <v>0</v>
      </c>
      <c r="EX181" s="23">
        <f>EXP(-LN(2)/2)*EX180+(1-EXP(-LN(2)/2))/(LN(2)/2)*ER181*EU181*VLOOKUP('Données projet'!$B$15,Paramètres!$A$1:$I$89,3,0)*0.475*44/12</f>
        <v>0</v>
      </c>
      <c r="EY181" s="24">
        <f t="shared" si="181"/>
        <v>9.6732587435166537E-2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3.4106051316484809E-13</v>
      </c>
      <c r="O182" s="14">
        <f>N182*VLOOKUP('Données projet'!$B$9,Paramètres!$A$1:$I$89,3,0)*VLOOKUP('Données projet'!$B$9,Paramètres!$A$1:$I$89,5,0)</f>
        <v>1.5961632016114892E-13</v>
      </c>
      <c r="P182" s="14">
        <f t="shared" si="141"/>
        <v>2.2708641912150958E-12</v>
      </c>
      <c r="Q182" s="22">
        <f t="shared" si="162"/>
        <v>4.2330868906469593E-12</v>
      </c>
      <c r="R182" s="62">
        <f t="shared" si="109"/>
        <v>293.33333333333752</v>
      </c>
      <c r="S182" s="62">
        <f ca="1">AVERAGE(OFFSET($R$3,0,0,'Données projet'!$E$9+1,1))-AVERAGE(OFFSET($H$3,0,0,'Données projet'!$E$9+1,1))</f>
        <v>317.54276561627643</v>
      </c>
      <c r="T182" s="62">
        <f t="shared" si="142"/>
        <v>238.92443174298893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-1.1368683772161603E-13</v>
      </c>
      <c r="AJ182" s="14">
        <f>AI182*VLOOKUP('Données projet'!$B$10,Paramètres!$A$1:$I$89,3,0)*VLOOKUP('Données projet'!$B$10,Paramètres!$A$1:$I$89,5,0)</f>
        <v>-9.9316821433603781E-14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327.826081588335</v>
      </c>
      <c r="AO182" s="62">
        <f t="shared" si="144"/>
        <v>348.84706693879735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0.32141209152717792</v>
      </c>
      <c r="AV182" s="23">
        <f>EXP(-LN(2)/25)*AV181+(1-EXP(-LN(2)/25))/(LN(2)/25)*Calculateur!AQ182*Calculateur!AS182*VLOOKUP('Données projet'!$B$10,Paramètres!$A$1:$I$89,3,0)*0.475*44/12</f>
        <v>0.22039372658211701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0.54180581810929496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>
        <f>BD182*VLOOKUP('Données projet'!$B$11,Paramètres!$A$1:$I$89,3,0)*VLOOKUP('Données projet'!$B$11,Paramètres!$A$1:$I$89,5,0)</f>
        <v>0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487.04124684635974</v>
      </c>
      <c r="BJ182" s="62">
        <f t="shared" si="146"/>
        <v>306.61893266146666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0.14116071587342277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0.14116071587342277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>
        <f>BY182*VLOOKUP('Données projet'!$B$12,Paramètres!$A$1:$I$89,3,0)*VLOOKUP('Données projet'!$B$12,Paramètres!$A$1:$I$89,5,0)</f>
        <v>0</v>
      </c>
      <c r="CA182" s="14" t="e">
        <f t="shared" si="170"/>
        <v>#NUM!</v>
      </c>
      <c r="CB182" s="22" t="e">
        <f t="shared" si="171"/>
        <v>#NUM!</v>
      </c>
      <c r="CC182" s="62" t="e">
        <f t="shared" si="119"/>
        <v>#NUM!</v>
      </c>
      <c r="CD182" s="62">
        <f ca="1">AVERAGE(OFFSET($CC$3,0,0,'Données projet'!$E$12+1,1))-AVERAGE(OFFSET($H$3,0,0,'Données projet'!$E$12+1,1))</f>
        <v>439.06700232017681</v>
      </c>
      <c r="CE182" s="62">
        <f t="shared" si="148"/>
        <v>278.21741231699929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0.12595879262551565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0.12595879262551565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317.99999999999972</v>
      </c>
      <c r="CU182" s="18">
        <f>CT182*VLOOKUP('Données projet'!$B$13,Paramètres!$A$1:$I$89,3,0)*VLOOKUP('Données projet'!$B$13,Paramètres!$A$1:$I$89,5,0)</f>
        <v>233.1575999999998</v>
      </c>
      <c r="CV182" s="14">
        <f t="shared" si="173"/>
        <v>56.964885721091697</v>
      </c>
      <c r="CW182" s="22">
        <f t="shared" si="174"/>
        <v>505.29666263090093</v>
      </c>
      <c r="CX182" s="62">
        <f t="shared" si="122"/>
        <v>798.62999596423424</v>
      </c>
      <c r="CY182" s="62">
        <f ca="1">AVERAGE(OFFSET($CX$3,0,0,'Données projet'!$E$13+1,1))-AVERAGE(OFFSET($H$3,0,0,'Données projet'!$E$13+1,1))</f>
        <v>327.81662150328646</v>
      </c>
      <c r="CZ182" s="62">
        <f t="shared" si="150"/>
        <v>320.24200483294322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0.10466459475355612</v>
      </c>
      <c r="DG182" s="23">
        <f>EXP(-LN(2)/25)*DG181+(1-EXP(-LN(2)/25))/(LN(2)/25)*Calculateur!DB182*Calculateur!DD182*VLOOKUP('Données projet'!$B$13,Paramètres!$A$1:$I$89,3,0)*0.475*44/12</f>
        <v>0</v>
      </c>
      <c r="DH182" s="23">
        <f>EXP(-LN(2)/2)*DH181+(1-EXP(-LN(2)/2))/(LN(2)/2)*DB182*DE182*VLOOKUP('Données projet'!$B$13,Paramètres!$A$1:$I$89,3,0)*0.475*44/12</f>
        <v>0</v>
      </c>
      <c r="DI182" s="24">
        <f t="shared" si="175"/>
        <v>0.10466459475355612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5.6843418860808015E-14</v>
      </c>
      <c r="DP182" s="18">
        <f>DO182*VLOOKUP('Données projet'!$B$14,Paramètres!$A$1:$I$89,3,0)*VLOOKUP('Données projet'!$B$14,Paramètres!$A$1:$I$89,5,0)</f>
        <v>3.7243808037601412E-14</v>
      </c>
      <c r="DQ182" s="14">
        <f t="shared" si="176"/>
        <v>6.2767589361185393E-13</v>
      </c>
      <c r="DR182" s="22">
        <f t="shared" si="177"/>
        <v>1.1580684803728015E-12</v>
      </c>
      <c r="DS182" s="62">
        <f t="shared" si="125"/>
        <v>293.33333333333445</v>
      </c>
      <c r="DT182" s="62">
        <f ca="1">AVERAGE(OFFSET($DS$3,0,0,'Données projet'!$E$14+1,1))-AVERAGE(OFFSET($H$3,0,0,'Données projet'!$E$14+1,1))</f>
        <v>210.08998695869161</v>
      </c>
      <c r="DU182" s="62">
        <f t="shared" si="152"/>
        <v>207.30911916430881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>
        <f>EXP(-LN(2)/35)*EA181+(1-EXP(-LN(2)/35))/(LN(2)/35)*DW182*DX182*VLOOKUP('Données projet'!$B$14,Paramètres!$A$1:$I$89,3,0)*0.475*44/12</f>
        <v>2.405058773060437E-2</v>
      </c>
      <c r="EB182" s="23">
        <f>EXP(-LN(2)/25)*EB181+(1-EXP(-LN(2)/25))/(LN(2)/25)*Calculateur!DW182*Calculateur!DY182*VLOOKUP('Données projet'!$B$14,Paramètres!$A$1:$I$89,3,0)*0.475*44/12</f>
        <v>0</v>
      </c>
      <c r="EC182" s="23">
        <f>EXP(-LN(2)/2)*EC181+(1-EXP(-LN(2)/2))/(LN(2)/2)*DW182*DZ182*VLOOKUP('Données projet'!$B$14,Paramètres!$A$1:$I$89,3,0)*0.475*44/12</f>
        <v>0</v>
      </c>
      <c r="ED182" s="24">
        <f t="shared" si="178"/>
        <v>2.405058773060437E-2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5.6843418860808015E-14</v>
      </c>
      <c r="EK182" s="18">
        <f>EJ182*VLOOKUP('Données projet'!$B$15,Paramètres!$A$1:$I$89,3,0)*VLOOKUP('Données projet'!$B$15,Paramètres!$A$1:$I$89,5,0)</f>
        <v>4.4337866711430253E-14</v>
      </c>
      <c r="EL182" s="14">
        <f t="shared" si="179"/>
        <v>7.3222115536967035E-13</v>
      </c>
      <c r="EM182" s="22">
        <f t="shared" si="180"/>
        <v>1.3525069634579169E-12</v>
      </c>
      <c r="EN182" s="62">
        <f t="shared" si="128"/>
        <v>293.33333333333468</v>
      </c>
      <c r="EO182" s="62">
        <f ca="1">AVERAGE(OFFSET($EN$3,0,0,'Données projet'!$E$15+1,1))-AVERAGE(OFFSET($H$3,0,0,'Données projet'!$E$15+1,1))</f>
        <v>288.82868507674738</v>
      </c>
      <c r="EP182" s="62">
        <f t="shared" si="154"/>
        <v>283.48738729114024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>
        <f>EXP(-LN(2)/35)*EV181+(1-EXP(-LN(2)/35))/(LN(2)/35)*ER182*ES182*VLOOKUP('Données projet'!$B$15,Paramètres!$A$1:$I$89,3,0)*0.475*44/12</f>
        <v>9.4835720396615392E-2</v>
      </c>
      <c r="EW182" s="23">
        <f>EXP(-LN(2)/25)*EW181+(1-EXP(-LN(2)/25))/(LN(2)/25)*Calculateur!ER182*Calculateur!ET182*VLOOKUP('Données projet'!$B$15,Paramètres!$A$1:$I$89,3,0)*0.475*44/12</f>
        <v>0</v>
      </c>
      <c r="EX182" s="23">
        <f>EXP(-LN(2)/2)*EX181+(1-EXP(-LN(2)/2))/(LN(2)/2)*ER182*EU182*VLOOKUP('Données projet'!$B$15,Paramètres!$A$1:$I$89,3,0)*0.475*44/12</f>
        <v>0</v>
      </c>
      <c r="EY182" s="24">
        <f t="shared" si="181"/>
        <v>9.4835720396615392E-2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3.4106051316484809E-13</v>
      </c>
      <c r="O183" s="14">
        <f>N183*VLOOKUP('Données projet'!$B$9,Paramètres!$A$1:$I$89,3,0)*VLOOKUP('Données projet'!$B$9,Paramètres!$A$1:$I$89,5,0)</f>
        <v>1.5961632016114892E-13</v>
      </c>
      <c r="P183" s="14">
        <f t="shared" si="141"/>
        <v>2.2708641912150958E-12</v>
      </c>
      <c r="Q183" s="22">
        <f t="shared" si="162"/>
        <v>4.2330868906469593E-12</v>
      </c>
      <c r="R183" s="62">
        <f t="shared" si="109"/>
        <v>293.33333333333752</v>
      </c>
      <c r="S183" s="62">
        <f ca="1">AVERAGE(OFFSET($R$3,0,0,'Données projet'!$E$9+1,1))-AVERAGE(OFFSET($H$3,0,0,'Données projet'!$E$9+1,1))</f>
        <v>317.54276561627643</v>
      </c>
      <c r="T183" s="62">
        <f t="shared" si="142"/>
        <v>238.92443174298893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-1.1368683772161603E-13</v>
      </c>
      <c r="AJ183" s="14">
        <f>AI183*VLOOKUP('Données projet'!$B$10,Paramètres!$A$1:$I$89,3,0)*VLOOKUP('Données projet'!$B$10,Paramètres!$A$1:$I$89,5,0)</f>
        <v>-9.9316821433603781E-14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327.826081588335</v>
      </c>
      <c r="AO183" s="62">
        <f t="shared" si="144"/>
        <v>348.84706693879735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0.31510939645434827</v>
      </c>
      <c r="AV183" s="23">
        <f>EXP(-LN(2)/25)*AV182+(1-EXP(-LN(2)/25))/(LN(2)/25)*Calculateur!AQ183*Calculateur!AS183*VLOOKUP('Données projet'!$B$10,Paramètres!$A$1:$I$89,3,0)*0.475*44/12</f>
        <v>0.21436704853872665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0.52947644499307489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>
        <f>BD183*VLOOKUP('Données projet'!$B$11,Paramètres!$A$1:$I$89,3,0)*VLOOKUP('Données projet'!$B$11,Paramètres!$A$1:$I$89,5,0)</f>
        <v>0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487.04124684635974</v>
      </c>
      <c r="BJ183" s="62">
        <f t="shared" si="146"/>
        <v>306.61893266146666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0.13839264033468002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0.13839264033468002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>
        <f>BY183*VLOOKUP('Données projet'!$B$12,Paramètres!$A$1:$I$89,3,0)*VLOOKUP('Données projet'!$B$12,Paramètres!$A$1:$I$89,5,0)</f>
        <v>0</v>
      </c>
      <c r="CA183" s="14" t="e">
        <f t="shared" si="170"/>
        <v>#NUM!</v>
      </c>
      <c r="CB183" s="22" t="e">
        <f t="shared" si="171"/>
        <v>#NUM!</v>
      </c>
      <c r="CC183" s="62" t="e">
        <f t="shared" si="119"/>
        <v>#NUM!</v>
      </c>
      <c r="CD183" s="62">
        <f ca="1">AVERAGE(OFFSET($CC$3,0,0,'Données projet'!$E$12+1,1))-AVERAGE(OFFSET($H$3,0,0,'Données projet'!$E$12+1,1))</f>
        <v>439.06700232017681</v>
      </c>
      <c r="CE183" s="62">
        <f t="shared" si="148"/>
        <v>278.21741231699929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0.12348881752940673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0.12348881752940673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317.99999999999972</v>
      </c>
      <c r="CU183" s="18">
        <f>CT183*VLOOKUP('Données projet'!$B$13,Paramètres!$A$1:$I$89,3,0)*VLOOKUP('Données projet'!$B$13,Paramètres!$A$1:$I$89,5,0)</f>
        <v>233.1575999999998</v>
      </c>
      <c r="CV183" s="14">
        <f t="shared" si="173"/>
        <v>56.964885721091697</v>
      </c>
      <c r="CW183" s="22">
        <f t="shared" si="174"/>
        <v>505.29666263090093</v>
      </c>
      <c r="CX183" s="62">
        <f t="shared" si="122"/>
        <v>798.62999596423424</v>
      </c>
      <c r="CY183" s="62">
        <f ca="1">AVERAGE(OFFSET($CX$3,0,0,'Données projet'!$E$13+1,1))-AVERAGE(OFFSET($H$3,0,0,'Données projet'!$E$13+1,1))</f>
        <v>327.81662150328646</v>
      </c>
      <c r="CZ183" s="62">
        <f t="shared" si="150"/>
        <v>320.24200483294322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0.10261218588953809</v>
      </c>
      <c r="DG183" s="23">
        <f>EXP(-LN(2)/25)*DG182+(1-EXP(-LN(2)/25))/(LN(2)/25)*Calculateur!DB183*Calculateur!DD183*VLOOKUP('Données projet'!$B$13,Paramètres!$A$1:$I$89,3,0)*0.475*44/12</f>
        <v>0</v>
      </c>
      <c r="DH183" s="23">
        <f>EXP(-LN(2)/2)*DH182+(1-EXP(-LN(2)/2))/(LN(2)/2)*DB183*DE183*VLOOKUP('Données projet'!$B$13,Paramètres!$A$1:$I$89,3,0)*0.475*44/12</f>
        <v>0</v>
      </c>
      <c r="DI183" s="24">
        <f t="shared" si="175"/>
        <v>0.10261218588953809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5.6843418860808015E-14</v>
      </c>
      <c r="DP183" s="18">
        <f>DO183*VLOOKUP('Données projet'!$B$14,Paramètres!$A$1:$I$89,3,0)*VLOOKUP('Données projet'!$B$14,Paramètres!$A$1:$I$89,5,0)</f>
        <v>3.7243808037601412E-14</v>
      </c>
      <c r="DQ183" s="14">
        <f t="shared" si="176"/>
        <v>6.2767589361185393E-13</v>
      </c>
      <c r="DR183" s="22">
        <f t="shared" si="177"/>
        <v>1.1580684803728015E-12</v>
      </c>
      <c r="DS183" s="62">
        <f t="shared" si="125"/>
        <v>293.33333333333445</v>
      </c>
      <c r="DT183" s="62">
        <f ca="1">AVERAGE(OFFSET($DS$3,0,0,'Données projet'!$E$14+1,1))-AVERAGE(OFFSET($H$3,0,0,'Données projet'!$E$14+1,1))</f>
        <v>210.08998695869161</v>
      </c>
      <c r="DU183" s="62">
        <f t="shared" si="152"/>
        <v>207.30911916430881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>
        <f>EXP(-LN(2)/35)*EA182+(1-EXP(-LN(2)/35))/(LN(2)/35)*DW183*DX183*VLOOKUP('Données projet'!$B$14,Paramètres!$A$1:$I$89,3,0)*0.475*44/12</f>
        <v>2.3578970374617252E-2</v>
      </c>
      <c r="EB183" s="23">
        <f>EXP(-LN(2)/25)*EB182+(1-EXP(-LN(2)/25))/(LN(2)/25)*Calculateur!DW183*Calculateur!DY183*VLOOKUP('Données projet'!$B$14,Paramètres!$A$1:$I$89,3,0)*0.475*44/12</f>
        <v>0</v>
      </c>
      <c r="EC183" s="23">
        <f>EXP(-LN(2)/2)*EC182+(1-EXP(-LN(2)/2))/(LN(2)/2)*DW183*DZ183*VLOOKUP('Données projet'!$B$14,Paramètres!$A$1:$I$89,3,0)*0.475*44/12</f>
        <v>0</v>
      </c>
      <c r="ED183" s="24">
        <f t="shared" si="178"/>
        <v>2.3578970374617252E-2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5.6843418860808015E-14</v>
      </c>
      <c r="EK183" s="18">
        <f>EJ183*VLOOKUP('Données projet'!$B$15,Paramètres!$A$1:$I$89,3,0)*VLOOKUP('Données projet'!$B$15,Paramètres!$A$1:$I$89,5,0)</f>
        <v>4.4337866711430253E-14</v>
      </c>
      <c r="EL183" s="14">
        <f t="shared" si="179"/>
        <v>7.3222115536967035E-13</v>
      </c>
      <c r="EM183" s="22">
        <f t="shared" si="180"/>
        <v>1.3525069634579169E-12</v>
      </c>
      <c r="EN183" s="62">
        <f t="shared" si="128"/>
        <v>293.33333333333468</v>
      </c>
      <c r="EO183" s="62">
        <f ca="1">AVERAGE(OFFSET($EN$3,0,0,'Données projet'!$E$15+1,1))-AVERAGE(OFFSET($H$3,0,0,'Données projet'!$E$15+1,1))</f>
        <v>288.82868507674738</v>
      </c>
      <c r="EP183" s="62">
        <f t="shared" si="154"/>
        <v>283.48738729114024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>
        <f>EXP(-LN(2)/35)*EV182+(1-EXP(-LN(2)/35))/(LN(2)/35)*ER183*ES183*VLOOKUP('Données projet'!$B$15,Paramètres!$A$1:$I$89,3,0)*0.475*44/12</f>
        <v>9.2976049763715582E-2</v>
      </c>
      <c r="EW183" s="23">
        <f>EXP(-LN(2)/25)*EW182+(1-EXP(-LN(2)/25))/(LN(2)/25)*Calculateur!ER183*Calculateur!ET183*VLOOKUP('Données projet'!$B$15,Paramètres!$A$1:$I$89,3,0)*0.475*44/12</f>
        <v>0</v>
      </c>
      <c r="EX183" s="23">
        <f>EXP(-LN(2)/2)*EX182+(1-EXP(-LN(2)/2))/(LN(2)/2)*ER183*EU183*VLOOKUP('Données projet'!$B$15,Paramètres!$A$1:$I$89,3,0)*0.475*44/12</f>
        <v>0</v>
      </c>
      <c r="EY183" s="24">
        <f t="shared" si="181"/>
        <v>9.2976049763715582E-2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3.4106051316484809E-13</v>
      </c>
      <c r="O184" s="14">
        <f>N184*VLOOKUP('Données projet'!$B$9,Paramètres!$A$1:$I$89,3,0)*VLOOKUP('Données projet'!$B$9,Paramètres!$A$1:$I$89,5,0)</f>
        <v>1.5961632016114892E-13</v>
      </c>
      <c r="P184" s="14">
        <f t="shared" si="141"/>
        <v>2.2708641912150958E-12</v>
      </c>
      <c r="Q184" s="22">
        <f t="shared" si="162"/>
        <v>4.2330868906469593E-12</v>
      </c>
      <c r="R184" s="62">
        <f t="shared" si="109"/>
        <v>293.33333333333752</v>
      </c>
      <c r="S184" s="62">
        <f ca="1">AVERAGE(OFFSET($R$3,0,0,'Données projet'!$E$9+1,1))-AVERAGE(OFFSET($H$3,0,0,'Données projet'!$E$9+1,1))</f>
        <v>317.54276561627643</v>
      </c>
      <c r="T184" s="62">
        <f t="shared" si="142"/>
        <v>238.92443174298893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-1.1368683772161603E-13</v>
      </c>
      <c r="AJ184" s="14">
        <f>AI184*VLOOKUP('Données projet'!$B$10,Paramètres!$A$1:$I$89,3,0)*VLOOKUP('Données projet'!$B$10,Paramètres!$A$1:$I$89,5,0)</f>
        <v>-9.9316821433603781E-14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327.826081588335</v>
      </c>
      <c r="AO184" s="62">
        <f t="shared" si="144"/>
        <v>348.84706693879735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0.30893029338763239</v>
      </c>
      <c r="AV184" s="23">
        <f>EXP(-LN(2)/25)*AV183+(1-EXP(-LN(2)/25))/(LN(2)/25)*Calculateur!AQ184*Calculateur!AS184*VLOOKUP('Données projet'!$B$10,Paramètres!$A$1:$I$89,3,0)*0.475*44/12</f>
        <v>0.20850517032336202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0.51743546371099436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>
        <f>BD184*VLOOKUP('Données projet'!$B$11,Paramètres!$A$1:$I$89,3,0)*VLOOKUP('Données projet'!$B$11,Paramètres!$A$1:$I$89,5,0)</f>
        <v>0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487.04124684635974</v>
      </c>
      <c r="BJ184" s="62">
        <f t="shared" si="146"/>
        <v>306.61893266146666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0.13567884506889263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0.13567884506889263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>
        <f>BY184*VLOOKUP('Données projet'!$B$12,Paramètres!$A$1:$I$89,3,0)*VLOOKUP('Données projet'!$B$12,Paramètres!$A$1:$I$89,5,0)</f>
        <v>0</v>
      </c>
      <c r="CA184" s="14" t="e">
        <f t="shared" si="170"/>
        <v>#NUM!</v>
      </c>
      <c r="CB184" s="22" t="e">
        <f t="shared" si="171"/>
        <v>#NUM!</v>
      </c>
      <c r="CC184" s="62" t="e">
        <f t="shared" si="119"/>
        <v>#NUM!</v>
      </c>
      <c r="CD184" s="62">
        <f ca="1">AVERAGE(OFFSET($CC$3,0,0,'Données projet'!$E$12+1,1))-AVERAGE(OFFSET($H$3,0,0,'Données projet'!$E$12+1,1))</f>
        <v>439.06700232017681</v>
      </c>
      <c r="CE184" s="62">
        <f t="shared" si="148"/>
        <v>278.21741231699929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0.12106727713839645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0.12106727713839645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317.99999999999972</v>
      </c>
      <c r="CU184" s="18">
        <f>CT184*VLOOKUP('Données projet'!$B$13,Paramètres!$A$1:$I$89,3,0)*VLOOKUP('Données projet'!$B$13,Paramètres!$A$1:$I$89,5,0)</f>
        <v>233.1575999999998</v>
      </c>
      <c r="CV184" s="14">
        <f t="shared" si="173"/>
        <v>56.964885721091697</v>
      </c>
      <c r="CW184" s="22">
        <f t="shared" si="174"/>
        <v>505.29666263090093</v>
      </c>
      <c r="CX184" s="62">
        <f t="shared" si="122"/>
        <v>798.62999596423424</v>
      </c>
      <c r="CY184" s="62">
        <f ca="1">AVERAGE(OFFSET($CX$3,0,0,'Données projet'!$E$13+1,1))-AVERAGE(OFFSET($H$3,0,0,'Données projet'!$E$13+1,1))</f>
        <v>327.81662150328646</v>
      </c>
      <c r="CZ184" s="62">
        <f t="shared" si="150"/>
        <v>320.24200483294322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0.10060002351149766</v>
      </c>
      <c r="DG184" s="23">
        <f>EXP(-LN(2)/25)*DG183+(1-EXP(-LN(2)/25))/(LN(2)/25)*Calculateur!DB184*Calculateur!DD184*VLOOKUP('Données projet'!$B$13,Paramètres!$A$1:$I$89,3,0)*0.475*44/12</f>
        <v>0</v>
      </c>
      <c r="DH184" s="23">
        <f>EXP(-LN(2)/2)*DH183+(1-EXP(-LN(2)/2))/(LN(2)/2)*DB184*DE184*VLOOKUP('Données projet'!$B$13,Paramètres!$A$1:$I$89,3,0)*0.475*44/12</f>
        <v>0</v>
      </c>
      <c r="DI184" s="24">
        <f t="shared" si="175"/>
        <v>0.10060002351149766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5.6843418860808015E-14</v>
      </c>
      <c r="DP184" s="18">
        <f>DO184*VLOOKUP('Données projet'!$B$14,Paramètres!$A$1:$I$89,3,0)*VLOOKUP('Données projet'!$B$14,Paramètres!$A$1:$I$89,5,0)</f>
        <v>3.7243808037601412E-14</v>
      </c>
      <c r="DQ184" s="14">
        <f t="shared" si="176"/>
        <v>6.2767589361185393E-13</v>
      </c>
      <c r="DR184" s="22">
        <f t="shared" si="177"/>
        <v>1.1580684803728015E-12</v>
      </c>
      <c r="DS184" s="62">
        <f t="shared" si="125"/>
        <v>293.33333333333445</v>
      </c>
      <c r="DT184" s="62">
        <f ca="1">AVERAGE(OFFSET($DS$3,0,0,'Données projet'!$E$14+1,1))-AVERAGE(OFFSET($H$3,0,0,'Données projet'!$E$14+1,1))</f>
        <v>210.08998695869161</v>
      </c>
      <c r="DU184" s="62">
        <f t="shared" si="152"/>
        <v>207.30911916430881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>
        <f>EXP(-LN(2)/35)*EA183+(1-EXP(-LN(2)/35))/(LN(2)/35)*DW184*DX184*VLOOKUP('Données projet'!$B$14,Paramètres!$A$1:$I$89,3,0)*0.475*44/12</f>
        <v>2.3116601147322856E-2</v>
      </c>
      <c r="EB184" s="23">
        <f>EXP(-LN(2)/25)*EB183+(1-EXP(-LN(2)/25))/(LN(2)/25)*Calculateur!DW184*Calculateur!DY184*VLOOKUP('Données projet'!$B$14,Paramètres!$A$1:$I$89,3,0)*0.475*44/12</f>
        <v>0</v>
      </c>
      <c r="EC184" s="23">
        <f>EXP(-LN(2)/2)*EC183+(1-EXP(-LN(2)/2))/(LN(2)/2)*DW184*DZ184*VLOOKUP('Données projet'!$B$14,Paramètres!$A$1:$I$89,3,0)*0.475*44/12</f>
        <v>0</v>
      </c>
      <c r="ED184" s="24">
        <f t="shared" si="178"/>
        <v>2.3116601147322856E-2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5.6843418860808015E-14</v>
      </c>
      <c r="EK184" s="18">
        <f>EJ184*VLOOKUP('Données projet'!$B$15,Paramètres!$A$1:$I$89,3,0)*VLOOKUP('Données projet'!$B$15,Paramètres!$A$1:$I$89,5,0)</f>
        <v>4.4337866711430253E-14</v>
      </c>
      <c r="EL184" s="14">
        <f t="shared" si="179"/>
        <v>7.3222115536967035E-13</v>
      </c>
      <c r="EM184" s="22">
        <f t="shared" si="180"/>
        <v>1.3525069634579169E-12</v>
      </c>
      <c r="EN184" s="62">
        <f t="shared" si="128"/>
        <v>293.33333333333468</v>
      </c>
      <c r="EO184" s="62">
        <f ca="1">AVERAGE(OFFSET($EN$3,0,0,'Données projet'!$E$15+1,1))-AVERAGE(OFFSET($H$3,0,0,'Données projet'!$E$15+1,1))</f>
        <v>288.82868507674738</v>
      </c>
      <c r="EP184" s="62">
        <f t="shared" si="154"/>
        <v>283.48738729114024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>
        <f>EXP(-LN(2)/35)*EV183+(1-EXP(-LN(2)/35))/(LN(2)/35)*ER184*ES184*VLOOKUP('Données projet'!$B$15,Paramètres!$A$1:$I$89,3,0)*0.475*44/12</f>
        <v>9.1152846137639854E-2</v>
      </c>
      <c r="EW184" s="23">
        <f>EXP(-LN(2)/25)*EW183+(1-EXP(-LN(2)/25))/(LN(2)/25)*Calculateur!ER184*Calculateur!ET184*VLOOKUP('Données projet'!$B$15,Paramètres!$A$1:$I$89,3,0)*0.475*44/12</f>
        <v>0</v>
      </c>
      <c r="EX184" s="23">
        <f>EXP(-LN(2)/2)*EX183+(1-EXP(-LN(2)/2))/(LN(2)/2)*ER184*EU184*VLOOKUP('Données projet'!$B$15,Paramètres!$A$1:$I$89,3,0)*0.475*44/12</f>
        <v>0</v>
      </c>
      <c r="EY184" s="24">
        <f t="shared" si="181"/>
        <v>9.1152846137639854E-2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3.4106051316484809E-13</v>
      </c>
      <c r="O185" s="14">
        <f>N185*VLOOKUP('Données projet'!$B$9,Paramètres!$A$1:$I$89,3,0)*VLOOKUP('Données projet'!$B$9,Paramètres!$A$1:$I$89,5,0)</f>
        <v>1.5961632016114892E-13</v>
      </c>
      <c r="P185" s="14">
        <f t="shared" si="141"/>
        <v>2.2708641912150958E-12</v>
      </c>
      <c r="Q185" s="22">
        <f t="shared" si="162"/>
        <v>4.2330868906469593E-12</v>
      </c>
      <c r="R185" s="62">
        <f t="shared" si="109"/>
        <v>293.33333333333752</v>
      </c>
      <c r="S185" s="62">
        <f ca="1">AVERAGE(OFFSET($R$3,0,0,'Données projet'!$E$9+1,1))-AVERAGE(OFFSET($H$3,0,0,'Données projet'!$E$9+1,1))</f>
        <v>317.54276561627643</v>
      </c>
      <c r="T185" s="62">
        <f t="shared" si="142"/>
        <v>238.92443174298893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-1.1368683772161603E-13</v>
      </c>
      <c r="AJ185" s="14">
        <f>AI185*VLOOKUP('Données projet'!$B$10,Paramètres!$A$1:$I$89,3,0)*VLOOKUP('Données projet'!$B$10,Paramètres!$A$1:$I$89,5,0)</f>
        <v>-9.9316821433603781E-14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327.826081588335</v>
      </c>
      <c r="AO185" s="62">
        <f t="shared" si="144"/>
        <v>348.84706693879735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0.30287235876317409</v>
      </c>
      <c r="AV185" s="23">
        <f>EXP(-LN(2)/25)*AV184+(1-EXP(-LN(2)/25))/(LN(2)/25)*Calculateur!AQ185*Calculateur!AS185*VLOOKUP('Données projet'!$B$10,Paramètres!$A$1:$I$89,3,0)*0.475*44/12</f>
        <v>0.20280358547605931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0.50567594423923334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>
        <f>BD185*VLOOKUP('Données projet'!$B$11,Paramètres!$A$1:$I$89,3,0)*VLOOKUP('Données projet'!$B$11,Paramètres!$A$1:$I$89,5,0)</f>
        <v>0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487.04124684635974</v>
      </c>
      <c r="BJ185" s="62">
        <f t="shared" si="146"/>
        <v>306.61893266146666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0.13301826567301567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0.13301826567301567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>
        <f>BY185*VLOOKUP('Données projet'!$B$12,Paramètres!$A$1:$I$89,3,0)*VLOOKUP('Données projet'!$B$12,Paramètres!$A$1:$I$89,5,0)</f>
        <v>0</v>
      </c>
      <c r="CA185" s="14" t="e">
        <f t="shared" si="170"/>
        <v>#NUM!</v>
      </c>
      <c r="CB185" s="22" t="e">
        <f t="shared" si="171"/>
        <v>#NUM!</v>
      </c>
      <c r="CC185" s="62" t="e">
        <f t="shared" si="119"/>
        <v>#NUM!</v>
      </c>
      <c r="CD185" s="62">
        <f ca="1">AVERAGE(OFFSET($CC$3,0,0,'Données projet'!$E$12+1,1))-AVERAGE(OFFSET($H$3,0,0,'Données projet'!$E$12+1,1))</f>
        <v>439.06700232017681</v>
      </c>
      <c r="CE185" s="62">
        <f t="shared" si="148"/>
        <v>278.21741231699929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0.11869322167746009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0.11869322167746009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317.99999999999972</v>
      </c>
      <c r="CU185" s="18">
        <f>CT185*VLOOKUP('Données projet'!$B$13,Paramètres!$A$1:$I$89,3,0)*VLOOKUP('Données projet'!$B$13,Paramètres!$A$1:$I$89,5,0)</f>
        <v>233.1575999999998</v>
      </c>
      <c r="CV185" s="14">
        <f t="shared" si="173"/>
        <v>56.964885721091697</v>
      </c>
      <c r="CW185" s="22">
        <f t="shared" si="174"/>
        <v>505.29666263090093</v>
      </c>
      <c r="CX185" s="62">
        <f t="shared" si="122"/>
        <v>798.62999596423424</v>
      </c>
      <c r="CY185" s="62">
        <f ca="1">AVERAGE(OFFSET($CX$3,0,0,'Données projet'!$E$13+1,1))-AVERAGE(OFFSET($H$3,0,0,'Données projet'!$E$13+1,1))</f>
        <v>327.81662150328646</v>
      </c>
      <c r="CZ185" s="62">
        <f t="shared" si="150"/>
        <v>320.24200483294322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9.8627318410392739E-2</v>
      </c>
      <c r="DG185" s="23">
        <f>EXP(-LN(2)/25)*DG184+(1-EXP(-LN(2)/25))/(LN(2)/25)*Calculateur!DB185*Calculateur!DD185*VLOOKUP('Données projet'!$B$13,Paramètres!$A$1:$I$89,3,0)*0.475*44/12</f>
        <v>0</v>
      </c>
      <c r="DH185" s="23">
        <f>EXP(-LN(2)/2)*DH184+(1-EXP(-LN(2)/2))/(LN(2)/2)*DB185*DE185*VLOOKUP('Données projet'!$B$13,Paramètres!$A$1:$I$89,3,0)*0.475*44/12</f>
        <v>0</v>
      </c>
      <c r="DI185" s="24">
        <f t="shared" si="175"/>
        <v>9.8627318410392739E-2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5.6843418860808015E-14</v>
      </c>
      <c r="DP185" s="18">
        <f>DO185*VLOOKUP('Données projet'!$B$14,Paramètres!$A$1:$I$89,3,0)*VLOOKUP('Données projet'!$B$14,Paramètres!$A$1:$I$89,5,0)</f>
        <v>3.7243808037601412E-14</v>
      </c>
      <c r="DQ185" s="14">
        <f t="shared" si="176"/>
        <v>6.2767589361185393E-13</v>
      </c>
      <c r="DR185" s="22">
        <f t="shared" si="177"/>
        <v>1.1580684803728015E-12</v>
      </c>
      <c r="DS185" s="62">
        <f t="shared" si="125"/>
        <v>293.33333333333445</v>
      </c>
      <c r="DT185" s="62">
        <f ca="1">AVERAGE(OFFSET($DS$3,0,0,'Données projet'!$E$14+1,1))-AVERAGE(OFFSET($H$3,0,0,'Données projet'!$E$14+1,1))</f>
        <v>210.08998695869161</v>
      </c>
      <c r="DU185" s="62">
        <f t="shared" si="152"/>
        <v>207.30911916430881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>
        <f>EXP(-LN(2)/35)*EA184+(1-EXP(-LN(2)/35))/(LN(2)/35)*DW185*DX185*VLOOKUP('Données projet'!$B$14,Paramètres!$A$1:$I$89,3,0)*0.475*44/12</f>
        <v>2.2663298698558321E-2</v>
      </c>
      <c r="EB185" s="23">
        <f>EXP(-LN(2)/25)*EB184+(1-EXP(-LN(2)/25))/(LN(2)/25)*Calculateur!DW185*Calculateur!DY185*VLOOKUP('Données projet'!$B$14,Paramètres!$A$1:$I$89,3,0)*0.475*44/12</f>
        <v>0</v>
      </c>
      <c r="EC185" s="23">
        <f>EXP(-LN(2)/2)*EC184+(1-EXP(-LN(2)/2))/(LN(2)/2)*DW185*DZ185*VLOOKUP('Données projet'!$B$14,Paramètres!$A$1:$I$89,3,0)*0.475*44/12</f>
        <v>0</v>
      </c>
      <c r="ED185" s="24">
        <f t="shared" si="178"/>
        <v>2.2663298698558321E-2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5.6843418860808015E-14</v>
      </c>
      <c r="EK185" s="18">
        <f>EJ185*VLOOKUP('Données projet'!$B$15,Paramètres!$A$1:$I$89,3,0)*VLOOKUP('Données projet'!$B$15,Paramètres!$A$1:$I$89,5,0)</f>
        <v>4.4337866711430253E-14</v>
      </c>
      <c r="EL185" s="14">
        <f t="shared" si="179"/>
        <v>7.3222115536967035E-13</v>
      </c>
      <c r="EM185" s="22">
        <f t="shared" si="180"/>
        <v>1.3525069634579169E-12</v>
      </c>
      <c r="EN185" s="62">
        <f t="shared" si="128"/>
        <v>293.33333333333468</v>
      </c>
      <c r="EO185" s="62">
        <f ca="1">AVERAGE(OFFSET($EN$3,0,0,'Données projet'!$E$15+1,1))-AVERAGE(OFFSET($H$3,0,0,'Données projet'!$E$15+1,1))</f>
        <v>288.82868507674738</v>
      </c>
      <c r="EP185" s="62">
        <f t="shared" si="154"/>
        <v>283.48738729114024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>
        <f>EXP(-LN(2)/35)*EV184+(1-EXP(-LN(2)/35))/(LN(2)/35)*ER185*ES185*VLOOKUP('Données projet'!$B$15,Paramètres!$A$1:$I$89,3,0)*0.475*44/12</f>
        <v>8.9365394422627059E-2</v>
      </c>
      <c r="EW185" s="23">
        <f>EXP(-LN(2)/25)*EW184+(1-EXP(-LN(2)/25))/(LN(2)/25)*Calculateur!ER185*Calculateur!ET185*VLOOKUP('Données projet'!$B$15,Paramètres!$A$1:$I$89,3,0)*0.475*44/12</f>
        <v>0</v>
      </c>
      <c r="EX185" s="23">
        <f>EXP(-LN(2)/2)*EX184+(1-EXP(-LN(2)/2))/(LN(2)/2)*ER185*EU185*VLOOKUP('Données projet'!$B$15,Paramètres!$A$1:$I$89,3,0)*0.475*44/12</f>
        <v>0</v>
      </c>
      <c r="EY185" s="24">
        <f t="shared" si="181"/>
        <v>8.9365394422627059E-2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3.4106051316484809E-13</v>
      </c>
      <c r="O186" s="14">
        <f>N186*VLOOKUP('Données projet'!$B$9,Paramètres!$A$1:$I$89,3,0)*VLOOKUP('Données projet'!$B$9,Paramètres!$A$1:$I$89,5,0)</f>
        <v>1.5961632016114892E-13</v>
      </c>
      <c r="P186" s="14">
        <f t="shared" si="141"/>
        <v>2.2708641912150958E-12</v>
      </c>
      <c r="Q186" s="22">
        <f t="shared" si="162"/>
        <v>4.2330868906469593E-12</v>
      </c>
      <c r="R186" s="62">
        <f t="shared" si="109"/>
        <v>293.33333333333752</v>
      </c>
      <c r="S186" s="62">
        <f ca="1">AVERAGE(OFFSET($R$3,0,0,'Données projet'!$E$9+1,1))-AVERAGE(OFFSET($H$3,0,0,'Données projet'!$E$9+1,1))</f>
        <v>317.54276561627643</v>
      </c>
      <c r="T186" s="62">
        <f t="shared" si="142"/>
        <v>238.92443174298893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-1.1368683772161603E-13</v>
      </c>
      <c r="AJ186" s="14">
        <f>AI186*VLOOKUP('Données projet'!$B$10,Paramètres!$A$1:$I$89,3,0)*VLOOKUP('Données projet'!$B$10,Paramètres!$A$1:$I$89,5,0)</f>
        <v>-9.9316821433603781E-14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327.826081588335</v>
      </c>
      <c r="AO186" s="62">
        <f t="shared" si="144"/>
        <v>348.84706693879735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0.29693321654172611</v>
      </c>
      <c r="AV186" s="23">
        <f>EXP(-LN(2)/25)*AV185+(1-EXP(-LN(2)/25))/(LN(2)/25)*Calculateur!AQ186*Calculateur!AS186*VLOOKUP('Données projet'!$B$10,Paramètres!$A$1:$I$89,3,0)*0.475*44/12</f>
        <v>0.19725791076623941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0.49419112730796555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>
        <f>BD186*VLOOKUP('Données projet'!$B$11,Paramètres!$A$1:$I$89,3,0)*VLOOKUP('Données projet'!$B$11,Paramètres!$A$1:$I$89,5,0)</f>
        <v>0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487.04124684635974</v>
      </c>
      <c r="BJ186" s="62">
        <f t="shared" si="146"/>
        <v>306.61893266146666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0.13040985861629867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0.13040985861629867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>
        <f>BY186*VLOOKUP('Données projet'!$B$12,Paramètres!$A$1:$I$89,3,0)*VLOOKUP('Données projet'!$B$12,Paramètres!$A$1:$I$89,5,0)</f>
        <v>0</v>
      </c>
      <c r="CA186" s="14" t="e">
        <f t="shared" si="170"/>
        <v>#NUM!</v>
      </c>
      <c r="CB186" s="22" t="e">
        <f t="shared" si="171"/>
        <v>#NUM!</v>
      </c>
      <c r="CC186" s="62" t="e">
        <f t="shared" si="119"/>
        <v>#NUM!</v>
      </c>
      <c r="CD186" s="62">
        <f ca="1">AVERAGE(OFFSET($CC$3,0,0,'Données projet'!$E$12+1,1))-AVERAGE(OFFSET($H$3,0,0,'Données projet'!$E$12+1,1))</f>
        <v>439.06700232017681</v>
      </c>
      <c r="CE186" s="62">
        <f t="shared" si="148"/>
        <v>278.21741231699929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0.11636571999608183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0.11636571999608183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317.99999999999972</v>
      </c>
      <c r="CU186" s="18">
        <f>CT186*VLOOKUP('Données projet'!$B$13,Paramètres!$A$1:$I$89,3,0)*VLOOKUP('Données projet'!$B$13,Paramètres!$A$1:$I$89,5,0)</f>
        <v>233.1575999999998</v>
      </c>
      <c r="CV186" s="14">
        <f t="shared" si="173"/>
        <v>56.964885721091697</v>
      </c>
      <c r="CW186" s="22">
        <f t="shared" si="174"/>
        <v>505.29666263090093</v>
      </c>
      <c r="CX186" s="62">
        <f t="shared" si="122"/>
        <v>798.62999596423424</v>
      </c>
      <c r="CY186" s="62">
        <f ca="1">AVERAGE(OFFSET($CX$3,0,0,'Données projet'!$E$13+1,1))-AVERAGE(OFFSET($H$3,0,0,'Données projet'!$E$13+1,1))</f>
        <v>327.81662150328646</v>
      </c>
      <c r="CZ186" s="62">
        <f t="shared" si="150"/>
        <v>320.24200483294322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9.6693296853089181E-2</v>
      </c>
      <c r="DG186" s="23">
        <f>EXP(-LN(2)/25)*DG185+(1-EXP(-LN(2)/25))/(LN(2)/25)*Calculateur!DB186*Calculateur!DD186*VLOOKUP('Données projet'!$B$13,Paramètres!$A$1:$I$89,3,0)*0.475*44/12</f>
        <v>0</v>
      </c>
      <c r="DH186" s="23">
        <f>EXP(-LN(2)/2)*DH185+(1-EXP(-LN(2)/2))/(LN(2)/2)*DB186*DE186*VLOOKUP('Données projet'!$B$13,Paramètres!$A$1:$I$89,3,0)*0.475*44/12</f>
        <v>0</v>
      </c>
      <c r="DI186" s="24">
        <f t="shared" si="175"/>
        <v>9.6693296853089181E-2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5.6843418860808015E-14</v>
      </c>
      <c r="DP186" s="18">
        <f>DO186*VLOOKUP('Données projet'!$B$14,Paramètres!$A$1:$I$89,3,0)*VLOOKUP('Données projet'!$B$14,Paramètres!$A$1:$I$89,5,0)</f>
        <v>3.7243808037601412E-14</v>
      </c>
      <c r="DQ186" s="14">
        <f t="shared" si="176"/>
        <v>6.2767589361185393E-13</v>
      </c>
      <c r="DR186" s="22">
        <f t="shared" si="177"/>
        <v>1.1580684803728015E-12</v>
      </c>
      <c r="DS186" s="62">
        <f t="shared" si="125"/>
        <v>293.33333333333445</v>
      </c>
      <c r="DT186" s="62">
        <f ca="1">AVERAGE(OFFSET($DS$3,0,0,'Données projet'!$E$14+1,1))-AVERAGE(OFFSET($H$3,0,0,'Données projet'!$E$14+1,1))</f>
        <v>210.08998695869161</v>
      </c>
      <c r="DU186" s="62">
        <f t="shared" si="152"/>
        <v>207.30911916430881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>
        <f>EXP(-LN(2)/35)*EA185+(1-EXP(-LN(2)/35))/(LN(2)/35)*DW186*DX186*VLOOKUP('Données projet'!$B$14,Paramètres!$A$1:$I$89,3,0)*0.475*44/12</f>
        <v>2.2218885234326864E-2</v>
      </c>
      <c r="EB186" s="23">
        <f>EXP(-LN(2)/25)*EB185+(1-EXP(-LN(2)/25))/(LN(2)/25)*Calculateur!DW186*Calculateur!DY186*VLOOKUP('Données projet'!$B$14,Paramètres!$A$1:$I$89,3,0)*0.475*44/12</f>
        <v>0</v>
      </c>
      <c r="EC186" s="23">
        <f>EXP(-LN(2)/2)*EC185+(1-EXP(-LN(2)/2))/(LN(2)/2)*DW186*DZ186*VLOOKUP('Données projet'!$B$14,Paramètres!$A$1:$I$89,3,0)*0.475*44/12</f>
        <v>0</v>
      </c>
      <c r="ED186" s="24">
        <f t="shared" si="178"/>
        <v>2.2218885234326864E-2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5.6843418860808015E-14</v>
      </c>
      <c r="EK186" s="18">
        <f>EJ186*VLOOKUP('Données projet'!$B$15,Paramètres!$A$1:$I$89,3,0)*VLOOKUP('Données projet'!$B$15,Paramètres!$A$1:$I$89,5,0)</f>
        <v>4.4337866711430253E-14</v>
      </c>
      <c r="EL186" s="14">
        <f t="shared" si="179"/>
        <v>7.3222115536967035E-13</v>
      </c>
      <c r="EM186" s="22">
        <f t="shared" si="180"/>
        <v>1.3525069634579169E-12</v>
      </c>
      <c r="EN186" s="62">
        <f t="shared" si="128"/>
        <v>293.33333333333468</v>
      </c>
      <c r="EO186" s="62">
        <f ca="1">AVERAGE(OFFSET($EN$3,0,0,'Données projet'!$E$15+1,1))-AVERAGE(OFFSET($H$3,0,0,'Données projet'!$E$15+1,1))</f>
        <v>288.82868507674738</v>
      </c>
      <c r="EP186" s="62">
        <f t="shared" si="154"/>
        <v>283.48738729114024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>
        <f>EXP(-LN(2)/35)*EV185+(1-EXP(-LN(2)/35))/(LN(2)/35)*ER186*ES186*VLOOKUP('Données projet'!$B$15,Paramètres!$A$1:$I$89,3,0)*0.475*44/12</f>
        <v>8.7612993545507764E-2</v>
      </c>
      <c r="EW186" s="23">
        <f>EXP(-LN(2)/25)*EW185+(1-EXP(-LN(2)/25))/(LN(2)/25)*Calculateur!ER186*Calculateur!ET186*VLOOKUP('Données projet'!$B$15,Paramètres!$A$1:$I$89,3,0)*0.475*44/12</f>
        <v>0</v>
      </c>
      <c r="EX186" s="23">
        <f>EXP(-LN(2)/2)*EX185+(1-EXP(-LN(2)/2))/(LN(2)/2)*ER186*EU186*VLOOKUP('Données projet'!$B$15,Paramètres!$A$1:$I$89,3,0)*0.475*44/12</f>
        <v>0</v>
      </c>
      <c r="EY186" s="24">
        <f t="shared" si="181"/>
        <v>8.7612993545507764E-2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3.4106051316484809E-13</v>
      </c>
      <c r="O187" s="14">
        <f>N187*VLOOKUP('Données projet'!$B$9,Paramètres!$A$1:$I$89,3,0)*VLOOKUP('Données projet'!$B$9,Paramètres!$A$1:$I$89,5,0)</f>
        <v>1.5961632016114892E-13</v>
      </c>
      <c r="P187" s="14">
        <f t="shared" si="141"/>
        <v>2.2708641912150958E-12</v>
      </c>
      <c r="Q187" s="22">
        <f t="shared" si="162"/>
        <v>4.2330868906469593E-12</v>
      </c>
      <c r="R187" s="62">
        <f t="shared" si="109"/>
        <v>293.33333333333752</v>
      </c>
      <c r="S187" s="62">
        <f ca="1">AVERAGE(OFFSET($R$3,0,0,'Données projet'!$E$9+1,1))-AVERAGE(OFFSET($H$3,0,0,'Données projet'!$E$9+1,1))</f>
        <v>317.54276561627643</v>
      </c>
      <c r="T187" s="62">
        <f t="shared" si="142"/>
        <v>238.92443174298893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-1.1368683772161603E-13</v>
      </c>
      <c r="AJ187" s="14">
        <f>AI187*VLOOKUP('Données projet'!$B$10,Paramètres!$A$1:$I$89,3,0)*VLOOKUP('Données projet'!$B$10,Paramètres!$A$1:$I$89,5,0)</f>
        <v>-9.9316821433603781E-14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327.826081588335</v>
      </c>
      <c r="AO187" s="62">
        <f t="shared" si="144"/>
        <v>348.84706693879735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0.2911105372767217</v>
      </c>
      <c r="AV187" s="23">
        <f>EXP(-LN(2)/25)*AV186+(1-EXP(-LN(2)/25))/(LN(2)/25)*Calculateur!AQ187*Calculateur!AS187*VLOOKUP('Données projet'!$B$10,Paramètres!$A$1:$I$89,3,0)*0.475*44/12</f>
        <v>0.19186388282299391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0.48297442009971558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>
        <f>BD187*VLOOKUP('Données projet'!$B$11,Paramètres!$A$1:$I$89,3,0)*VLOOKUP('Données projet'!$B$11,Paramètres!$A$1:$I$89,5,0)</f>
        <v>0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487.04124684635974</v>
      </c>
      <c r="BJ187" s="62">
        <f t="shared" si="146"/>
        <v>306.61893266146666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0.12785260083099267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0.12785260083099267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>
        <f>BY187*VLOOKUP('Données projet'!$B$12,Paramètres!$A$1:$I$89,3,0)*VLOOKUP('Données projet'!$B$12,Paramètres!$A$1:$I$89,5,0)</f>
        <v>0</v>
      </c>
      <c r="CA187" s="14" t="e">
        <f t="shared" si="170"/>
        <v>#NUM!</v>
      </c>
      <c r="CB187" s="22" t="e">
        <f t="shared" si="171"/>
        <v>#NUM!</v>
      </c>
      <c r="CC187" s="62" t="e">
        <f t="shared" si="119"/>
        <v>#NUM!</v>
      </c>
      <c r="CD187" s="62">
        <f ca="1">AVERAGE(OFFSET($CC$3,0,0,'Données projet'!$E$12+1,1))-AVERAGE(OFFSET($H$3,0,0,'Données projet'!$E$12+1,1))</f>
        <v>439.06700232017681</v>
      </c>
      <c r="CE187" s="62">
        <f t="shared" si="148"/>
        <v>278.21741231699929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0.11408385920303957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0.11408385920303957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317.99999999999972</v>
      </c>
      <c r="CU187" s="18">
        <f>CT187*VLOOKUP('Données projet'!$B$13,Paramètres!$A$1:$I$89,3,0)*VLOOKUP('Données projet'!$B$13,Paramètres!$A$1:$I$89,5,0)</f>
        <v>233.1575999999998</v>
      </c>
      <c r="CV187" s="14">
        <f t="shared" si="173"/>
        <v>56.964885721091697</v>
      </c>
      <c r="CW187" s="22">
        <f t="shared" si="174"/>
        <v>505.29666263090093</v>
      </c>
      <c r="CX187" s="62">
        <f t="shared" si="122"/>
        <v>798.62999596423424</v>
      </c>
      <c r="CY187" s="62">
        <f ca="1">AVERAGE(OFFSET($CX$3,0,0,'Données projet'!$E$13+1,1))-AVERAGE(OFFSET($H$3,0,0,'Données projet'!$E$13+1,1))</f>
        <v>327.81662150328646</v>
      </c>
      <c r="CZ187" s="62">
        <f t="shared" si="150"/>
        <v>320.24200483294322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9.4797200278887675E-2</v>
      </c>
      <c r="DG187" s="23">
        <f>EXP(-LN(2)/25)*DG186+(1-EXP(-LN(2)/25))/(LN(2)/25)*Calculateur!DB187*Calculateur!DD187*VLOOKUP('Données projet'!$B$13,Paramètres!$A$1:$I$89,3,0)*0.475*44/12</f>
        <v>0</v>
      </c>
      <c r="DH187" s="23">
        <f>EXP(-LN(2)/2)*DH186+(1-EXP(-LN(2)/2))/(LN(2)/2)*DB187*DE187*VLOOKUP('Données projet'!$B$13,Paramètres!$A$1:$I$89,3,0)*0.475*44/12</f>
        <v>0</v>
      </c>
      <c r="DI187" s="24">
        <f t="shared" si="175"/>
        <v>9.4797200278887675E-2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5.6843418860808015E-14</v>
      </c>
      <c r="DP187" s="18">
        <f>DO187*VLOOKUP('Données projet'!$B$14,Paramètres!$A$1:$I$89,3,0)*VLOOKUP('Données projet'!$B$14,Paramètres!$A$1:$I$89,5,0)</f>
        <v>3.7243808037601412E-14</v>
      </c>
      <c r="DQ187" s="14">
        <f t="shared" si="176"/>
        <v>6.2767589361185393E-13</v>
      </c>
      <c r="DR187" s="22">
        <f t="shared" si="177"/>
        <v>1.1580684803728015E-12</v>
      </c>
      <c r="DS187" s="62">
        <f t="shared" si="125"/>
        <v>293.33333333333445</v>
      </c>
      <c r="DT187" s="62">
        <f ca="1">AVERAGE(OFFSET($DS$3,0,0,'Données projet'!$E$14+1,1))-AVERAGE(OFFSET($H$3,0,0,'Données projet'!$E$14+1,1))</f>
        <v>210.08998695869161</v>
      </c>
      <c r="DU187" s="62">
        <f t="shared" si="152"/>
        <v>207.30911916430881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>
        <f>EXP(-LN(2)/35)*EA186+(1-EXP(-LN(2)/35))/(LN(2)/35)*DW187*DX187*VLOOKUP('Données projet'!$B$14,Paramètres!$A$1:$I$89,3,0)*0.475*44/12</f>
        <v>2.1783186447063542E-2</v>
      </c>
      <c r="EB187" s="23">
        <f>EXP(-LN(2)/25)*EB186+(1-EXP(-LN(2)/25))/(LN(2)/25)*Calculateur!DW187*Calculateur!DY187*VLOOKUP('Données projet'!$B$14,Paramètres!$A$1:$I$89,3,0)*0.475*44/12</f>
        <v>0</v>
      </c>
      <c r="EC187" s="23">
        <f>EXP(-LN(2)/2)*EC186+(1-EXP(-LN(2)/2))/(LN(2)/2)*DW187*DZ187*VLOOKUP('Données projet'!$B$14,Paramètres!$A$1:$I$89,3,0)*0.475*44/12</f>
        <v>0</v>
      </c>
      <c r="ED187" s="24">
        <f t="shared" si="178"/>
        <v>2.1783186447063542E-2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5.6843418860808015E-14</v>
      </c>
      <c r="EK187" s="18">
        <f>EJ187*VLOOKUP('Données projet'!$B$15,Paramètres!$A$1:$I$89,3,0)*VLOOKUP('Données projet'!$B$15,Paramètres!$A$1:$I$89,5,0)</f>
        <v>4.4337866711430253E-14</v>
      </c>
      <c r="EL187" s="14">
        <f t="shared" si="179"/>
        <v>7.3222115536967035E-13</v>
      </c>
      <c r="EM187" s="22">
        <f t="shared" si="180"/>
        <v>1.3525069634579169E-12</v>
      </c>
      <c r="EN187" s="62">
        <f t="shared" si="128"/>
        <v>293.33333333333468</v>
      </c>
      <c r="EO187" s="62">
        <f ca="1">AVERAGE(OFFSET($EN$3,0,0,'Données projet'!$E$15+1,1))-AVERAGE(OFFSET($H$3,0,0,'Données projet'!$E$15+1,1))</f>
        <v>288.82868507674738</v>
      </c>
      <c r="EP187" s="62">
        <f t="shared" si="154"/>
        <v>283.48738729114024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>
        <f>EXP(-LN(2)/35)*EV186+(1-EXP(-LN(2)/35))/(LN(2)/35)*ER187*ES187*VLOOKUP('Données projet'!$B$15,Paramètres!$A$1:$I$89,3,0)*0.475*44/12</f>
        <v>8.5894956180729787E-2</v>
      </c>
      <c r="EW187" s="23">
        <f>EXP(-LN(2)/25)*EW186+(1-EXP(-LN(2)/25))/(LN(2)/25)*Calculateur!ER187*Calculateur!ET187*VLOOKUP('Données projet'!$B$15,Paramètres!$A$1:$I$89,3,0)*0.475*44/12</f>
        <v>0</v>
      </c>
      <c r="EX187" s="23">
        <f>EXP(-LN(2)/2)*EX186+(1-EXP(-LN(2)/2))/(LN(2)/2)*ER187*EU187*VLOOKUP('Données projet'!$B$15,Paramètres!$A$1:$I$89,3,0)*0.475*44/12</f>
        <v>0</v>
      </c>
      <c r="EY187" s="24">
        <f t="shared" si="181"/>
        <v>8.5894956180729787E-2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3.4106051316484809E-13</v>
      </c>
      <c r="O188" s="14">
        <f>N188*VLOOKUP('Données projet'!$B$9,Paramètres!$A$1:$I$89,3,0)*VLOOKUP('Données projet'!$B$9,Paramètres!$A$1:$I$89,5,0)</f>
        <v>1.5961632016114892E-13</v>
      </c>
      <c r="P188" s="14">
        <f t="shared" si="141"/>
        <v>2.2708641912150958E-12</v>
      </c>
      <c r="Q188" s="22">
        <f t="shared" si="162"/>
        <v>4.2330868906469593E-12</v>
      </c>
      <c r="R188" s="62">
        <f t="shared" si="109"/>
        <v>293.33333333333752</v>
      </c>
      <c r="S188" s="62">
        <f ca="1">AVERAGE(OFFSET($R$3,0,0,'Données projet'!$E$9+1,1))-AVERAGE(OFFSET($H$3,0,0,'Données projet'!$E$9+1,1))</f>
        <v>317.54276561627643</v>
      </c>
      <c r="T188" s="62">
        <f t="shared" si="142"/>
        <v>238.92443174298893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-1.1368683772161603E-13</v>
      </c>
      <c r="AJ188" s="14">
        <f>AI188*VLOOKUP('Données projet'!$B$10,Paramètres!$A$1:$I$89,3,0)*VLOOKUP('Données projet'!$B$10,Paramètres!$A$1:$I$89,5,0)</f>
        <v>-9.9316821433603781E-14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327.826081588335</v>
      </c>
      <c r="AO188" s="62">
        <f t="shared" si="144"/>
        <v>348.84706693879735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0.28540203720062035</v>
      </c>
      <c r="AV188" s="23">
        <f>EXP(-LN(2)/25)*AV187+(1-EXP(-LN(2)/25))/(LN(2)/25)*Calculateur!AQ188*Calculateur!AS188*VLOOKUP('Données projet'!$B$10,Paramètres!$A$1:$I$89,3,0)*0.475*44/12</f>
        <v>0.18661735485751604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0.47201939205813637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>
        <f>BD188*VLOOKUP('Données projet'!$B$11,Paramètres!$A$1:$I$89,3,0)*VLOOKUP('Données projet'!$B$11,Paramètres!$A$1:$I$89,5,0)</f>
        <v>0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487.04124684635974</v>
      </c>
      <c r="BJ188" s="62">
        <f t="shared" si="146"/>
        <v>306.61893266146666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0.1253454893110833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0.1253454893110833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>
        <f>BY188*VLOOKUP('Données projet'!$B$12,Paramètres!$A$1:$I$89,3,0)*VLOOKUP('Données projet'!$B$12,Paramètres!$A$1:$I$89,5,0)</f>
        <v>0</v>
      </c>
      <c r="CA188" s="14" t="e">
        <f t="shared" si="170"/>
        <v>#NUM!</v>
      </c>
      <c r="CB188" s="22" t="e">
        <f t="shared" si="171"/>
        <v>#NUM!</v>
      </c>
      <c r="CC188" s="62" t="e">
        <f t="shared" si="119"/>
        <v>#NUM!</v>
      </c>
      <c r="CD188" s="62">
        <f ca="1">AVERAGE(OFFSET($CC$3,0,0,'Données projet'!$E$12+1,1))-AVERAGE(OFFSET($H$3,0,0,'Données projet'!$E$12+1,1))</f>
        <v>439.06700232017681</v>
      </c>
      <c r="CE188" s="62">
        <f t="shared" si="148"/>
        <v>278.21741231699929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0.1118467443083512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0.1118467443083512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317.99999999999972</v>
      </c>
      <c r="CU188" s="18">
        <f>CT188*VLOOKUP('Données projet'!$B$13,Paramètres!$A$1:$I$89,3,0)*VLOOKUP('Données projet'!$B$13,Paramètres!$A$1:$I$89,5,0)</f>
        <v>233.1575999999998</v>
      </c>
      <c r="CV188" s="14">
        <f t="shared" si="173"/>
        <v>56.964885721091697</v>
      </c>
      <c r="CW188" s="22">
        <f t="shared" si="174"/>
        <v>505.29666263090093</v>
      </c>
      <c r="CX188" s="62">
        <f t="shared" si="122"/>
        <v>798.62999596423424</v>
      </c>
      <c r="CY188" s="62">
        <f ca="1">AVERAGE(OFFSET($CX$3,0,0,'Données projet'!$E$13+1,1))-AVERAGE(OFFSET($H$3,0,0,'Données projet'!$E$13+1,1))</f>
        <v>327.81662150328646</v>
      </c>
      <c r="CZ188" s="62">
        <f t="shared" si="150"/>
        <v>320.24200483294322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9.2938285002001547E-2</v>
      </c>
      <c r="DG188" s="23">
        <f>EXP(-LN(2)/25)*DG187+(1-EXP(-LN(2)/25))/(LN(2)/25)*Calculateur!DB188*Calculateur!DD188*VLOOKUP('Données projet'!$B$13,Paramètres!$A$1:$I$89,3,0)*0.475*44/12</f>
        <v>0</v>
      </c>
      <c r="DH188" s="23">
        <f>EXP(-LN(2)/2)*DH187+(1-EXP(-LN(2)/2))/(LN(2)/2)*DB188*DE188*VLOOKUP('Données projet'!$B$13,Paramètres!$A$1:$I$89,3,0)*0.475*44/12</f>
        <v>0</v>
      </c>
      <c r="DI188" s="24">
        <f t="shared" si="175"/>
        <v>9.2938285002001547E-2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5.6843418860808015E-14</v>
      </c>
      <c r="DP188" s="18">
        <f>DO188*VLOOKUP('Données projet'!$B$14,Paramètres!$A$1:$I$89,3,0)*VLOOKUP('Données projet'!$B$14,Paramètres!$A$1:$I$89,5,0)</f>
        <v>3.7243808037601412E-14</v>
      </c>
      <c r="DQ188" s="14">
        <f t="shared" si="176"/>
        <v>6.2767589361185393E-13</v>
      </c>
      <c r="DR188" s="22">
        <f t="shared" si="177"/>
        <v>1.1580684803728015E-12</v>
      </c>
      <c r="DS188" s="62">
        <f t="shared" si="125"/>
        <v>293.33333333333445</v>
      </c>
      <c r="DT188" s="62">
        <f ca="1">AVERAGE(OFFSET($DS$3,0,0,'Données projet'!$E$14+1,1))-AVERAGE(OFFSET($H$3,0,0,'Données projet'!$E$14+1,1))</f>
        <v>210.08998695869161</v>
      </c>
      <c r="DU188" s="62">
        <f t="shared" si="152"/>
        <v>207.30911916430881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>
        <f>EXP(-LN(2)/35)*EA187+(1-EXP(-LN(2)/35))/(LN(2)/35)*DW188*DX188*VLOOKUP('Données projet'!$B$14,Paramètres!$A$1:$I$89,3,0)*0.475*44/12</f>
        <v>2.1356031447268432E-2</v>
      </c>
      <c r="EB188" s="23">
        <f>EXP(-LN(2)/25)*EB187+(1-EXP(-LN(2)/25))/(LN(2)/25)*Calculateur!DW188*Calculateur!DY188*VLOOKUP('Données projet'!$B$14,Paramètres!$A$1:$I$89,3,0)*0.475*44/12</f>
        <v>0</v>
      </c>
      <c r="EC188" s="23">
        <f>EXP(-LN(2)/2)*EC187+(1-EXP(-LN(2)/2))/(LN(2)/2)*DW188*DZ188*VLOOKUP('Données projet'!$B$14,Paramètres!$A$1:$I$89,3,0)*0.475*44/12</f>
        <v>0</v>
      </c>
      <c r="ED188" s="24">
        <f t="shared" si="178"/>
        <v>2.1356031447268432E-2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5.6843418860808015E-14</v>
      </c>
      <c r="EK188" s="18">
        <f>EJ188*VLOOKUP('Données projet'!$B$15,Paramètres!$A$1:$I$89,3,0)*VLOOKUP('Données projet'!$B$15,Paramètres!$A$1:$I$89,5,0)</f>
        <v>4.4337866711430253E-14</v>
      </c>
      <c r="EL188" s="14">
        <f t="shared" si="179"/>
        <v>7.3222115536967035E-13</v>
      </c>
      <c r="EM188" s="22">
        <f t="shared" si="180"/>
        <v>1.3525069634579169E-12</v>
      </c>
      <c r="EN188" s="62">
        <f t="shared" si="128"/>
        <v>293.33333333333468</v>
      </c>
      <c r="EO188" s="62">
        <f ca="1">AVERAGE(OFFSET($EN$3,0,0,'Données projet'!$E$15+1,1))-AVERAGE(OFFSET($H$3,0,0,'Données projet'!$E$15+1,1))</f>
        <v>288.82868507674738</v>
      </c>
      <c r="EP188" s="62">
        <f t="shared" si="154"/>
        <v>283.48738729114024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>
        <f>EXP(-LN(2)/35)*EV187+(1-EXP(-LN(2)/35))/(LN(2)/35)*ER188*ES188*VLOOKUP('Données projet'!$B$15,Paramètres!$A$1:$I$89,3,0)*0.475*44/12</f>
        <v>8.4210608480775787E-2</v>
      </c>
      <c r="EW188" s="23">
        <f>EXP(-LN(2)/25)*EW187+(1-EXP(-LN(2)/25))/(LN(2)/25)*Calculateur!ER188*Calculateur!ET188*VLOOKUP('Données projet'!$B$15,Paramètres!$A$1:$I$89,3,0)*0.475*44/12</f>
        <v>0</v>
      </c>
      <c r="EX188" s="23">
        <f>EXP(-LN(2)/2)*EX187+(1-EXP(-LN(2)/2))/(LN(2)/2)*ER188*EU188*VLOOKUP('Données projet'!$B$15,Paramètres!$A$1:$I$89,3,0)*0.475*44/12</f>
        <v>0</v>
      </c>
      <c r="EY188" s="24">
        <f t="shared" si="181"/>
        <v>8.4210608480775787E-2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3.4106051316484809E-13</v>
      </c>
      <c r="O189" s="14">
        <f>N189*VLOOKUP('Données projet'!$B$9,Paramètres!$A$1:$I$89,3,0)*VLOOKUP('Données projet'!$B$9,Paramètres!$A$1:$I$89,5,0)</f>
        <v>1.5961632016114892E-13</v>
      </c>
      <c r="P189" s="14">
        <f t="shared" si="141"/>
        <v>2.2708641912150958E-12</v>
      </c>
      <c r="Q189" s="22">
        <f t="shared" si="162"/>
        <v>4.2330868906469593E-12</v>
      </c>
      <c r="R189" s="62">
        <f t="shared" si="109"/>
        <v>293.33333333333752</v>
      </c>
      <c r="S189" s="62">
        <f ca="1">AVERAGE(OFFSET($R$3,0,0,'Données projet'!$E$9+1,1))-AVERAGE(OFFSET($H$3,0,0,'Données projet'!$E$9+1,1))</f>
        <v>317.54276561627643</v>
      </c>
      <c r="T189" s="62">
        <f t="shared" si="142"/>
        <v>238.92443174298893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-1.1368683772161603E-13</v>
      </c>
      <c r="AJ189" s="14">
        <f>AI189*VLOOKUP('Données projet'!$B$10,Paramètres!$A$1:$I$89,3,0)*VLOOKUP('Données projet'!$B$10,Paramètres!$A$1:$I$89,5,0)</f>
        <v>-9.9316821433603781E-14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327.826081588335</v>
      </c>
      <c r="AO189" s="62">
        <f t="shared" si="144"/>
        <v>348.84706693879735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0.2798054773291701</v>
      </c>
      <c r="AV189" s="23">
        <f>EXP(-LN(2)/25)*AV188+(1-EXP(-LN(2)/25))/(LN(2)/25)*Calculateur!AQ189*Calculateur!AS189*VLOOKUP('Données projet'!$B$10,Paramètres!$A$1:$I$89,3,0)*0.475*44/12</f>
        <v>0.1815142934751571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0.46131977080432718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>
        <f>BD189*VLOOKUP('Données projet'!$B$11,Paramètres!$A$1:$I$89,3,0)*VLOOKUP('Données projet'!$B$11,Paramètres!$A$1:$I$89,5,0)</f>
        <v>0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487.04124684635974</v>
      </c>
      <c r="BJ189" s="62">
        <f t="shared" si="146"/>
        <v>306.61893266146666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0.12288754071889231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0.12288754071889231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>
        <f>BY189*VLOOKUP('Données projet'!$B$12,Paramètres!$A$1:$I$89,3,0)*VLOOKUP('Données projet'!$B$12,Paramètres!$A$1:$I$89,5,0)</f>
        <v>0</v>
      </c>
      <c r="CA189" s="14" t="e">
        <f t="shared" si="170"/>
        <v>#NUM!</v>
      </c>
      <c r="CB189" s="22" t="e">
        <f t="shared" si="171"/>
        <v>#NUM!</v>
      </c>
      <c r="CC189" s="62" t="e">
        <f t="shared" si="119"/>
        <v>#NUM!</v>
      </c>
      <c r="CD189" s="62">
        <f ca="1">AVERAGE(OFFSET($CC$3,0,0,'Données projet'!$E$12+1,1))-AVERAGE(OFFSET($H$3,0,0,'Données projet'!$E$12+1,1))</f>
        <v>439.06700232017681</v>
      </c>
      <c r="CE189" s="62">
        <f t="shared" si="148"/>
        <v>278.21741231699929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0.10965349787224232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0.10965349787224232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317.99999999999972</v>
      </c>
      <c r="CU189" s="18">
        <f>CT189*VLOOKUP('Données projet'!$B$13,Paramètres!$A$1:$I$89,3,0)*VLOOKUP('Données projet'!$B$13,Paramètres!$A$1:$I$89,5,0)</f>
        <v>233.1575999999998</v>
      </c>
      <c r="CV189" s="14">
        <f t="shared" si="173"/>
        <v>56.964885721091697</v>
      </c>
      <c r="CW189" s="22">
        <f t="shared" si="174"/>
        <v>505.29666263090093</v>
      </c>
      <c r="CX189" s="62">
        <f t="shared" si="122"/>
        <v>798.62999596423424</v>
      </c>
      <c r="CY189" s="62">
        <f ca="1">AVERAGE(OFFSET($CX$3,0,0,'Données projet'!$E$13+1,1))-AVERAGE(OFFSET($H$3,0,0,'Données projet'!$E$13+1,1))</f>
        <v>327.81662150328646</v>
      </c>
      <c r="CZ189" s="62">
        <f t="shared" si="150"/>
        <v>320.24200483294322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9.1115821919868792E-2</v>
      </c>
      <c r="DG189" s="23">
        <f>EXP(-LN(2)/25)*DG188+(1-EXP(-LN(2)/25))/(LN(2)/25)*Calculateur!DB189*Calculateur!DD189*VLOOKUP('Données projet'!$B$13,Paramètres!$A$1:$I$89,3,0)*0.475*44/12</f>
        <v>0</v>
      </c>
      <c r="DH189" s="23">
        <f>EXP(-LN(2)/2)*DH188+(1-EXP(-LN(2)/2))/(LN(2)/2)*DB189*DE189*VLOOKUP('Données projet'!$B$13,Paramètres!$A$1:$I$89,3,0)*0.475*44/12</f>
        <v>0</v>
      </c>
      <c r="DI189" s="24">
        <f t="shared" si="175"/>
        <v>9.1115821919868792E-2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5.6843418860808015E-14</v>
      </c>
      <c r="DP189" s="18">
        <f>DO189*VLOOKUP('Données projet'!$B$14,Paramètres!$A$1:$I$89,3,0)*VLOOKUP('Données projet'!$B$14,Paramètres!$A$1:$I$89,5,0)</f>
        <v>3.7243808037601412E-14</v>
      </c>
      <c r="DQ189" s="14">
        <f t="shared" si="176"/>
        <v>6.2767589361185393E-13</v>
      </c>
      <c r="DR189" s="22">
        <f t="shared" si="177"/>
        <v>1.1580684803728015E-12</v>
      </c>
      <c r="DS189" s="62">
        <f t="shared" si="125"/>
        <v>293.33333333333445</v>
      </c>
      <c r="DT189" s="62">
        <f ca="1">AVERAGE(OFFSET($DS$3,0,0,'Données projet'!$E$14+1,1))-AVERAGE(OFFSET($H$3,0,0,'Données projet'!$E$14+1,1))</f>
        <v>210.08998695869161</v>
      </c>
      <c r="DU189" s="62">
        <f t="shared" si="152"/>
        <v>207.30911916430881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>
        <f>EXP(-LN(2)/35)*EA188+(1-EXP(-LN(2)/35))/(LN(2)/35)*DW189*DX189*VLOOKUP('Données projet'!$B$14,Paramètres!$A$1:$I$89,3,0)*0.475*44/12</f>
        <v>2.0937252696480481E-2</v>
      </c>
      <c r="EB189" s="23">
        <f>EXP(-LN(2)/25)*EB188+(1-EXP(-LN(2)/25))/(LN(2)/25)*Calculateur!DW189*Calculateur!DY189*VLOOKUP('Données projet'!$B$14,Paramètres!$A$1:$I$89,3,0)*0.475*44/12</f>
        <v>0</v>
      </c>
      <c r="EC189" s="23">
        <f>EXP(-LN(2)/2)*EC188+(1-EXP(-LN(2)/2))/(LN(2)/2)*DW189*DZ189*VLOOKUP('Données projet'!$B$14,Paramètres!$A$1:$I$89,3,0)*0.475*44/12</f>
        <v>0</v>
      </c>
      <c r="ED189" s="24">
        <f t="shared" si="178"/>
        <v>2.0937252696480481E-2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5.6843418860808015E-14</v>
      </c>
      <c r="EK189" s="18">
        <f>EJ189*VLOOKUP('Données projet'!$B$15,Paramètres!$A$1:$I$89,3,0)*VLOOKUP('Données projet'!$B$15,Paramètres!$A$1:$I$89,5,0)</f>
        <v>4.4337866711430253E-14</v>
      </c>
      <c r="EL189" s="14">
        <f t="shared" si="179"/>
        <v>7.3222115536967035E-13</v>
      </c>
      <c r="EM189" s="22">
        <f t="shared" si="180"/>
        <v>1.3525069634579169E-12</v>
      </c>
      <c r="EN189" s="62">
        <f t="shared" si="128"/>
        <v>293.33333333333468</v>
      </c>
      <c r="EO189" s="62">
        <f ca="1">AVERAGE(OFFSET($EN$3,0,0,'Données projet'!$E$15+1,1))-AVERAGE(OFFSET($H$3,0,0,'Données projet'!$E$15+1,1))</f>
        <v>288.82868507674738</v>
      </c>
      <c r="EP189" s="62">
        <f t="shared" si="154"/>
        <v>283.48738729114024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>
        <f>EXP(-LN(2)/35)*EV188+(1-EXP(-LN(2)/35))/(LN(2)/35)*ER189*ES189*VLOOKUP('Données projet'!$B$15,Paramètres!$A$1:$I$89,3,0)*0.475*44/12</f>
        <v>8.2559289811867234E-2</v>
      </c>
      <c r="EW189" s="23">
        <f>EXP(-LN(2)/25)*EW188+(1-EXP(-LN(2)/25))/(LN(2)/25)*Calculateur!ER189*Calculateur!ET189*VLOOKUP('Données projet'!$B$15,Paramètres!$A$1:$I$89,3,0)*0.475*44/12</f>
        <v>0</v>
      </c>
      <c r="EX189" s="23">
        <f>EXP(-LN(2)/2)*EX188+(1-EXP(-LN(2)/2))/(LN(2)/2)*ER189*EU189*VLOOKUP('Données projet'!$B$15,Paramètres!$A$1:$I$89,3,0)*0.475*44/12</f>
        <v>0</v>
      </c>
      <c r="EY189" s="24">
        <f t="shared" si="181"/>
        <v>8.2559289811867234E-2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3.4106051316484809E-13</v>
      </c>
      <c r="O190" s="14">
        <f>N190*VLOOKUP('Données projet'!$B$9,Paramètres!$A$1:$I$89,3,0)*VLOOKUP('Données projet'!$B$9,Paramètres!$A$1:$I$89,5,0)</f>
        <v>1.5961632016114892E-13</v>
      </c>
      <c r="P190" s="14">
        <f t="shared" si="141"/>
        <v>2.2708641912150958E-12</v>
      </c>
      <c r="Q190" s="22">
        <f t="shared" si="162"/>
        <v>4.2330868906469593E-12</v>
      </c>
      <c r="R190" s="62">
        <f t="shared" si="109"/>
        <v>293.33333333333752</v>
      </c>
      <c r="S190" s="62">
        <f ca="1">AVERAGE(OFFSET($R$3,0,0,'Données projet'!$E$9+1,1))-AVERAGE(OFFSET($H$3,0,0,'Données projet'!$E$9+1,1))</f>
        <v>317.54276561627643</v>
      </c>
      <c r="T190" s="62">
        <f t="shared" si="142"/>
        <v>238.92443174298893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-1.1368683772161603E-13</v>
      </c>
      <c r="AJ190" s="14">
        <f>AI190*VLOOKUP('Données projet'!$B$10,Paramètres!$A$1:$I$89,3,0)*VLOOKUP('Données projet'!$B$10,Paramètres!$A$1:$I$89,5,0)</f>
        <v>-9.9316821433603781E-14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327.826081588335</v>
      </c>
      <c r="AO190" s="62">
        <f t="shared" si="144"/>
        <v>348.84706693879735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0.27431866258323451</v>
      </c>
      <c r="AV190" s="23">
        <f>EXP(-LN(2)/25)*AV189+(1-EXP(-LN(2)/25))/(LN(2)/25)*Calculateur!AQ190*Calculateur!AS190*VLOOKUP('Données projet'!$B$10,Paramètres!$A$1:$I$89,3,0)*0.475*44/12</f>
        <v>0.17655077557465709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0.4508694381578916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>
        <f>BD190*VLOOKUP('Données projet'!$B$11,Paramètres!$A$1:$I$89,3,0)*VLOOKUP('Données projet'!$B$11,Paramètres!$A$1:$I$89,5,0)</f>
        <v>0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487.04124684635974</v>
      </c>
      <c r="BJ190" s="62">
        <f t="shared" si="146"/>
        <v>306.61893266146666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0.12047779099939358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0.12047779099939358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>
        <f>BY190*VLOOKUP('Données projet'!$B$12,Paramètres!$A$1:$I$89,3,0)*VLOOKUP('Données projet'!$B$12,Paramètres!$A$1:$I$89,5,0)</f>
        <v>0</v>
      </c>
      <c r="CA190" s="14" t="e">
        <f t="shared" si="170"/>
        <v>#NUM!</v>
      </c>
      <c r="CB190" s="22" t="e">
        <f t="shared" si="171"/>
        <v>#NUM!</v>
      </c>
      <c r="CC190" s="62" t="e">
        <f t="shared" si="119"/>
        <v>#NUM!</v>
      </c>
      <c r="CD190" s="62">
        <f ca="1">AVERAGE(OFFSET($CC$3,0,0,'Données projet'!$E$12+1,1))-AVERAGE(OFFSET($H$3,0,0,'Données projet'!$E$12+1,1))</f>
        <v>439.06700232017681</v>
      </c>
      <c r="CE190" s="62">
        <f t="shared" si="148"/>
        <v>278.21741231699929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0.1075032596609973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0.1075032596609973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317.99999999999972</v>
      </c>
      <c r="CU190" s="18">
        <f>CT190*VLOOKUP('Données projet'!$B$13,Paramètres!$A$1:$I$89,3,0)*VLOOKUP('Données projet'!$B$13,Paramètres!$A$1:$I$89,5,0)</f>
        <v>233.1575999999998</v>
      </c>
      <c r="CV190" s="14">
        <f t="shared" si="173"/>
        <v>56.964885721091697</v>
      </c>
      <c r="CW190" s="22">
        <f t="shared" si="174"/>
        <v>505.29666263090093</v>
      </c>
      <c r="CX190" s="62">
        <f t="shared" si="122"/>
        <v>798.62999596423424</v>
      </c>
      <c r="CY190" s="62">
        <f ca="1">AVERAGE(OFFSET($CX$3,0,0,'Données projet'!$E$13+1,1))-AVERAGE(OFFSET($H$3,0,0,'Données projet'!$E$13+1,1))</f>
        <v>327.81662150328646</v>
      </c>
      <c r="CZ190" s="62">
        <f t="shared" si="150"/>
        <v>320.24200483294322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8.9329096227183949E-2</v>
      </c>
      <c r="DG190" s="23">
        <f>EXP(-LN(2)/25)*DG189+(1-EXP(-LN(2)/25))/(LN(2)/25)*Calculateur!DB190*Calculateur!DD190*VLOOKUP('Données projet'!$B$13,Paramètres!$A$1:$I$89,3,0)*0.475*44/12</f>
        <v>0</v>
      </c>
      <c r="DH190" s="23">
        <f>EXP(-LN(2)/2)*DH189+(1-EXP(-LN(2)/2))/(LN(2)/2)*DB190*DE190*VLOOKUP('Données projet'!$B$13,Paramètres!$A$1:$I$89,3,0)*0.475*44/12</f>
        <v>0</v>
      </c>
      <c r="DI190" s="24">
        <f t="shared" si="175"/>
        <v>8.9329096227183949E-2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5.6843418860808015E-14</v>
      </c>
      <c r="DP190" s="18">
        <f>DO190*VLOOKUP('Données projet'!$B$14,Paramètres!$A$1:$I$89,3,0)*VLOOKUP('Données projet'!$B$14,Paramètres!$A$1:$I$89,5,0)</f>
        <v>3.7243808037601412E-14</v>
      </c>
      <c r="DQ190" s="14">
        <f t="shared" si="176"/>
        <v>6.2767589361185393E-13</v>
      </c>
      <c r="DR190" s="22">
        <f t="shared" si="177"/>
        <v>1.1580684803728015E-12</v>
      </c>
      <c r="DS190" s="62">
        <f t="shared" si="125"/>
        <v>293.33333333333445</v>
      </c>
      <c r="DT190" s="62">
        <f ca="1">AVERAGE(OFFSET($DS$3,0,0,'Données projet'!$E$14+1,1))-AVERAGE(OFFSET($H$3,0,0,'Données projet'!$E$14+1,1))</f>
        <v>210.08998695869161</v>
      </c>
      <c r="DU190" s="62">
        <f t="shared" si="152"/>
        <v>207.30911916430881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>
        <f>EXP(-LN(2)/35)*EA189+(1-EXP(-LN(2)/35))/(LN(2)/35)*DW190*DX190*VLOOKUP('Données projet'!$B$14,Paramètres!$A$1:$I$89,3,0)*0.475*44/12</f>
        <v>2.0526685941565665E-2</v>
      </c>
      <c r="EB190" s="23">
        <f>EXP(-LN(2)/25)*EB189+(1-EXP(-LN(2)/25))/(LN(2)/25)*Calculateur!DW190*Calculateur!DY190*VLOOKUP('Données projet'!$B$14,Paramètres!$A$1:$I$89,3,0)*0.475*44/12</f>
        <v>0</v>
      </c>
      <c r="EC190" s="23">
        <f>EXP(-LN(2)/2)*EC189+(1-EXP(-LN(2)/2))/(LN(2)/2)*DW190*DZ190*VLOOKUP('Données projet'!$B$14,Paramètres!$A$1:$I$89,3,0)*0.475*44/12</f>
        <v>0</v>
      </c>
      <c r="ED190" s="24">
        <f t="shared" si="178"/>
        <v>2.0526685941565665E-2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5.6843418860808015E-14</v>
      </c>
      <c r="EK190" s="18">
        <f>EJ190*VLOOKUP('Données projet'!$B$15,Paramètres!$A$1:$I$89,3,0)*VLOOKUP('Données projet'!$B$15,Paramètres!$A$1:$I$89,5,0)</f>
        <v>4.4337866711430253E-14</v>
      </c>
      <c r="EL190" s="14">
        <f t="shared" si="179"/>
        <v>7.3222115536967035E-13</v>
      </c>
      <c r="EM190" s="22">
        <f t="shared" si="180"/>
        <v>1.3525069634579169E-12</v>
      </c>
      <c r="EN190" s="62">
        <f t="shared" si="128"/>
        <v>293.33333333333468</v>
      </c>
      <c r="EO190" s="62">
        <f ca="1">AVERAGE(OFFSET($EN$3,0,0,'Données projet'!$E$15+1,1))-AVERAGE(OFFSET($H$3,0,0,'Données projet'!$E$15+1,1))</f>
        <v>288.82868507674738</v>
      </c>
      <c r="EP190" s="62">
        <f t="shared" si="154"/>
        <v>283.48738729114024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>
        <f>EXP(-LN(2)/35)*EV189+(1-EXP(-LN(2)/35))/(LN(2)/35)*ER190*ES190*VLOOKUP('Données projet'!$B$15,Paramètres!$A$1:$I$89,3,0)*0.475*44/12</f>
        <v>8.0940352494851042E-2</v>
      </c>
      <c r="EW190" s="23">
        <f>EXP(-LN(2)/25)*EW189+(1-EXP(-LN(2)/25))/(LN(2)/25)*Calculateur!ER190*Calculateur!ET190*VLOOKUP('Données projet'!$B$15,Paramètres!$A$1:$I$89,3,0)*0.475*44/12</f>
        <v>0</v>
      </c>
      <c r="EX190" s="23">
        <f>EXP(-LN(2)/2)*EX189+(1-EXP(-LN(2)/2))/(LN(2)/2)*ER190*EU190*VLOOKUP('Données projet'!$B$15,Paramètres!$A$1:$I$89,3,0)*0.475*44/12</f>
        <v>0</v>
      </c>
      <c r="EY190" s="24">
        <f t="shared" si="181"/>
        <v>8.0940352494851042E-2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3.4106051316484809E-13</v>
      </c>
      <c r="O191" s="14">
        <f>N191*VLOOKUP('Données projet'!$B$9,Paramètres!$A$1:$I$89,3,0)*VLOOKUP('Données projet'!$B$9,Paramètres!$A$1:$I$89,5,0)</f>
        <v>1.5961632016114892E-13</v>
      </c>
      <c r="P191" s="14">
        <f t="shared" si="141"/>
        <v>2.2708641912150958E-12</v>
      </c>
      <c r="Q191" s="22">
        <f t="shared" si="162"/>
        <v>4.2330868906469593E-12</v>
      </c>
      <c r="R191" s="62">
        <f t="shared" si="109"/>
        <v>293.33333333333752</v>
      </c>
      <c r="S191" s="62">
        <f ca="1">AVERAGE(OFFSET($R$3,0,0,'Données projet'!$E$9+1,1))-AVERAGE(OFFSET($H$3,0,0,'Données projet'!$E$9+1,1))</f>
        <v>317.54276561627643</v>
      </c>
      <c r="T191" s="62">
        <f t="shared" si="142"/>
        <v>238.92443174298893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-1.1368683772161603E-13</v>
      </c>
      <c r="AJ191" s="14">
        <f>AI191*VLOOKUP('Données projet'!$B$10,Paramètres!$A$1:$I$89,3,0)*VLOOKUP('Données projet'!$B$10,Paramètres!$A$1:$I$89,5,0)</f>
        <v>-9.9316821433603781E-14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327.826081588335</v>
      </c>
      <c r="AO191" s="62">
        <f t="shared" si="144"/>
        <v>348.84706693879735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0.26893944092784017</v>
      </c>
      <c r="AV191" s="23">
        <f>EXP(-LN(2)/25)*AV190+(1-EXP(-LN(2)/25))/(LN(2)/25)*Calculateur!AQ191*Calculateur!AS191*VLOOKUP('Données projet'!$B$10,Paramètres!$A$1:$I$89,3,0)*0.475*44/12</f>
        <v>0.17172298533216632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0.44066242626000651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>
        <f>BD191*VLOOKUP('Données projet'!$B$11,Paramètres!$A$1:$I$89,3,0)*VLOOKUP('Données projet'!$B$11,Paramètres!$A$1:$I$89,5,0)</f>
        <v>0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487.04124684635974</v>
      </c>
      <c r="BJ191" s="62">
        <f t="shared" si="146"/>
        <v>306.61893266146666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0.11811529500209202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0.11811529500209202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>
        <f>BY191*VLOOKUP('Données projet'!$B$12,Paramètres!$A$1:$I$89,3,0)*VLOOKUP('Données projet'!$B$12,Paramètres!$A$1:$I$89,5,0)</f>
        <v>0</v>
      </c>
      <c r="CA191" s="14" t="e">
        <f t="shared" si="170"/>
        <v>#NUM!</v>
      </c>
      <c r="CB191" s="22" t="e">
        <f t="shared" si="171"/>
        <v>#NUM!</v>
      </c>
      <c r="CC191" s="62" t="e">
        <f t="shared" si="119"/>
        <v>#NUM!</v>
      </c>
      <c r="CD191" s="62">
        <f ca="1">AVERAGE(OFFSET($CC$3,0,0,'Données projet'!$E$12+1,1))-AVERAGE(OFFSET($H$3,0,0,'Données projet'!$E$12+1,1))</f>
        <v>439.06700232017681</v>
      </c>
      <c r="CE191" s="62">
        <f t="shared" si="148"/>
        <v>278.21741231699929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0.10539518630955899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0.10539518630955899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317.99999999999972</v>
      </c>
      <c r="CU191" s="18">
        <f>CT191*VLOOKUP('Données projet'!$B$13,Paramètres!$A$1:$I$89,3,0)*VLOOKUP('Données projet'!$B$13,Paramètres!$A$1:$I$89,5,0)</f>
        <v>233.1575999999998</v>
      </c>
      <c r="CV191" s="14">
        <f t="shared" si="173"/>
        <v>56.964885721091697</v>
      </c>
      <c r="CW191" s="22">
        <f t="shared" si="174"/>
        <v>505.29666263090093</v>
      </c>
      <c r="CX191" s="62">
        <f t="shared" si="122"/>
        <v>798.62999596423424</v>
      </c>
      <c r="CY191" s="62">
        <f ca="1">AVERAGE(OFFSET($CX$3,0,0,'Données projet'!$E$13+1,1))-AVERAGE(OFFSET($H$3,0,0,'Données projet'!$E$13+1,1))</f>
        <v>327.81662150328646</v>
      </c>
      <c r="CZ191" s="62">
        <f t="shared" si="150"/>
        <v>320.24200483294322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8.7577407135537591E-2</v>
      </c>
      <c r="DG191" s="23">
        <f>EXP(-LN(2)/25)*DG190+(1-EXP(-LN(2)/25))/(LN(2)/25)*Calculateur!DB191*Calculateur!DD191*VLOOKUP('Données projet'!$B$13,Paramètres!$A$1:$I$89,3,0)*0.475*44/12</f>
        <v>0</v>
      </c>
      <c r="DH191" s="23">
        <f>EXP(-LN(2)/2)*DH190+(1-EXP(-LN(2)/2))/(LN(2)/2)*DB191*DE191*VLOOKUP('Données projet'!$B$13,Paramètres!$A$1:$I$89,3,0)*0.475*44/12</f>
        <v>0</v>
      </c>
      <c r="DI191" s="24">
        <f t="shared" si="175"/>
        <v>8.7577407135537591E-2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5.6843418860808015E-14</v>
      </c>
      <c r="DP191" s="18">
        <f>DO191*VLOOKUP('Données projet'!$B$14,Paramètres!$A$1:$I$89,3,0)*VLOOKUP('Données projet'!$B$14,Paramètres!$A$1:$I$89,5,0)</f>
        <v>3.7243808037601412E-14</v>
      </c>
      <c r="DQ191" s="14">
        <f t="shared" si="176"/>
        <v>6.2767589361185393E-13</v>
      </c>
      <c r="DR191" s="22">
        <f t="shared" si="177"/>
        <v>1.1580684803728015E-12</v>
      </c>
      <c r="DS191" s="62">
        <f t="shared" si="125"/>
        <v>293.33333333333445</v>
      </c>
      <c r="DT191" s="62">
        <f ca="1">AVERAGE(OFFSET($DS$3,0,0,'Données projet'!$E$14+1,1))-AVERAGE(OFFSET($H$3,0,0,'Données projet'!$E$14+1,1))</f>
        <v>210.08998695869161</v>
      </c>
      <c r="DU191" s="62">
        <f t="shared" si="152"/>
        <v>207.30911916430881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>
        <f>EXP(-LN(2)/35)*EA190+(1-EXP(-LN(2)/35))/(LN(2)/35)*DW191*DX191*VLOOKUP('Données projet'!$B$14,Paramètres!$A$1:$I$89,3,0)*0.475*44/12</f>
        <v>2.0124170150293736E-2</v>
      </c>
      <c r="EB191" s="23">
        <f>EXP(-LN(2)/25)*EB190+(1-EXP(-LN(2)/25))/(LN(2)/25)*Calculateur!DW191*Calculateur!DY191*VLOOKUP('Données projet'!$B$14,Paramètres!$A$1:$I$89,3,0)*0.475*44/12</f>
        <v>0</v>
      </c>
      <c r="EC191" s="23">
        <f>EXP(-LN(2)/2)*EC190+(1-EXP(-LN(2)/2))/(LN(2)/2)*DW191*DZ191*VLOOKUP('Données projet'!$B$14,Paramètres!$A$1:$I$89,3,0)*0.475*44/12</f>
        <v>0</v>
      </c>
      <c r="ED191" s="24">
        <f t="shared" si="178"/>
        <v>2.0124170150293736E-2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5.6843418860808015E-14</v>
      </c>
      <c r="EK191" s="18">
        <f>EJ191*VLOOKUP('Données projet'!$B$15,Paramètres!$A$1:$I$89,3,0)*VLOOKUP('Données projet'!$B$15,Paramètres!$A$1:$I$89,5,0)</f>
        <v>4.4337866711430253E-14</v>
      </c>
      <c r="EL191" s="14">
        <f t="shared" si="179"/>
        <v>7.3222115536967035E-13</v>
      </c>
      <c r="EM191" s="22">
        <f t="shared" si="180"/>
        <v>1.3525069634579169E-12</v>
      </c>
      <c r="EN191" s="62">
        <f t="shared" si="128"/>
        <v>293.33333333333468</v>
      </c>
      <c r="EO191" s="62">
        <f ca="1">AVERAGE(OFFSET($EN$3,0,0,'Données projet'!$E$15+1,1))-AVERAGE(OFFSET($H$3,0,0,'Données projet'!$E$15+1,1))</f>
        <v>288.82868507674738</v>
      </c>
      <c r="EP191" s="62">
        <f t="shared" si="154"/>
        <v>283.48738729114024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>
        <f>EXP(-LN(2)/35)*EV190+(1-EXP(-LN(2)/35))/(LN(2)/35)*ER191*ES191*VLOOKUP('Données projet'!$B$15,Paramètres!$A$1:$I$89,3,0)*0.475*44/12</f>
        <v>7.9353161551167284E-2</v>
      </c>
      <c r="EW191" s="23">
        <f>EXP(-LN(2)/25)*EW190+(1-EXP(-LN(2)/25))/(LN(2)/25)*Calculateur!ER191*Calculateur!ET191*VLOOKUP('Données projet'!$B$15,Paramètres!$A$1:$I$89,3,0)*0.475*44/12</f>
        <v>0</v>
      </c>
      <c r="EX191" s="23">
        <f>EXP(-LN(2)/2)*EX190+(1-EXP(-LN(2)/2))/(LN(2)/2)*ER191*EU191*VLOOKUP('Données projet'!$B$15,Paramètres!$A$1:$I$89,3,0)*0.475*44/12</f>
        <v>0</v>
      </c>
      <c r="EY191" s="24">
        <f t="shared" si="181"/>
        <v>7.9353161551167284E-2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3.4106051316484809E-13</v>
      </c>
      <c r="O192" s="14">
        <f>N192*VLOOKUP('Données projet'!$B$9,Paramètres!$A$1:$I$89,3,0)*VLOOKUP('Données projet'!$B$9,Paramètres!$A$1:$I$89,5,0)</f>
        <v>1.5961632016114892E-13</v>
      </c>
      <c r="P192" s="14">
        <f t="shared" si="141"/>
        <v>2.2708641912150958E-12</v>
      </c>
      <c r="Q192" s="22">
        <f t="shared" si="162"/>
        <v>4.2330868906469593E-12</v>
      </c>
      <c r="R192" s="62">
        <f t="shared" si="109"/>
        <v>293.33333333333752</v>
      </c>
      <c r="S192" s="62">
        <f ca="1">AVERAGE(OFFSET($R$3,0,0,'Données projet'!$E$9+1,1))-AVERAGE(OFFSET($H$3,0,0,'Données projet'!$E$9+1,1))</f>
        <v>317.54276561627643</v>
      </c>
      <c r="T192" s="62">
        <f t="shared" si="142"/>
        <v>238.92443174298893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-1.1368683772161603E-13</v>
      </c>
      <c r="AJ192" s="14">
        <f>AI192*VLOOKUP('Données projet'!$B$10,Paramètres!$A$1:$I$89,3,0)*VLOOKUP('Données projet'!$B$10,Paramètres!$A$1:$I$89,5,0)</f>
        <v>-9.9316821433603781E-14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327.826081588335</v>
      </c>
      <c r="AO192" s="62">
        <f t="shared" si="144"/>
        <v>348.84706693879735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0.26366570252810689</v>
      </c>
      <c r="AV192" s="23">
        <f>EXP(-LN(2)/25)*AV191+(1-EXP(-LN(2)/25))/(LN(2)/25)*Calculateur!AQ192*Calculateur!AS192*VLOOKUP('Données projet'!$B$10,Paramètres!$A$1:$I$89,3,0)*0.475*44/12</f>
        <v>0.1670272112677389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0.43069291379584579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>
        <f>BD192*VLOOKUP('Données projet'!$B$11,Paramètres!$A$1:$I$89,3,0)*VLOOKUP('Données projet'!$B$11,Paramètres!$A$1:$I$89,5,0)</f>
        <v>0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487.04124684635974</v>
      </c>
      <c r="BJ192" s="62">
        <f t="shared" si="146"/>
        <v>306.61893266146666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0.11579912611031727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0.11579912611031727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>
        <f>BY192*VLOOKUP('Données projet'!$B$12,Paramètres!$A$1:$I$89,3,0)*VLOOKUP('Données projet'!$B$12,Paramètres!$A$1:$I$89,5,0)</f>
        <v>0</v>
      </c>
      <c r="CA192" s="14" t="e">
        <f t="shared" si="170"/>
        <v>#NUM!</v>
      </c>
      <c r="CB192" s="22" t="e">
        <f t="shared" si="171"/>
        <v>#NUM!</v>
      </c>
      <c r="CC192" s="62" t="e">
        <f t="shared" si="119"/>
        <v>#NUM!</v>
      </c>
      <c r="CD192" s="62">
        <f ca="1">AVERAGE(OFFSET($CC$3,0,0,'Données projet'!$E$12+1,1))-AVERAGE(OFFSET($H$3,0,0,'Données projet'!$E$12+1,1))</f>
        <v>439.06700232017681</v>
      </c>
      <c r="CE192" s="62">
        <f t="shared" si="148"/>
        <v>278.21741231699929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0.1033284509907446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0.1033284509907446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317.99999999999972</v>
      </c>
      <c r="CU192" s="18">
        <f>CT192*VLOOKUP('Données projet'!$B$13,Paramètres!$A$1:$I$89,3,0)*VLOOKUP('Données projet'!$B$13,Paramètres!$A$1:$I$89,5,0)</f>
        <v>233.1575999999998</v>
      </c>
      <c r="CV192" s="14">
        <f t="shared" si="173"/>
        <v>56.964885721091697</v>
      </c>
      <c r="CW192" s="22">
        <f t="shared" si="174"/>
        <v>505.29666263090093</v>
      </c>
      <c r="CX192" s="62">
        <f t="shared" si="122"/>
        <v>798.62999596423424</v>
      </c>
      <c r="CY192" s="62">
        <f ca="1">AVERAGE(OFFSET($CX$3,0,0,'Données projet'!$E$13+1,1))-AVERAGE(OFFSET($H$3,0,0,'Données projet'!$E$13+1,1))</f>
        <v>327.81662150328646</v>
      </c>
      <c r="CZ192" s="62">
        <f t="shared" si="150"/>
        <v>320.24200483294322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8.5860067598553566E-2</v>
      </c>
      <c r="DG192" s="23">
        <f>EXP(-LN(2)/25)*DG191+(1-EXP(-LN(2)/25))/(LN(2)/25)*Calculateur!DB192*Calculateur!DD192*VLOOKUP('Données projet'!$B$13,Paramètres!$A$1:$I$89,3,0)*0.475*44/12</f>
        <v>0</v>
      </c>
      <c r="DH192" s="23">
        <f>EXP(-LN(2)/2)*DH191+(1-EXP(-LN(2)/2))/(LN(2)/2)*DB192*DE192*VLOOKUP('Données projet'!$B$13,Paramètres!$A$1:$I$89,3,0)*0.475*44/12</f>
        <v>0</v>
      </c>
      <c r="DI192" s="24">
        <f t="shared" si="175"/>
        <v>8.5860067598553566E-2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5.6843418860808015E-14</v>
      </c>
      <c r="DP192" s="18">
        <f>DO192*VLOOKUP('Données projet'!$B$14,Paramètres!$A$1:$I$89,3,0)*VLOOKUP('Données projet'!$B$14,Paramètres!$A$1:$I$89,5,0)</f>
        <v>3.7243808037601412E-14</v>
      </c>
      <c r="DQ192" s="14">
        <f t="shared" si="176"/>
        <v>6.2767589361185393E-13</v>
      </c>
      <c r="DR192" s="22">
        <f t="shared" si="177"/>
        <v>1.1580684803728015E-12</v>
      </c>
      <c r="DS192" s="62">
        <f t="shared" si="125"/>
        <v>293.33333333333445</v>
      </c>
      <c r="DT192" s="62">
        <f ca="1">AVERAGE(OFFSET($DS$3,0,0,'Données projet'!$E$14+1,1))-AVERAGE(OFFSET($H$3,0,0,'Données projet'!$E$14+1,1))</f>
        <v>210.08998695869161</v>
      </c>
      <c r="DU192" s="62">
        <f t="shared" si="152"/>
        <v>207.30911916430881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>
        <f>EXP(-LN(2)/35)*EA191+(1-EXP(-LN(2)/35))/(LN(2)/35)*DW192*DX192*VLOOKUP('Données projet'!$B$14,Paramètres!$A$1:$I$89,3,0)*0.475*44/12</f>
        <v>1.9729547448178258E-2</v>
      </c>
      <c r="EB192" s="23">
        <f>EXP(-LN(2)/25)*EB191+(1-EXP(-LN(2)/25))/(LN(2)/25)*Calculateur!DW192*Calculateur!DY192*VLOOKUP('Données projet'!$B$14,Paramètres!$A$1:$I$89,3,0)*0.475*44/12</f>
        <v>0</v>
      </c>
      <c r="EC192" s="23">
        <f>EXP(-LN(2)/2)*EC191+(1-EXP(-LN(2)/2))/(LN(2)/2)*DW192*DZ192*VLOOKUP('Données projet'!$B$14,Paramètres!$A$1:$I$89,3,0)*0.475*44/12</f>
        <v>0</v>
      </c>
      <c r="ED192" s="24">
        <f t="shared" si="178"/>
        <v>1.9729547448178258E-2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5.6843418860808015E-14</v>
      </c>
      <c r="EK192" s="18">
        <f>EJ192*VLOOKUP('Données projet'!$B$15,Paramètres!$A$1:$I$89,3,0)*VLOOKUP('Données projet'!$B$15,Paramètres!$A$1:$I$89,5,0)</f>
        <v>4.4337866711430253E-14</v>
      </c>
      <c r="EL192" s="14">
        <f t="shared" si="179"/>
        <v>7.3222115536967035E-13</v>
      </c>
      <c r="EM192" s="22">
        <f t="shared" si="180"/>
        <v>1.3525069634579169E-12</v>
      </c>
      <c r="EN192" s="62">
        <f t="shared" si="128"/>
        <v>293.33333333333468</v>
      </c>
      <c r="EO192" s="62">
        <f ca="1">AVERAGE(OFFSET($EN$3,0,0,'Données projet'!$E$15+1,1))-AVERAGE(OFFSET($H$3,0,0,'Données projet'!$E$15+1,1))</f>
        <v>288.82868507674738</v>
      </c>
      <c r="EP192" s="62">
        <f t="shared" si="154"/>
        <v>283.48738729114024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>
        <f>EXP(-LN(2)/35)*EV191+(1-EXP(-LN(2)/35))/(LN(2)/35)*ER192*ES192*VLOOKUP('Données projet'!$B$15,Paramètres!$A$1:$I$89,3,0)*0.475*44/12</f>
        <v>7.7797094453798274E-2</v>
      </c>
      <c r="EW192" s="23">
        <f>EXP(-LN(2)/25)*EW191+(1-EXP(-LN(2)/25))/(LN(2)/25)*Calculateur!ER192*Calculateur!ET192*VLOOKUP('Données projet'!$B$15,Paramètres!$A$1:$I$89,3,0)*0.475*44/12</f>
        <v>0</v>
      </c>
      <c r="EX192" s="23">
        <f>EXP(-LN(2)/2)*EX191+(1-EXP(-LN(2)/2))/(LN(2)/2)*ER192*EU192*VLOOKUP('Données projet'!$B$15,Paramètres!$A$1:$I$89,3,0)*0.475*44/12</f>
        <v>0</v>
      </c>
      <c r="EY192" s="24">
        <f t="shared" si="181"/>
        <v>7.7797094453798274E-2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3.4106051316484809E-13</v>
      </c>
      <c r="O193" s="14">
        <f>N193*VLOOKUP('Données projet'!$B$9,Paramètres!$A$1:$I$89,3,0)*VLOOKUP('Données projet'!$B$9,Paramètres!$A$1:$I$89,5,0)</f>
        <v>1.5961632016114892E-13</v>
      </c>
      <c r="P193" s="14">
        <f t="shared" si="141"/>
        <v>2.2708641912150958E-12</v>
      </c>
      <c r="Q193" s="22">
        <f t="shared" si="162"/>
        <v>4.2330868906469593E-12</v>
      </c>
      <c r="R193" s="62">
        <f t="shared" si="109"/>
        <v>293.33333333333752</v>
      </c>
      <c r="S193" s="62">
        <f ca="1">AVERAGE(OFFSET($R$3,0,0,'Données projet'!$E$9+1,1))-AVERAGE(OFFSET($H$3,0,0,'Données projet'!$E$9+1,1))</f>
        <v>317.54276561627643</v>
      </c>
      <c r="T193" s="62">
        <f t="shared" si="142"/>
        <v>238.92443174298893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-1.1368683772161603E-13</v>
      </c>
      <c r="AJ193" s="14">
        <f>AI193*VLOOKUP('Données projet'!$B$10,Paramètres!$A$1:$I$89,3,0)*VLOOKUP('Données projet'!$B$10,Paramètres!$A$1:$I$89,5,0)</f>
        <v>-9.9316821433603781E-14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327.826081588335</v>
      </c>
      <c r="AO193" s="62">
        <f t="shared" si="144"/>
        <v>348.84706693879735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0.25849537892172958</v>
      </c>
      <c r="AV193" s="23">
        <f>EXP(-LN(2)/25)*AV192+(1-EXP(-LN(2)/25))/(LN(2)/25)*Calculateur!AQ193*Calculateur!AS193*VLOOKUP('Données projet'!$B$10,Paramètres!$A$1:$I$89,3,0)*0.475*44/12</f>
        <v>0.16245984339204328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0.42095522231377286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>
        <f>BD193*VLOOKUP('Données projet'!$B$11,Paramètres!$A$1:$I$89,3,0)*VLOOKUP('Données projet'!$B$11,Paramètres!$A$1:$I$89,5,0)</f>
        <v>0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487.04124684635974</v>
      </c>
      <c r="BJ193" s="62">
        <f t="shared" si="146"/>
        <v>306.61893266146666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0.11352837587778669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0.11352837587778669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>
        <f>BY193*VLOOKUP('Données projet'!$B$12,Paramètres!$A$1:$I$89,3,0)*VLOOKUP('Données projet'!$B$12,Paramètres!$A$1:$I$89,5,0)</f>
        <v>0</v>
      </c>
      <c r="CA193" s="14" t="e">
        <f t="shared" si="170"/>
        <v>#NUM!</v>
      </c>
      <c r="CB193" s="22" t="e">
        <f t="shared" si="171"/>
        <v>#NUM!</v>
      </c>
      <c r="CC193" s="62" t="e">
        <f t="shared" si="119"/>
        <v>#NUM!</v>
      </c>
      <c r="CD193" s="62">
        <f ca="1">AVERAGE(OFFSET($CC$3,0,0,'Données projet'!$E$12+1,1))-AVERAGE(OFFSET($H$3,0,0,'Données projet'!$E$12+1,1))</f>
        <v>439.06700232017681</v>
      </c>
      <c r="CE193" s="62">
        <f t="shared" si="148"/>
        <v>278.21741231699929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0.10130224309094808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0.10130224309094808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317.99999999999972</v>
      </c>
      <c r="CU193" s="18">
        <f>CT193*VLOOKUP('Données projet'!$B$13,Paramètres!$A$1:$I$89,3,0)*VLOOKUP('Données projet'!$B$13,Paramètres!$A$1:$I$89,5,0)</f>
        <v>233.1575999999998</v>
      </c>
      <c r="CV193" s="14">
        <f t="shared" si="173"/>
        <v>56.964885721091697</v>
      </c>
      <c r="CW193" s="22">
        <f t="shared" si="174"/>
        <v>505.29666263090093</v>
      </c>
      <c r="CX193" s="62">
        <f t="shared" si="122"/>
        <v>798.62999596423424</v>
      </c>
      <c r="CY193" s="62">
        <f ca="1">AVERAGE(OFFSET($CX$3,0,0,'Données projet'!$E$13+1,1))-AVERAGE(OFFSET($H$3,0,0,'Données projet'!$E$13+1,1))</f>
        <v>327.81662150328646</v>
      </c>
      <c r="CZ193" s="62">
        <f t="shared" si="150"/>
        <v>320.24200483294322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8.4176404042416109E-2</v>
      </c>
      <c r="DG193" s="23">
        <f>EXP(-LN(2)/25)*DG192+(1-EXP(-LN(2)/25))/(LN(2)/25)*Calculateur!DB193*Calculateur!DD193*VLOOKUP('Données projet'!$B$13,Paramètres!$A$1:$I$89,3,0)*0.475*44/12</f>
        <v>0</v>
      </c>
      <c r="DH193" s="23">
        <f>EXP(-LN(2)/2)*DH192+(1-EXP(-LN(2)/2))/(LN(2)/2)*DB193*DE193*VLOOKUP('Données projet'!$B$13,Paramètres!$A$1:$I$89,3,0)*0.475*44/12</f>
        <v>0</v>
      </c>
      <c r="DI193" s="24">
        <f t="shared" si="175"/>
        <v>8.4176404042416109E-2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5.6843418860808015E-14</v>
      </c>
      <c r="DP193" s="18">
        <f>DO193*VLOOKUP('Données projet'!$B$14,Paramètres!$A$1:$I$89,3,0)*VLOOKUP('Données projet'!$B$14,Paramètres!$A$1:$I$89,5,0)</f>
        <v>3.7243808037601412E-14</v>
      </c>
      <c r="DQ193" s="14">
        <f t="shared" si="176"/>
        <v>6.2767589361185393E-13</v>
      </c>
      <c r="DR193" s="22">
        <f t="shared" si="177"/>
        <v>1.1580684803728015E-12</v>
      </c>
      <c r="DS193" s="62">
        <f t="shared" si="125"/>
        <v>293.33333333333445</v>
      </c>
      <c r="DT193" s="62">
        <f ca="1">AVERAGE(OFFSET($DS$3,0,0,'Données projet'!$E$14+1,1))-AVERAGE(OFFSET($H$3,0,0,'Données projet'!$E$14+1,1))</f>
        <v>210.08998695869161</v>
      </c>
      <c r="DU193" s="62">
        <f t="shared" si="152"/>
        <v>207.30911916430881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>
        <f>EXP(-LN(2)/35)*EA192+(1-EXP(-LN(2)/35))/(LN(2)/35)*DW193*DX193*VLOOKUP('Données projet'!$B$14,Paramètres!$A$1:$I$89,3,0)*0.475*44/12</f>
        <v>1.9342663056555184E-2</v>
      </c>
      <c r="EB193" s="23">
        <f>EXP(-LN(2)/25)*EB192+(1-EXP(-LN(2)/25))/(LN(2)/25)*Calculateur!DW193*Calculateur!DY193*VLOOKUP('Données projet'!$B$14,Paramètres!$A$1:$I$89,3,0)*0.475*44/12</f>
        <v>0</v>
      </c>
      <c r="EC193" s="23">
        <f>EXP(-LN(2)/2)*EC192+(1-EXP(-LN(2)/2))/(LN(2)/2)*DW193*DZ193*VLOOKUP('Données projet'!$B$14,Paramètres!$A$1:$I$89,3,0)*0.475*44/12</f>
        <v>0</v>
      </c>
      <c r="ED193" s="24">
        <f t="shared" si="178"/>
        <v>1.9342663056555184E-2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5.6843418860808015E-14</v>
      </c>
      <c r="EK193" s="18">
        <f>EJ193*VLOOKUP('Données projet'!$B$15,Paramètres!$A$1:$I$89,3,0)*VLOOKUP('Données projet'!$B$15,Paramètres!$A$1:$I$89,5,0)</f>
        <v>4.4337866711430253E-14</v>
      </c>
      <c r="EL193" s="14">
        <f t="shared" si="179"/>
        <v>7.3222115536967035E-13</v>
      </c>
      <c r="EM193" s="22">
        <f t="shared" si="180"/>
        <v>1.3525069634579169E-12</v>
      </c>
      <c r="EN193" s="62">
        <f t="shared" si="128"/>
        <v>293.33333333333468</v>
      </c>
      <c r="EO193" s="62">
        <f ca="1">AVERAGE(OFFSET($EN$3,0,0,'Données projet'!$E$15+1,1))-AVERAGE(OFFSET($H$3,0,0,'Données projet'!$E$15+1,1))</f>
        <v>288.82868507674738</v>
      </c>
      <c r="EP193" s="62">
        <f t="shared" si="154"/>
        <v>283.48738729114024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>
        <f>EXP(-LN(2)/35)*EV192+(1-EXP(-LN(2)/35))/(LN(2)/35)*ER193*ES193*VLOOKUP('Données projet'!$B$15,Paramètres!$A$1:$I$89,3,0)*0.475*44/12</f>
        <v>7.6271540883101452E-2</v>
      </c>
      <c r="EW193" s="23">
        <f>EXP(-LN(2)/25)*EW192+(1-EXP(-LN(2)/25))/(LN(2)/25)*Calculateur!ER193*Calculateur!ET193*VLOOKUP('Données projet'!$B$15,Paramètres!$A$1:$I$89,3,0)*0.475*44/12</f>
        <v>0</v>
      </c>
      <c r="EX193" s="23">
        <f>EXP(-LN(2)/2)*EX192+(1-EXP(-LN(2)/2))/(LN(2)/2)*ER193*EU193*VLOOKUP('Données projet'!$B$15,Paramètres!$A$1:$I$89,3,0)*0.475*44/12</f>
        <v>0</v>
      </c>
      <c r="EY193" s="24">
        <f t="shared" si="181"/>
        <v>7.6271540883101452E-2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3.4106051316484809E-13</v>
      </c>
      <c r="O194" s="14">
        <f>N194*VLOOKUP('Données projet'!$B$9,Paramètres!$A$1:$I$89,3,0)*VLOOKUP('Données projet'!$B$9,Paramètres!$A$1:$I$89,5,0)</f>
        <v>1.5961632016114892E-13</v>
      </c>
      <c r="P194" s="14">
        <f t="shared" si="141"/>
        <v>2.2708641912150958E-12</v>
      </c>
      <c r="Q194" s="22">
        <f t="shared" si="162"/>
        <v>4.2330868906469593E-12</v>
      </c>
      <c r="R194" s="62">
        <f t="shared" si="109"/>
        <v>293.33333333333752</v>
      </c>
      <c r="S194" s="62">
        <f ca="1">AVERAGE(OFFSET($R$3,0,0,'Données projet'!$E$9+1,1))-AVERAGE(OFFSET($H$3,0,0,'Données projet'!$E$9+1,1))</f>
        <v>317.54276561627643</v>
      </c>
      <c r="T194" s="62">
        <f t="shared" si="142"/>
        <v>238.92443174298893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-1.1368683772161603E-13</v>
      </c>
      <c r="AJ194" s="14">
        <f>AI194*VLOOKUP('Données projet'!$B$10,Paramètres!$A$1:$I$89,3,0)*VLOOKUP('Données projet'!$B$10,Paramètres!$A$1:$I$89,5,0)</f>
        <v>-9.9316821433603781E-14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327.826081588335</v>
      </c>
      <c r="AO194" s="62">
        <f t="shared" si="144"/>
        <v>348.84706693879735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0.25342644220768734</v>
      </c>
      <c r="AV194" s="23">
        <f>EXP(-LN(2)/25)*AV193+(1-EXP(-LN(2)/25))/(LN(2)/25)*Calculateur!AQ194*Calculateur!AS194*VLOOKUP('Données projet'!$B$10,Paramètres!$A$1:$I$89,3,0)*0.475*44/12</f>
        <v>0.15801737043109601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0.41144381263878338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>
        <f>BD194*VLOOKUP('Données projet'!$B$11,Paramètres!$A$1:$I$89,3,0)*VLOOKUP('Données projet'!$B$11,Paramètres!$A$1:$I$89,5,0)</f>
        <v>0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487.04124684635974</v>
      </c>
      <c r="BJ194" s="62">
        <f t="shared" si="146"/>
        <v>306.61893266146666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0.11130215367229515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0.11130215367229515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>
        <f>BY194*VLOOKUP('Données projet'!$B$12,Paramètres!$A$1:$I$89,3,0)*VLOOKUP('Données projet'!$B$12,Paramètres!$A$1:$I$89,5,0)</f>
        <v>0</v>
      </c>
      <c r="CA194" s="14" t="e">
        <f t="shared" si="170"/>
        <v>#NUM!</v>
      </c>
      <c r="CB194" s="22" t="e">
        <f t="shared" si="171"/>
        <v>#NUM!</v>
      </c>
      <c r="CC194" s="62" t="e">
        <f t="shared" si="119"/>
        <v>#NUM!</v>
      </c>
      <c r="CD194" s="62">
        <f ca="1">AVERAGE(OFFSET($CC$3,0,0,'Données projet'!$E$12+1,1))-AVERAGE(OFFSET($H$3,0,0,'Données projet'!$E$12+1,1))</f>
        <v>439.06700232017681</v>
      </c>
      <c r="CE194" s="62">
        <f t="shared" si="148"/>
        <v>278.21741231699929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9.9315767892201798E-2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9.9315767892201798E-2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317.99999999999972</v>
      </c>
      <c r="CU194" s="18">
        <f>CT194*VLOOKUP('Données projet'!$B$13,Paramètres!$A$1:$I$89,3,0)*VLOOKUP('Données projet'!$B$13,Paramètres!$A$1:$I$89,5,0)</f>
        <v>233.1575999999998</v>
      </c>
      <c r="CV194" s="14">
        <f t="shared" si="173"/>
        <v>56.964885721091697</v>
      </c>
      <c r="CW194" s="22">
        <f t="shared" si="174"/>
        <v>505.29666263090093</v>
      </c>
      <c r="CX194" s="62">
        <f t="shared" si="122"/>
        <v>798.62999596423424</v>
      </c>
      <c r="CY194" s="62">
        <f ca="1">AVERAGE(OFFSET($CX$3,0,0,'Données projet'!$E$13+1,1))-AVERAGE(OFFSET($H$3,0,0,'Données projet'!$E$13+1,1))</f>
        <v>327.81662150328646</v>
      </c>
      <c r="CZ194" s="62">
        <f t="shared" si="150"/>
        <v>320.24200483294322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8.2525756101681141E-2</v>
      </c>
      <c r="DG194" s="23">
        <f>EXP(-LN(2)/25)*DG193+(1-EXP(-LN(2)/25))/(LN(2)/25)*Calculateur!DB194*Calculateur!DD194*VLOOKUP('Données projet'!$B$13,Paramètres!$A$1:$I$89,3,0)*0.475*44/12</f>
        <v>0</v>
      </c>
      <c r="DH194" s="23">
        <f>EXP(-LN(2)/2)*DH193+(1-EXP(-LN(2)/2))/(LN(2)/2)*DB194*DE194*VLOOKUP('Données projet'!$B$13,Paramètres!$A$1:$I$89,3,0)*0.475*44/12</f>
        <v>0</v>
      </c>
      <c r="DI194" s="24">
        <f t="shared" si="175"/>
        <v>8.2525756101681141E-2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5.6843418860808015E-14</v>
      </c>
      <c r="DP194" s="18">
        <f>DO194*VLOOKUP('Données projet'!$B$14,Paramètres!$A$1:$I$89,3,0)*VLOOKUP('Données projet'!$B$14,Paramètres!$A$1:$I$89,5,0)</f>
        <v>3.7243808037601412E-14</v>
      </c>
      <c r="DQ194" s="14">
        <f t="shared" si="176"/>
        <v>6.2767589361185393E-13</v>
      </c>
      <c r="DR194" s="22">
        <f t="shared" si="177"/>
        <v>1.1580684803728015E-12</v>
      </c>
      <c r="DS194" s="62">
        <f t="shared" si="125"/>
        <v>293.33333333333445</v>
      </c>
      <c r="DT194" s="62">
        <f ca="1">AVERAGE(OFFSET($DS$3,0,0,'Données projet'!$E$14+1,1))-AVERAGE(OFFSET($H$3,0,0,'Données projet'!$E$14+1,1))</f>
        <v>210.08998695869161</v>
      </c>
      <c r="DU194" s="62">
        <f t="shared" si="152"/>
        <v>207.30911916430881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>
        <f>EXP(-LN(2)/35)*EA193+(1-EXP(-LN(2)/35))/(LN(2)/35)*DW194*DX194*VLOOKUP('Données projet'!$B$14,Paramètres!$A$1:$I$89,3,0)*0.475*44/12</f>
        <v>1.896336523187566E-2</v>
      </c>
      <c r="EB194" s="23">
        <f>EXP(-LN(2)/25)*EB193+(1-EXP(-LN(2)/25))/(LN(2)/25)*Calculateur!DW194*Calculateur!DY194*VLOOKUP('Données projet'!$B$14,Paramètres!$A$1:$I$89,3,0)*0.475*44/12</f>
        <v>0</v>
      </c>
      <c r="EC194" s="23">
        <f>EXP(-LN(2)/2)*EC193+(1-EXP(-LN(2)/2))/(LN(2)/2)*DW194*DZ194*VLOOKUP('Données projet'!$B$14,Paramètres!$A$1:$I$89,3,0)*0.475*44/12</f>
        <v>0</v>
      </c>
      <c r="ED194" s="24">
        <f t="shared" si="178"/>
        <v>1.896336523187566E-2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5.6843418860808015E-14</v>
      </c>
      <c r="EK194" s="18">
        <f>EJ194*VLOOKUP('Données projet'!$B$15,Paramètres!$A$1:$I$89,3,0)*VLOOKUP('Données projet'!$B$15,Paramètres!$A$1:$I$89,5,0)</f>
        <v>4.4337866711430253E-14</v>
      </c>
      <c r="EL194" s="14">
        <f t="shared" si="179"/>
        <v>7.3222115536967035E-13</v>
      </c>
      <c r="EM194" s="22">
        <f t="shared" si="180"/>
        <v>1.3525069634579169E-12</v>
      </c>
      <c r="EN194" s="62">
        <f t="shared" si="128"/>
        <v>293.33333333333468</v>
      </c>
      <c r="EO194" s="62">
        <f ca="1">AVERAGE(OFFSET($EN$3,0,0,'Données projet'!$E$15+1,1))-AVERAGE(OFFSET($H$3,0,0,'Données projet'!$E$15+1,1))</f>
        <v>288.82868507674738</v>
      </c>
      <c r="EP194" s="62">
        <f t="shared" si="154"/>
        <v>283.48738729114024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>
        <f>EXP(-LN(2)/35)*EV193+(1-EXP(-LN(2)/35))/(LN(2)/35)*ER194*ES194*VLOOKUP('Données projet'!$B$15,Paramètres!$A$1:$I$89,3,0)*0.475*44/12</f>
        <v>7.4775902487430199E-2</v>
      </c>
      <c r="EW194" s="23">
        <f>EXP(-LN(2)/25)*EW193+(1-EXP(-LN(2)/25))/(LN(2)/25)*Calculateur!ER194*Calculateur!ET194*VLOOKUP('Données projet'!$B$15,Paramètres!$A$1:$I$89,3,0)*0.475*44/12</f>
        <v>0</v>
      </c>
      <c r="EX194" s="23">
        <f>EXP(-LN(2)/2)*EX193+(1-EXP(-LN(2)/2))/(LN(2)/2)*ER194*EU194*VLOOKUP('Données projet'!$B$15,Paramètres!$A$1:$I$89,3,0)*0.475*44/12</f>
        <v>0</v>
      </c>
      <c r="EY194" s="24">
        <f t="shared" si="181"/>
        <v>7.4775902487430199E-2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3.4106051316484809E-13</v>
      </c>
      <c r="O195" s="14">
        <f>N195*VLOOKUP('Données projet'!$B$9,Paramètres!$A$1:$I$89,3,0)*VLOOKUP('Données projet'!$B$9,Paramètres!$A$1:$I$89,5,0)</f>
        <v>1.5961632016114892E-13</v>
      </c>
      <c r="P195" s="14">
        <f t="shared" si="141"/>
        <v>2.2708641912150958E-12</v>
      </c>
      <c r="Q195" s="22">
        <f t="shared" si="162"/>
        <v>4.2330868906469593E-12</v>
      </c>
      <c r="R195" s="62">
        <f t="shared" ref="R195:R203" si="191">Q195+(I195+J195)*44/12</f>
        <v>293.33333333333752</v>
      </c>
      <c r="S195" s="62">
        <f ca="1">AVERAGE(OFFSET($R$3,0,0,'Données projet'!$E$9+1,1))-AVERAGE(OFFSET($H$3,0,0,'Données projet'!$E$9+1,1))</f>
        <v>317.54276561627643</v>
      </c>
      <c r="T195" s="62">
        <f t="shared" si="142"/>
        <v>238.92443174298893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-1.1368683772161603E-13</v>
      </c>
      <c r="AJ195" s="14">
        <f>AI195*VLOOKUP('Données projet'!$B$10,Paramètres!$A$1:$I$89,3,0)*VLOOKUP('Données projet'!$B$10,Paramètres!$A$1:$I$89,5,0)</f>
        <v>-9.9316821433603781E-14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327.826081588335</v>
      </c>
      <c r="AO195" s="62">
        <f t="shared" si="144"/>
        <v>348.84706693879735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0.24845690425086134</v>
      </c>
      <c r="AV195" s="23">
        <f>EXP(-LN(2)/25)*AV194+(1-EXP(-LN(2)/25))/(LN(2)/25)*Calculateur!AQ195*Calculateur!AS195*VLOOKUP('Données projet'!$B$10,Paramètres!$A$1:$I$89,3,0)*0.475*44/12</f>
        <v>0.15369637712688533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0.40215328137774664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>
        <f>BD195*VLOOKUP('Données projet'!$B$11,Paramètres!$A$1:$I$89,3,0)*VLOOKUP('Données projet'!$B$11,Paramètres!$A$1:$I$89,5,0)</f>
        <v>0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487.04124684635974</v>
      </c>
      <c r="BJ195" s="62">
        <f t="shared" si="146"/>
        <v>306.61893266146666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0.10911958632639183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0.10911958632639183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>
        <f>BY195*VLOOKUP('Données projet'!$B$12,Paramètres!$A$1:$I$89,3,0)*VLOOKUP('Données projet'!$B$12,Paramètres!$A$1:$I$89,5,0)</f>
        <v>0</v>
      </c>
      <c r="CA195" s="14" t="e">
        <f t="shared" si="170"/>
        <v>#NUM!</v>
      </c>
      <c r="CB195" s="22" t="e">
        <f t="shared" si="171"/>
        <v>#NUM!</v>
      </c>
      <c r="CC195" s="62" t="e">
        <f t="shared" si="119"/>
        <v>#NUM!</v>
      </c>
      <c r="CD195" s="62">
        <f ca="1">AVERAGE(OFFSET($CC$3,0,0,'Données projet'!$E$12+1,1))-AVERAGE(OFFSET($H$3,0,0,'Données projet'!$E$12+1,1))</f>
        <v>439.06700232017681</v>
      </c>
      <c r="CE195" s="62">
        <f t="shared" si="148"/>
        <v>278.21741231699929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9.7368246260472691E-2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9.7368246260472691E-2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317.99999999999972</v>
      </c>
      <c r="CU195" s="18">
        <f>CT195*VLOOKUP('Données projet'!$B$13,Paramètres!$A$1:$I$89,3,0)*VLOOKUP('Données projet'!$B$13,Paramètres!$A$1:$I$89,5,0)</f>
        <v>233.1575999999998</v>
      </c>
      <c r="CV195" s="14">
        <f t="shared" si="173"/>
        <v>56.964885721091697</v>
      </c>
      <c r="CW195" s="22">
        <f t="shared" si="174"/>
        <v>505.29666263090093</v>
      </c>
      <c r="CX195" s="62">
        <f t="shared" si="122"/>
        <v>798.62999596423424</v>
      </c>
      <c r="CY195" s="62">
        <f ca="1">AVERAGE(OFFSET($CX$3,0,0,'Données projet'!$E$13+1,1))-AVERAGE(OFFSET($H$3,0,0,'Données projet'!$E$13+1,1))</f>
        <v>327.81662150328646</v>
      </c>
      <c r="CZ195" s="62">
        <f t="shared" si="150"/>
        <v>320.24200483294322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8.0907476360268155E-2</v>
      </c>
      <c r="DG195" s="23">
        <f>EXP(-LN(2)/25)*DG194+(1-EXP(-LN(2)/25))/(LN(2)/25)*Calculateur!DB195*Calculateur!DD195*VLOOKUP('Données projet'!$B$13,Paramètres!$A$1:$I$89,3,0)*0.475*44/12</f>
        <v>0</v>
      </c>
      <c r="DH195" s="23">
        <f>EXP(-LN(2)/2)*DH194+(1-EXP(-LN(2)/2))/(LN(2)/2)*DB195*DE195*VLOOKUP('Données projet'!$B$13,Paramètres!$A$1:$I$89,3,0)*0.475*44/12</f>
        <v>0</v>
      </c>
      <c r="DI195" s="24">
        <f t="shared" si="175"/>
        <v>8.0907476360268155E-2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5.6843418860808015E-14</v>
      </c>
      <c r="DP195" s="18">
        <f>DO195*VLOOKUP('Données projet'!$B$14,Paramètres!$A$1:$I$89,3,0)*VLOOKUP('Données projet'!$B$14,Paramètres!$A$1:$I$89,5,0)</f>
        <v>3.7243808037601412E-14</v>
      </c>
      <c r="DQ195" s="14">
        <f t="shared" si="176"/>
        <v>6.2767589361185393E-13</v>
      </c>
      <c r="DR195" s="22">
        <f t="shared" si="177"/>
        <v>1.1580684803728015E-12</v>
      </c>
      <c r="DS195" s="62">
        <f t="shared" si="125"/>
        <v>293.33333333333445</v>
      </c>
      <c r="DT195" s="62">
        <f ca="1">AVERAGE(OFFSET($DS$3,0,0,'Données projet'!$E$14+1,1))-AVERAGE(OFFSET($H$3,0,0,'Données projet'!$E$14+1,1))</f>
        <v>210.08998695869161</v>
      </c>
      <c r="DU195" s="62">
        <f t="shared" si="152"/>
        <v>207.30911916430881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>
        <f>EXP(-LN(2)/35)*EA194+(1-EXP(-LN(2)/35))/(LN(2)/35)*DW195*DX195*VLOOKUP('Données projet'!$B$14,Paramètres!$A$1:$I$89,3,0)*0.475*44/12</f>
        <v>1.8591505206189272E-2</v>
      </c>
      <c r="EB195" s="23">
        <f>EXP(-LN(2)/25)*EB194+(1-EXP(-LN(2)/25))/(LN(2)/25)*Calculateur!DW195*Calculateur!DY195*VLOOKUP('Données projet'!$B$14,Paramètres!$A$1:$I$89,3,0)*0.475*44/12</f>
        <v>0</v>
      </c>
      <c r="EC195" s="23">
        <f>EXP(-LN(2)/2)*EC194+(1-EXP(-LN(2)/2))/(LN(2)/2)*DW195*DZ195*VLOOKUP('Données projet'!$B$14,Paramètres!$A$1:$I$89,3,0)*0.475*44/12</f>
        <v>0</v>
      </c>
      <c r="ED195" s="24">
        <f t="shared" si="178"/>
        <v>1.8591505206189272E-2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5.6843418860808015E-14</v>
      </c>
      <c r="EK195" s="18">
        <f>EJ195*VLOOKUP('Données projet'!$B$15,Paramètres!$A$1:$I$89,3,0)*VLOOKUP('Données projet'!$B$15,Paramètres!$A$1:$I$89,5,0)</f>
        <v>4.4337866711430253E-14</v>
      </c>
      <c r="EL195" s="14">
        <f t="shared" si="179"/>
        <v>7.3222115536967035E-13</v>
      </c>
      <c r="EM195" s="22">
        <f t="shared" si="180"/>
        <v>1.3525069634579169E-12</v>
      </c>
      <c r="EN195" s="62">
        <f t="shared" si="128"/>
        <v>293.33333333333468</v>
      </c>
      <c r="EO195" s="62">
        <f ca="1">AVERAGE(OFFSET($EN$3,0,0,'Données projet'!$E$15+1,1))-AVERAGE(OFFSET($H$3,0,0,'Données projet'!$E$15+1,1))</f>
        <v>288.82868507674738</v>
      </c>
      <c r="EP195" s="62">
        <f t="shared" si="154"/>
        <v>283.48738729114024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>
        <f>EXP(-LN(2)/35)*EV194+(1-EXP(-LN(2)/35))/(LN(2)/35)*ER195*ES195*VLOOKUP('Données projet'!$B$15,Paramètres!$A$1:$I$89,3,0)*0.475*44/12</f>
        <v>7.3309592648448718E-2</v>
      </c>
      <c r="EW195" s="23">
        <f>EXP(-LN(2)/25)*EW194+(1-EXP(-LN(2)/25))/(LN(2)/25)*Calculateur!ER195*Calculateur!ET195*VLOOKUP('Données projet'!$B$15,Paramètres!$A$1:$I$89,3,0)*0.475*44/12</f>
        <v>0</v>
      </c>
      <c r="EX195" s="23">
        <f>EXP(-LN(2)/2)*EX194+(1-EXP(-LN(2)/2))/(LN(2)/2)*ER195*EU195*VLOOKUP('Données projet'!$B$15,Paramètres!$A$1:$I$89,3,0)*0.475*44/12</f>
        <v>0</v>
      </c>
      <c r="EY195" s="24">
        <f t="shared" si="181"/>
        <v>7.3309592648448718E-2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3.4106051316484809E-13</v>
      </c>
      <c r="O196" s="14">
        <f>N196*VLOOKUP('Données projet'!$B$9,Paramètres!$A$1:$I$89,3,0)*VLOOKUP('Données projet'!$B$9,Paramètres!$A$1:$I$89,5,0)</f>
        <v>1.5961632016114892E-13</v>
      </c>
      <c r="P196" s="14">
        <f t="shared" si="141"/>
        <v>2.2708641912150958E-12</v>
      </c>
      <c r="Q196" s="22">
        <f t="shared" si="162"/>
        <v>4.2330868906469593E-12</v>
      </c>
      <c r="R196" s="62">
        <f t="shared" si="191"/>
        <v>293.33333333333752</v>
      </c>
      <c r="S196" s="62">
        <f ca="1">AVERAGE(OFFSET($R$3,0,0,'Données projet'!$E$9+1,1))-AVERAGE(OFFSET($H$3,0,0,'Données projet'!$E$9+1,1))</f>
        <v>317.54276561627643</v>
      </c>
      <c r="T196" s="62">
        <f t="shared" si="142"/>
        <v>238.92443174298893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-1.1368683772161603E-13</v>
      </c>
      <c r="AJ196" s="14">
        <f>AI196*VLOOKUP('Données projet'!$B$10,Paramètres!$A$1:$I$89,3,0)*VLOOKUP('Données projet'!$B$10,Paramètres!$A$1:$I$89,5,0)</f>
        <v>-9.9316821433603781E-14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327.826081588335</v>
      </c>
      <c r="AO196" s="62">
        <f t="shared" si="144"/>
        <v>348.84706693879735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0.24358481590224984</v>
      </c>
      <c r="AV196" s="23">
        <f>EXP(-LN(2)/25)*AV195+(1-EXP(-LN(2)/25))/(LN(2)/25)*Calculateur!AQ196*Calculateur!AS196*VLOOKUP('Données projet'!$B$10,Paramètres!$A$1:$I$89,3,0)*0.475*44/12</f>
        <v>0.14949354161180944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0.39307835751405928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>
        <f>BD196*VLOOKUP('Données projet'!$B$11,Paramètres!$A$1:$I$89,3,0)*VLOOKUP('Données projet'!$B$11,Paramètres!$A$1:$I$89,5,0)</f>
        <v>0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487.04124684635974</v>
      </c>
      <c r="BJ196" s="62">
        <f t="shared" si="146"/>
        <v>306.61893266146666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0.10697981779490705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0.10697981779490705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>
        <f>BY196*VLOOKUP('Données projet'!$B$12,Paramètres!$A$1:$I$89,3,0)*VLOOKUP('Données projet'!$B$12,Paramètres!$A$1:$I$89,5,0)</f>
        <v>0</v>
      </c>
      <c r="CA196" s="14" t="e">
        <f t="shared" si="170"/>
        <v>#NUM!</v>
      </c>
      <c r="CB196" s="22" t="e">
        <f t="shared" si="171"/>
        <v>#NUM!</v>
      </c>
      <c r="CC196" s="62" t="e">
        <f t="shared" ref="CC196:CC203" si="195">CB196+(BT196+BU196)*44/12</f>
        <v>#NUM!</v>
      </c>
      <c r="CD196" s="62">
        <f ca="1">AVERAGE(OFFSET($CC$3,0,0,'Données projet'!$E$12+1,1))-AVERAGE(OFFSET($H$3,0,0,'Données projet'!$E$12+1,1))</f>
        <v>439.06700232017681</v>
      </c>
      <c r="CE196" s="62">
        <f t="shared" si="148"/>
        <v>278.21741231699929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9.545891434007088E-2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9.545891434007088E-2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317.99999999999972</v>
      </c>
      <c r="CU196" s="18">
        <f>CT196*VLOOKUP('Données projet'!$B$13,Paramètres!$A$1:$I$89,3,0)*VLOOKUP('Données projet'!$B$13,Paramètres!$A$1:$I$89,5,0)</f>
        <v>233.1575999999998</v>
      </c>
      <c r="CV196" s="14">
        <f t="shared" si="173"/>
        <v>56.964885721091697</v>
      </c>
      <c r="CW196" s="22">
        <f t="shared" si="174"/>
        <v>505.29666263090093</v>
      </c>
      <c r="CX196" s="62">
        <f t="shared" ref="CX196:CX203" si="196">CW196+(CO196+CP196)*44/12</f>
        <v>798.62999596423424</v>
      </c>
      <c r="CY196" s="62">
        <f ca="1">AVERAGE(OFFSET($CX$3,0,0,'Données projet'!$E$13+1,1))-AVERAGE(OFFSET($H$3,0,0,'Données projet'!$E$13+1,1))</f>
        <v>327.81662150328646</v>
      </c>
      <c r="CZ196" s="62">
        <f t="shared" si="150"/>
        <v>320.24200483294322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7.9320930097531092E-2</v>
      </c>
      <c r="DG196" s="23">
        <f>EXP(-LN(2)/25)*DG195+(1-EXP(-LN(2)/25))/(LN(2)/25)*Calculateur!DB196*Calculateur!DD196*VLOOKUP('Données projet'!$B$13,Paramètres!$A$1:$I$89,3,0)*0.475*44/12</f>
        <v>0</v>
      </c>
      <c r="DH196" s="23">
        <f>EXP(-LN(2)/2)*DH195+(1-EXP(-LN(2)/2))/(LN(2)/2)*DB196*DE196*VLOOKUP('Données projet'!$B$13,Paramètres!$A$1:$I$89,3,0)*0.475*44/12</f>
        <v>0</v>
      </c>
      <c r="DI196" s="24">
        <f t="shared" si="175"/>
        <v>7.9320930097531092E-2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5.6843418860808015E-14</v>
      </c>
      <c r="DP196" s="18">
        <f>DO196*VLOOKUP('Données projet'!$B$14,Paramètres!$A$1:$I$89,3,0)*VLOOKUP('Données projet'!$B$14,Paramètres!$A$1:$I$89,5,0)</f>
        <v>3.7243808037601412E-14</v>
      </c>
      <c r="DQ196" s="14">
        <f t="shared" si="176"/>
        <v>6.2767589361185393E-13</v>
      </c>
      <c r="DR196" s="22">
        <f t="shared" si="177"/>
        <v>1.1580684803728015E-12</v>
      </c>
      <c r="DS196" s="62">
        <f t="shared" ref="DS196:DS203" si="197">DR196+(DJ196+DK196)*44/12</f>
        <v>293.33333333333445</v>
      </c>
      <c r="DT196" s="62">
        <f ca="1">AVERAGE(OFFSET($DS$3,0,0,'Données projet'!$E$14+1,1))-AVERAGE(OFFSET($H$3,0,0,'Données projet'!$E$14+1,1))</f>
        <v>210.08998695869161</v>
      </c>
      <c r="DU196" s="62">
        <f t="shared" si="152"/>
        <v>207.30911916430881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>
        <f>EXP(-LN(2)/35)*EA195+(1-EXP(-LN(2)/35))/(LN(2)/35)*DW196*DX196*VLOOKUP('Données projet'!$B$14,Paramètres!$A$1:$I$89,3,0)*0.475*44/12</f>
        <v>1.8226937128794373E-2</v>
      </c>
      <c r="EB196" s="23">
        <f>EXP(-LN(2)/25)*EB195+(1-EXP(-LN(2)/25))/(LN(2)/25)*Calculateur!DW196*Calculateur!DY196*VLOOKUP('Données projet'!$B$14,Paramètres!$A$1:$I$89,3,0)*0.475*44/12</f>
        <v>0</v>
      </c>
      <c r="EC196" s="23">
        <f>EXP(-LN(2)/2)*EC195+(1-EXP(-LN(2)/2))/(LN(2)/2)*DW196*DZ196*VLOOKUP('Données projet'!$B$14,Paramètres!$A$1:$I$89,3,0)*0.475*44/12</f>
        <v>0</v>
      </c>
      <c r="ED196" s="24">
        <f t="shared" si="178"/>
        <v>1.8226937128794373E-2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5.6843418860808015E-14</v>
      </c>
      <c r="EK196" s="18">
        <f>EJ196*VLOOKUP('Données projet'!$B$15,Paramètres!$A$1:$I$89,3,0)*VLOOKUP('Données projet'!$B$15,Paramètres!$A$1:$I$89,5,0)</f>
        <v>4.4337866711430253E-14</v>
      </c>
      <c r="EL196" s="14">
        <f t="shared" si="179"/>
        <v>7.3222115536967035E-13</v>
      </c>
      <c r="EM196" s="22">
        <f t="shared" si="180"/>
        <v>1.3525069634579169E-12</v>
      </c>
      <c r="EN196" s="62">
        <f t="shared" ref="EN196:EN203" si="198">EM196+(EE196+EF196)*44/12</f>
        <v>293.33333333333468</v>
      </c>
      <c r="EO196" s="62">
        <f ca="1">AVERAGE(OFFSET($EN$3,0,0,'Données projet'!$E$15+1,1))-AVERAGE(OFFSET($H$3,0,0,'Données projet'!$E$15+1,1))</f>
        <v>288.82868507674738</v>
      </c>
      <c r="EP196" s="62">
        <f t="shared" si="154"/>
        <v>283.48738729114024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>
        <f>EXP(-LN(2)/35)*EV195+(1-EXP(-LN(2)/35))/(LN(2)/35)*ER196*ES196*VLOOKUP('Données projet'!$B$15,Paramètres!$A$1:$I$89,3,0)*0.475*44/12</f>
        <v>7.1872036251048974E-2</v>
      </c>
      <c r="EW196" s="23">
        <f>EXP(-LN(2)/25)*EW195+(1-EXP(-LN(2)/25))/(LN(2)/25)*Calculateur!ER196*Calculateur!ET196*VLOOKUP('Données projet'!$B$15,Paramètres!$A$1:$I$89,3,0)*0.475*44/12</f>
        <v>0</v>
      </c>
      <c r="EX196" s="23">
        <f>EXP(-LN(2)/2)*EX195+(1-EXP(-LN(2)/2))/(LN(2)/2)*ER196*EU196*VLOOKUP('Données projet'!$B$15,Paramètres!$A$1:$I$89,3,0)*0.475*44/12</f>
        <v>0</v>
      </c>
      <c r="EY196" s="24">
        <f t="shared" si="181"/>
        <v>7.1872036251048974E-2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3.4106051316484809E-13</v>
      </c>
      <c r="O197" s="14">
        <f>N197*VLOOKUP('Données projet'!$B$9,Paramètres!$A$1:$I$89,3,0)*VLOOKUP('Données projet'!$B$9,Paramètres!$A$1:$I$89,5,0)</f>
        <v>1.5961632016114892E-13</v>
      </c>
      <c r="P197" s="14">
        <f t="shared" ref="P197:P203" si="203">EXP(-1.0587+0.8836*LN(O197)+0.284)</f>
        <v>2.2708641912150958E-12</v>
      </c>
      <c r="Q197" s="22">
        <f t="shared" si="162"/>
        <v>4.2330868906469593E-12</v>
      </c>
      <c r="R197" s="62">
        <f t="shared" si="191"/>
        <v>293.33333333333752</v>
      </c>
      <c r="S197" s="62">
        <f ca="1">AVERAGE(OFFSET($R$3,0,0,'Données projet'!$E$9+1,1))-AVERAGE(OFFSET($H$3,0,0,'Données projet'!$E$9+1,1))</f>
        <v>317.54276561627643</v>
      </c>
      <c r="T197" s="62">
        <f t="shared" ref="T197:T203" si="204">$T$3</f>
        <v>238.92443174298893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-1.1368683772161603E-13</v>
      </c>
      <c r="AJ197" s="14">
        <f>AI197*VLOOKUP('Données projet'!$B$10,Paramètres!$A$1:$I$89,3,0)*VLOOKUP('Données projet'!$B$10,Paramètres!$A$1:$I$89,5,0)</f>
        <v>-9.9316821433603781E-14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327.826081588335</v>
      </c>
      <c r="AO197" s="62">
        <f t="shared" ref="AO197:AO203" si="205">$AO$3</f>
        <v>348.84706693879735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0.23880826623447415</v>
      </c>
      <c r="AV197" s="23">
        <f>EXP(-LN(2)/25)*AV196+(1-EXP(-LN(2)/25))/(LN(2)/25)*Calculateur!AQ197*Calculateur!AS197*VLOOKUP('Données projet'!$B$10,Paramètres!$A$1:$I$89,3,0)*0.475*44/12</f>
        <v>0.14540563285491084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0.38421389908938497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>
        <f>BD197*VLOOKUP('Données projet'!$B$11,Paramètres!$A$1:$I$89,3,0)*VLOOKUP('Données projet'!$B$11,Paramètres!$A$1:$I$89,5,0)</f>
        <v>0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487.04124684635974</v>
      </c>
      <c r="BJ197" s="62">
        <f t="shared" ref="BJ197:BJ203" si="206">$BJ$3</f>
        <v>306.61893266146666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0.10488200881919475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0.10488200881919475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>
        <f>BY197*VLOOKUP('Données projet'!$B$12,Paramètres!$A$1:$I$89,3,0)*VLOOKUP('Données projet'!$B$12,Paramètres!$A$1:$I$89,5,0)</f>
        <v>0</v>
      </c>
      <c r="CA197" s="14" t="e">
        <f t="shared" si="170"/>
        <v>#NUM!</v>
      </c>
      <c r="CB197" s="22" t="e">
        <f t="shared" si="171"/>
        <v>#NUM!</v>
      </c>
      <c r="CC197" s="62" t="e">
        <f t="shared" si="195"/>
        <v>#NUM!</v>
      </c>
      <c r="CD197" s="62">
        <f ca="1">AVERAGE(OFFSET($CC$3,0,0,'Données projet'!$E$12+1,1))-AVERAGE(OFFSET($H$3,0,0,'Données projet'!$E$12+1,1))</f>
        <v>439.06700232017681</v>
      </c>
      <c r="CE197" s="62">
        <f t="shared" ref="CE197:CE203" si="207">$CE$3</f>
        <v>278.21741231699929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9.3587023254050675E-2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9.3587023254050675E-2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317.99999999999972</v>
      </c>
      <c r="CU197" s="18">
        <f>CT197*VLOOKUP('Données projet'!$B$13,Paramètres!$A$1:$I$89,3,0)*VLOOKUP('Données projet'!$B$13,Paramètres!$A$1:$I$89,5,0)</f>
        <v>233.1575999999998</v>
      </c>
      <c r="CV197" s="14">
        <f t="shared" si="173"/>
        <v>56.964885721091697</v>
      </c>
      <c r="CW197" s="22">
        <f t="shared" si="174"/>
        <v>505.29666263090093</v>
      </c>
      <c r="CX197" s="62">
        <f t="shared" si="196"/>
        <v>798.62999596423424</v>
      </c>
      <c r="CY197" s="62">
        <f ca="1">AVERAGE(OFFSET($CX$3,0,0,'Données projet'!$E$13+1,1))-AVERAGE(OFFSET($H$3,0,0,'Données projet'!$E$13+1,1))</f>
        <v>327.81662150328646</v>
      </c>
      <c r="CZ197" s="62">
        <f t="shared" ref="CZ197:CZ203" si="208">$CZ$3</f>
        <v>320.24200483294322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7.7765495039308644E-2</v>
      </c>
      <c r="DG197" s="23">
        <f>EXP(-LN(2)/25)*DG196+(1-EXP(-LN(2)/25))/(LN(2)/25)*Calculateur!DB197*Calculateur!DD197*VLOOKUP('Données projet'!$B$13,Paramètres!$A$1:$I$89,3,0)*0.475*44/12</f>
        <v>0</v>
      </c>
      <c r="DH197" s="23">
        <f>EXP(-LN(2)/2)*DH196+(1-EXP(-LN(2)/2))/(LN(2)/2)*DB197*DE197*VLOOKUP('Données projet'!$B$13,Paramètres!$A$1:$I$89,3,0)*0.475*44/12</f>
        <v>0</v>
      </c>
      <c r="DI197" s="24">
        <f t="shared" si="175"/>
        <v>7.7765495039308644E-2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5.6843418860808015E-14</v>
      </c>
      <c r="DP197" s="18">
        <f>DO197*VLOOKUP('Données projet'!$B$14,Paramètres!$A$1:$I$89,3,0)*VLOOKUP('Données projet'!$B$14,Paramètres!$A$1:$I$89,5,0)</f>
        <v>3.7243808037601412E-14</v>
      </c>
      <c r="DQ197" s="14">
        <f t="shared" si="176"/>
        <v>6.2767589361185393E-13</v>
      </c>
      <c r="DR197" s="22">
        <f t="shared" si="177"/>
        <v>1.1580684803728015E-12</v>
      </c>
      <c r="DS197" s="62">
        <f t="shared" si="197"/>
        <v>293.33333333333445</v>
      </c>
      <c r="DT197" s="62">
        <f ca="1">AVERAGE(OFFSET($DS$3,0,0,'Données projet'!$E$14+1,1))-AVERAGE(OFFSET($H$3,0,0,'Données projet'!$E$14+1,1))</f>
        <v>210.08998695869161</v>
      </c>
      <c r="DU197" s="62">
        <f t="shared" ref="DU197:DU203" si="209">$DU$3</f>
        <v>207.30911916430881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>
        <f>EXP(-LN(2)/35)*EA196+(1-EXP(-LN(2)/35))/(LN(2)/35)*DW197*DX197*VLOOKUP('Données projet'!$B$14,Paramètres!$A$1:$I$89,3,0)*0.475*44/12</f>
        <v>1.7869518009032619E-2</v>
      </c>
      <c r="EB197" s="23">
        <f>EXP(-LN(2)/25)*EB196+(1-EXP(-LN(2)/25))/(LN(2)/25)*Calculateur!DW197*Calculateur!DY197*VLOOKUP('Données projet'!$B$14,Paramètres!$A$1:$I$89,3,0)*0.475*44/12</f>
        <v>0</v>
      </c>
      <c r="EC197" s="23">
        <f>EXP(-LN(2)/2)*EC196+(1-EXP(-LN(2)/2))/(LN(2)/2)*DW197*DZ197*VLOOKUP('Données projet'!$B$14,Paramètres!$A$1:$I$89,3,0)*0.475*44/12</f>
        <v>0</v>
      </c>
      <c r="ED197" s="24">
        <f t="shared" si="178"/>
        <v>1.7869518009032619E-2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5.6843418860808015E-14</v>
      </c>
      <c r="EK197" s="18">
        <f>EJ197*VLOOKUP('Données projet'!$B$15,Paramètres!$A$1:$I$89,3,0)*VLOOKUP('Données projet'!$B$15,Paramètres!$A$1:$I$89,5,0)</f>
        <v>4.4337866711430253E-14</v>
      </c>
      <c r="EL197" s="14">
        <f t="shared" si="179"/>
        <v>7.3222115536967035E-13</v>
      </c>
      <c r="EM197" s="22">
        <f t="shared" si="180"/>
        <v>1.3525069634579169E-12</v>
      </c>
      <c r="EN197" s="62">
        <f t="shared" si="198"/>
        <v>293.33333333333468</v>
      </c>
      <c r="EO197" s="62">
        <f ca="1">AVERAGE(OFFSET($EN$3,0,0,'Données projet'!$E$15+1,1))-AVERAGE(OFFSET($H$3,0,0,'Données projet'!$E$15+1,1))</f>
        <v>288.82868507674738</v>
      </c>
      <c r="EP197" s="62">
        <f t="shared" ref="EP197:EP203" si="210">$EP$3</f>
        <v>283.48738729114024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>
        <f>EXP(-LN(2)/35)*EV196+(1-EXP(-LN(2)/35))/(LN(2)/35)*ER197*ES197*VLOOKUP('Données projet'!$B$15,Paramètres!$A$1:$I$89,3,0)*0.475*44/12</f>
        <v>7.0462669457779417E-2</v>
      </c>
      <c r="EW197" s="23">
        <f>EXP(-LN(2)/25)*EW196+(1-EXP(-LN(2)/25))/(LN(2)/25)*Calculateur!ER197*Calculateur!ET197*VLOOKUP('Données projet'!$B$15,Paramètres!$A$1:$I$89,3,0)*0.475*44/12</f>
        <v>0</v>
      </c>
      <c r="EX197" s="23">
        <f>EXP(-LN(2)/2)*EX196+(1-EXP(-LN(2)/2))/(LN(2)/2)*ER197*EU197*VLOOKUP('Données projet'!$B$15,Paramètres!$A$1:$I$89,3,0)*0.475*44/12</f>
        <v>0</v>
      </c>
      <c r="EY197" s="24">
        <f t="shared" si="181"/>
        <v>7.0462669457779417E-2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3.4106051316484809E-13</v>
      </c>
      <c r="O198" s="14">
        <f>N198*VLOOKUP('Données projet'!$B$9,Paramètres!$A$1:$I$89,3,0)*VLOOKUP('Données projet'!$B$9,Paramètres!$A$1:$I$89,5,0)</f>
        <v>1.5961632016114892E-13</v>
      </c>
      <c r="P198" s="14">
        <f t="shared" si="203"/>
        <v>2.2708641912150958E-12</v>
      </c>
      <c r="Q198" s="22">
        <f t="shared" si="162"/>
        <v>4.2330868906469593E-12</v>
      </c>
      <c r="R198" s="62">
        <f t="shared" si="191"/>
        <v>293.33333333333752</v>
      </c>
      <c r="S198" s="62">
        <f ca="1">AVERAGE(OFFSET($R$3,0,0,'Données projet'!$E$9+1,1))-AVERAGE(OFFSET($H$3,0,0,'Données projet'!$E$9+1,1))</f>
        <v>317.54276561627643</v>
      </c>
      <c r="T198" s="62">
        <f t="shared" si="204"/>
        <v>238.92443174298893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-1.1368683772161603E-13</v>
      </c>
      <c r="AJ198" s="14">
        <f>AI198*VLOOKUP('Données projet'!$B$10,Paramètres!$A$1:$I$89,3,0)*VLOOKUP('Données projet'!$B$10,Paramètres!$A$1:$I$89,5,0)</f>
        <v>-9.9316821433603781E-14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327.826081588335</v>
      </c>
      <c r="AO198" s="62">
        <f t="shared" si="205"/>
        <v>348.84706693879735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0.23412538179227593</v>
      </c>
      <c r="AV198" s="23">
        <f>EXP(-LN(2)/25)*AV197+(1-EXP(-LN(2)/25))/(LN(2)/25)*Calculateur!AQ198*Calculateur!AS198*VLOOKUP('Données projet'!$B$10,Paramètres!$A$1:$I$89,3,0)*0.475*44/12</f>
        <v>0.14142950817794339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0.37555488997021935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>
        <f>BD198*VLOOKUP('Données projet'!$B$11,Paramètres!$A$1:$I$89,3,0)*VLOOKUP('Données projet'!$B$11,Paramètres!$A$1:$I$89,5,0)</f>
        <v>0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487.04124684635974</v>
      </c>
      <c r="BJ198" s="62">
        <f t="shared" si="206"/>
        <v>306.61893266146666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0.10282533659795905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0.10282533659795905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>
        <f>BY198*VLOOKUP('Données projet'!$B$12,Paramètres!$A$1:$I$89,3,0)*VLOOKUP('Données projet'!$B$12,Paramètres!$A$1:$I$89,5,0)</f>
        <v>0</v>
      </c>
      <c r="CA198" s="14" t="e">
        <f t="shared" si="170"/>
        <v>#NUM!</v>
      </c>
      <c r="CB198" s="22" t="e">
        <f t="shared" si="171"/>
        <v>#NUM!</v>
      </c>
      <c r="CC198" s="62" t="e">
        <f t="shared" si="195"/>
        <v>#NUM!</v>
      </c>
      <c r="CD198" s="62">
        <f ca="1">AVERAGE(OFFSET($CC$3,0,0,'Données projet'!$E$12+1,1))-AVERAGE(OFFSET($H$3,0,0,'Données projet'!$E$12+1,1))</f>
        <v>439.06700232017681</v>
      </c>
      <c r="CE198" s="62">
        <f t="shared" si="207"/>
        <v>278.21741231699929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9.17518388104865E-2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9.17518388104865E-2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317.99999999999972</v>
      </c>
      <c r="CU198" s="18">
        <f>CT198*VLOOKUP('Données projet'!$B$13,Paramètres!$A$1:$I$89,3,0)*VLOOKUP('Données projet'!$B$13,Paramètres!$A$1:$I$89,5,0)</f>
        <v>233.1575999999998</v>
      </c>
      <c r="CV198" s="14">
        <f t="shared" si="173"/>
        <v>56.964885721091697</v>
      </c>
      <c r="CW198" s="22">
        <f t="shared" si="174"/>
        <v>505.29666263090093</v>
      </c>
      <c r="CX198" s="62">
        <f t="shared" si="196"/>
        <v>798.62999596423424</v>
      </c>
      <c r="CY198" s="62">
        <f ca="1">AVERAGE(OFFSET($CX$3,0,0,'Données projet'!$E$13+1,1))-AVERAGE(OFFSET($H$3,0,0,'Données projet'!$E$13+1,1))</f>
        <v>327.81662150328646</v>
      </c>
      <c r="CZ198" s="62">
        <f t="shared" si="208"/>
        <v>320.24200483294322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7.6240561113856228E-2</v>
      </c>
      <c r="DG198" s="23">
        <f>EXP(-LN(2)/25)*DG197+(1-EXP(-LN(2)/25))/(LN(2)/25)*Calculateur!DB198*Calculateur!DD198*VLOOKUP('Données projet'!$B$13,Paramètres!$A$1:$I$89,3,0)*0.475*44/12</f>
        <v>0</v>
      </c>
      <c r="DH198" s="23">
        <f>EXP(-LN(2)/2)*DH197+(1-EXP(-LN(2)/2))/(LN(2)/2)*DB198*DE198*VLOOKUP('Données projet'!$B$13,Paramètres!$A$1:$I$89,3,0)*0.475*44/12</f>
        <v>0</v>
      </c>
      <c r="DI198" s="24">
        <f t="shared" si="175"/>
        <v>7.6240561113856228E-2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5.6843418860808015E-14</v>
      </c>
      <c r="DP198" s="18">
        <f>DO198*VLOOKUP('Données projet'!$B$14,Paramètres!$A$1:$I$89,3,0)*VLOOKUP('Données projet'!$B$14,Paramètres!$A$1:$I$89,5,0)</f>
        <v>3.7243808037601412E-14</v>
      </c>
      <c r="DQ198" s="14">
        <f t="shared" si="176"/>
        <v>6.2767589361185393E-13</v>
      </c>
      <c r="DR198" s="22">
        <f t="shared" si="177"/>
        <v>1.1580684803728015E-12</v>
      </c>
      <c r="DS198" s="62">
        <f t="shared" si="197"/>
        <v>293.33333333333445</v>
      </c>
      <c r="DT198" s="62">
        <f ca="1">AVERAGE(OFFSET($DS$3,0,0,'Données projet'!$E$14+1,1))-AVERAGE(OFFSET($H$3,0,0,'Données projet'!$E$14+1,1))</f>
        <v>210.08998695869161</v>
      </c>
      <c r="DU198" s="62">
        <f t="shared" si="209"/>
        <v>207.30911916430881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>
        <f>EXP(-LN(2)/35)*EA197+(1-EXP(-LN(2)/35))/(LN(2)/35)*DW198*DX198*VLOOKUP('Données projet'!$B$14,Paramètres!$A$1:$I$89,3,0)*0.475*44/12</f>
        <v>1.7519107660205254E-2</v>
      </c>
      <c r="EB198" s="23">
        <f>EXP(-LN(2)/25)*EB197+(1-EXP(-LN(2)/25))/(LN(2)/25)*Calculateur!DW198*Calculateur!DY198*VLOOKUP('Données projet'!$B$14,Paramètres!$A$1:$I$89,3,0)*0.475*44/12</f>
        <v>0</v>
      </c>
      <c r="EC198" s="23">
        <f>EXP(-LN(2)/2)*EC197+(1-EXP(-LN(2)/2))/(LN(2)/2)*DW198*DZ198*VLOOKUP('Données projet'!$B$14,Paramètres!$A$1:$I$89,3,0)*0.475*44/12</f>
        <v>0</v>
      </c>
      <c r="ED198" s="24">
        <f t="shared" si="178"/>
        <v>1.7519107660205254E-2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5.6843418860808015E-14</v>
      </c>
      <c r="EK198" s="18">
        <f>EJ198*VLOOKUP('Données projet'!$B$15,Paramètres!$A$1:$I$89,3,0)*VLOOKUP('Données projet'!$B$15,Paramètres!$A$1:$I$89,5,0)</f>
        <v>4.4337866711430253E-14</v>
      </c>
      <c r="EL198" s="14">
        <f t="shared" si="179"/>
        <v>7.3222115536967035E-13</v>
      </c>
      <c r="EM198" s="22">
        <f t="shared" si="180"/>
        <v>1.3525069634579169E-12</v>
      </c>
      <c r="EN198" s="62">
        <f t="shared" si="198"/>
        <v>293.33333333333468</v>
      </c>
      <c r="EO198" s="62">
        <f ca="1">AVERAGE(OFFSET($EN$3,0,0,'Données projet'!$E$15+1,1))-AVERAGE(OFFSET($H$3,0,0,'Données projet'!$E$15+1,1))</f>
        <v>288.82868507674738</v>
      </c>
      <c r="EP198" s="62">
        <f t="shared" si="210"/>
        <v>283.48738729114024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>
        <f>EXP(-LN(2)/35)*EV197+(1-EXP(-LN(2)/35))/(LN(2)/35)*ER198*ES198*VLOOKUP('Données projet'!$B$15,Paramètres!$A$1:$I$89,3,0)*0.475*44/12</f>
        <v>6.9080939487697002E-2</v>
      </c>
      <c r="EW198" s="23">
        <f>EXP(-LN(2)/25)*EW197+(1-EXP(-LN(2)/25))/(LN(2)/25)*Calculateur!ER198*Calculateur!ET198*VLOOKUP('Données projet'!$B$15,Paramètres!$A$1:$I$89,3,0)*0.475*44/12</f>
        <v>0</v>
      </c>
      <c r="EX198" s="23">
        <f>EXP(-LN(2)/2)*EX197+(1-EXP(-LN(2)/2))/(LN(2)/2)*ER198*EU198*VLOOKUP('Données projet'!$B$15,Paramètres!$A$1:$I$89,3,0)*0.475*44/12</f>
        <v>0</v>
      </c>
      <c r="EY198" s="24">
        <f t="shared" si="181"/>
        <v>6.9080939487697002E-2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3.4106051316484809E-13</v>
      </c>
      <c r="O199" s="14">
        <f>N199*VLOOKUP('Données projet'!$B$9,Paramètres!$A$1:$I$89,3,0)*VLOOKUP('Données projet'!$B$9,Paramètres!$A$1:$I$89,5,0)</f>
        <v>1.5961632016114892E-13</v>
      </c>
      <c r="P199" s="14">
        <f t="shared" si="203"/>
        <v>2.2708641912150958E-12</v>
      </c>
      <c r="Q199" s="22">
        <f t="shared" si="162"/>
        <v>4.2330868906469593E-12</v>
      </c>
      <c r="R199" s="62">
        <f t="shared" si="191"/>
        <v>293.33333333333752</v>
      </c>
      <c r="S199" s="62">
        <f ca="1">AVERAGE(OFFSET($R$3,0,0,'Données projet'!$E$9+1,1))-AVERAGE(OFFSET($H$3,0,0,'Données projet'!$E$9+1,1))</f>
        <v>317.54276561627643</v>
      </c>
      <c r="T199" s="62">
        <f t="shared" si="204"/>
        <v>238.92443174298893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-1.1368683772161603E-13</v>
      </c>
      <c r="AJ199" s="14">
        <f>AI199*VLOOKUP('Données projet'!$B$10,Paramètres!$A$1:$I$89,3,0)*VLOOKUP('Données projet'!$B$10,Paramètres!$A$1:$I$89,5,0)</f>
        <v>-9.9316821433603781E-14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327.826081588335</v>
      </c>
      <c r="AO199" s="62">
        <f t="shared" si="205"/>
        <v>348.84706693879735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0.22953432585771172</v>
      </c>
      <c r="AV199" s="23">
        <f>EXP(-LN(2)/25)*AV198+(1-EXP(-LN(2)/25))/(LN(2)/25)*Calculateur!AQ199*Calculateur!AS199*VLOOKUP('Données projet'!$B$10,Paramètres!$A$1:$I$89,3,0)*0.475*44/12</f>
        <v>0.13756211083936293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0.36709643669707465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>
        <f>BD199*VLOOKUP('Données projet'!$B$11,Paramètres!$A$1:$I$89,3,0)*VLOOKUP('Données projet'!$B$11,Paramètres!$A$1:$I$89,5,0)</f>
        <v>0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487.04124684635974</v>
      </c>
      <c r="BJ199" s="62">
        <f t="shared" si="206"/>
        <v>306.61893266146666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0.10080899446453558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0.10080899446453558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>
        <f>BY199*VLOOKUP('Données projet'!$B$12,Paramètres!$A$1:$I$89,3,0)*VLOOKUP('Données projet'!$B$12,Paramètres!$A$1:$I$89,5,0)</f>
        <v>0</v>
      </c>
      <c r="CA199" s="14" t="e">
        <f t="shared" si="170"/>
        <v>#NUM!</v>
      </c>
      <c r="CB199" s="22" t="e">
        <f t="shared" si="171"/>
        <v>#NUM!</v>
      </c>
      <c r="CC199" s="62" t="e">
        <f t="shared" si="195"/>
        <v>#NUM!</v>
      </c>
      <c r="CD199" s="62">
        <f ca="1">AVERAGE(OFFSET($CC$3,0,0,'Données projet'!$E$12+1,1))-AVERAGE(OFFSET($H$3,0,0,'Données projet'!$E$12+1,1))</f>
        <v>439.06700232017681</v>
      </c>
      <c r="CE199" s="62">
        <f t="shared" si="207"/>
        <v>278.21741231699929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8.9952641214508633E-2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8.9952641214508633E-2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317.99999999999972</v>
      </c>
      <c r="CU199" s="18">
        <f>CT199*VLOOKUP('Données projet'!$B$13,Paramètres!$A$1:$I$89,3,0)*VLOOKUP('Données projet'!$B$13,Paramètres!$A$1:$I$89,5,0)</f>
        <v>233.1575999999998</v>
      </c>
      <c r="CV199" s="14">
        <f t="shared" si="173"/>
        <v>56.964885721091697</v>
      </c>
      <c r="CW199" s="22">
        <f t="shared" si="174"/>
        <v>505.29666263090093</v>
      </c>
      <c r="CX199" s="62">
        <f t="shared" si="196"/>
        <v>798.62999596423424</v>
      </c>
      <c r="CY199" s="62">
        <f ca="1">AVERAGE(OFFSET($CX$3,0,0,'Données projet'!$E$13+1,1))-AVERAGE(OFFSET($H$3,0,0,'Données projet'!$E$13+1,1))</f>
        <v>327.81662150328646</v>
      </c>
      <c r="CZ199" s="62">
        <f t="shared" si="208"/>
        <v>320.24200483294322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7.4745530212564082E-2</v>
      </c>
      <c r="DG199" s="23">
        <f>EXP(-LN(2)/25)*DG198+(1-EXP(-LN(2)/25))/(LN(2)/25)*Calculateur!DB199*Calculateur!DD199*VLOOKUP('Données projet'!$B$13,Paramètres!$A$1:$I$89,3,0)*0.475*44/12</f>
        <v>0</v>
      </c>
      <c r="DH199" s="23">
        <f>EXP(-LN(2)/2)*DH198+(1-EXP(-LN(2)/2))/(LN(2)/2)*DB199*DE199*VLOOKUP('Données projet'!$B$13,Paramètres!$A$1:$I$89,3,0)*0.475*44/12</f>
        <v>0</v>
      </c>
      <c r="DI199" s="24">
        <f t="shared" si="175"/>
        <v>7.4745530212564082E-2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5.6843418860808015E-14</v>
      </c>
      <c r="DP199" s="18">
        <f>DO199*VLOOKUP('Données projet'!$B$14,Paramètres!$A$1:$I$89,3,0)*VLOOKUP('Données projet'!$B$14,Paramètres!$A$1:$I$89,5,0)</f>
        <v>3.7243808037601412E-14</v>
      </c>
      <c r="DQ199" s="14">
        <f t="shared" si="176"/>
        <v>6.2767589361185393E-13</v>
      </c>
      <c r="DR199" s="22">
        <f t="shared" si="177"/>
        <v>1.1580684803728015E-12</v>
      </c>
      <c r="DS199" s="62">
        <f t="shared" si="197"/>
        <v>293.33333333333445</v>
      </c>
      <c r="DT199" s="62">
        <f ca="1">AVERAGE(OFFSET($DS$3,0,0,'Données projet'!$E$14+1,1))-AVERAGE(OFFSET($H$3,0,0,'Données projet'!$E$14+1,1))</f>
        <v>210.08998695869161</v>
      </c>
      <c r="DU199" s="62">
        <f t="shared" si="209"/>
        <v>207.30911916430881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>
        <f>EXP(-LN(2)/35)*EA198+(1-EXP(-LN(2)/35))/(LN(2)/35)*DW199*DX199*VLOOKUP('Données projet'!$B$14,Paramètres!$A$1:$I$89,3,0)*0.475*44/12</f>
        <v>1.7175568644589186E-2</v>
      </c>
      <c r="EB199" s="23">
        <f>EXP(-LN(2)/25)*EB198+(1-EXP(-LN(2)/25))/(LN(2)/25)*Calculateur!DW199*Calculateur!DY199*VLOOKUP('Données projet'!$B$14,Paramètres!$A$1:$I$89,3,0)*0.475*44/12</f>
        <v>0</v>
      </c>
      <c r="EC199" s="23">
        <f>EXP(-LN(2)/2)*EC198+(1-EXP(-LN(2)/2))/(LN(2)/2)*DW199*DZ199*VLOOKUP('Données projet'!$B$14,Paramètres!$A$1:$I$89,3,0)*0.475*44/12</f>
        <v>0</v>
      </c>
      <c r="ED199" s="24">
        <f t="shared" si="178"/>
        <v>1.7175568644589186E-2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5.6843418860808015E-14</v>
      </c>
      <c r="EK199" s="18">
        <f>EJ199*VLOOKUP('Données projet'!$B$15,Paramètres!$A$1:$I$89,3,0)*VLOOKUP('Données projet'!$B$15,Paramètres!$A$1:$I$89,5,0)</f>
        <v>4.4337866711430253E-14</v>
      </c>
      <c r="EL199" s="14">
        <f t="shared" si="179"/>
        <v>7.3222115536967035E-13</v>
      </c>
      <c r="EM199" s="22">
        <f t="shared" si="180"/>
        <v>1.3525069634579169E-12</v>
      </c>
      <c r="EN199" s="62">
        <f t="shared" si="198"/>
        <v>293.33333333333468</v>
      </c>
      <c r="EO199" s="62">
        <f ca="1">AVERAGE(OFFSET($EN$3,0,0,'Données projet'!$E$15+1,1))-AVERAGE(OFFSET($H$3,0,0,'Données projet'!$E$15+1,1))</f>
        <v>288.82868507674738</v>
      </c>
      <c r="EP199" s="62">
        <f t="shared" si="210"/>
        <v>283.48738729114024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>
        <f>EXP(-LN(2)/35)*EV198+(1-EXP(-LN(2)/35))/(LN(2)/35)*ER199*ES199*VLOOKUP('Données projet'!$B$15,Paramètres!$A$1:$I$89,3,0)*0.475*44/12</f>
        <v>6.7726304399555848E-2</v>
      </c>
      <c r="EW199" s="23">
        <f>EXP(-LN(2)/25)*EW198+(1-EXP(-LN(2)/25))/(LN(2)/25)*Calculateur!ER199*Calculateur!ET199*VLOOKUP('Données projet'!$B$15,Paramètres!$A$1:$I$89,3,0)*0.475*44/12</f>
        <v>0</v>
      </c>
      <c r="EX199" s="23">
        <f>EXP(-LN(2)/2)*EX198+(1-EXP(-LN(2)/2))/(LN(2)/2)*ER199*EU199*VLOOKUP('Données projet'!$B$15,Paramètres!$A$1:$I$89,3,0)*0.475*44/12</f>
        <v>0</v>
      </c>
      <c r="EY199" s="24">
        <f t="shared" si="181"/>
        <v>6.7726304399555848E-2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3.4106051316484809E-13</v>
      </c>
      <c r="O200" s="14">
        <f>N200*VLOOKUP('Données projet'!$B$9,Paramètres!$A$1:$I$89,3,0)*VLOOKUP('Données projet'!$B$9,Paramètres!$A$1:$I$89,5,0)</f>
        <v>1.5961632016114892E-13</v>
      </c>
      <c r="P200" s="14">
        <f t="shared" si="203"/>
        <v>2.2708641912150958E-12</v>
      </c>
      <c r="Q200" s="22">
        <f t="shared" si="162"/>
        <v>4.2330868906469593E-12</v>
      </c>
      <c r="R200" s="62">
        <f t="shared" si="191"/>
        <v>293.33333333333752</v>
      </c>
      <c r="S200" s="62">
        <f ca="1">AVERAGE(OFFSET($R$3,0,0,'Données projet'!$E$9+1,1))-AVERAGE(OFFSET($H$3,0,0,'Données projet'!$E$9+1,1))</f>
        <v>317.54276561627643</v>
      </c>
      <c r="T200" s="62">
        <f t="shared" si="204"/>
        <v>238.92443174298893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-1.1368683772161603E-13</v>
      </c>
      <c r="AJ200" s="14">
        <f>AI200*VLOOKUP('Données projet'!$B$10,Paramètres!$A$1:$I$89,3,0)*VLOOKUP('Données projet'!$B$10,Paramètres!$A$1:$I$89,5,0)</f>
        <v>-9.9316821433603781E-14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327.826081588335</v>
      </c>
      <c r="AO200" s="62">
        <f t="shared" si="205"/>
        <v>348.84706693879735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0.22503329772975669</v>
      </c>
      <c r="AV200" s="23">
        <f>EXP(-LN(2)/25)*AV199+(1-EXP(-LN(2)/25))/(LN(2)/25)*Calculateur!AQ200*Calculateur!AS200*VLOOKUP('Données projet'!$B$10,Paramètres!$A$1:$I$89,3,0)*0.475*44/12</f>
        <v>0.13380046768438353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0.35883376541414025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>
        <f>BD200*VLOOKUP('Données projet'!$B$11,Paramètres!$A$1:$I$89,3,0)*VLOOKUP('Données projet'!$B$11,Paramètres!$A$1:$I$89,5,0)</f>
        <v>0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487.04124684635974</v>
      </c>
      <c r="BJ200" s="62">
        <f t="shared" si="206"/>
        <v>306.61893266146666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9.8832191570501285E-2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9.8832191570501285E-2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>
        <f>BY200*VLOOKUP('Données projet'!$B$12,Paramètres!$A$1:$I$89,3,0)*VLOOKUP('Données projet'!$B$12,Paramètres!$A$1:$I$89,5,0)</f>
        <v>0</v>
      </c>
      <c r="CA200" s="14" t="e">
        <f t="shared" si="170"/>
        <v>#NUM!</v>
      </c>
      <c r="CB200" s="22" t="e">
        <f t="shared" si="171"/>
        <v>#NUM!</v>
      </c>
      <c r="CC200" s="62" t="e">
        <f t="shared" si="195"/>
        <v>#NUM!</v>
      </c>
      <c r="CD200" s="62">
        <f ca="1">AVERAGE(OFFSET($CC$3,0,0,'Données projet'!$E$12+1,1))-AVERAGE(OFFSET($H$3,0,0,'Données projet'!$E$12+1,1))</f>
        <v>439.06700232017681</v>
      </c>
      <c r="CE200" s="62">
        <f t="shared" si="207"/>
        <v>278.21741231699929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8.8188724785985717E-2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8.8188724785985717E-2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317.99999999999972</v>
      </c>
      <c r="CU200" s="18">
        <f>CT200*VLOOKUP('Données projet'!$B$13,Paramètres!$A$1:$I$89,3,0)*VLOOKUP('Données projet'!$B$13,Paramètres!$A$1:$I$89,5,0)</f>
        <v>233.1575999999998</v>
      </c>
      <c r="CV200" s="14">
        <f t="shared" si="173"/>
        <v>56.964885721091697</v>
      </c>
      <c r="CW200" s="22">
        <f t="shared" si="174"/>
        <v>505.29666263090093</v>
      </c>
      <c r="CX200" s="62">
        <f t="shared" si="196"/>
        <v>798.62999596423424</v>
      </c>
      <c r="CY200" s="62">
        <f ca="1">AVERAGE(OFFSET($CX$3,0,0,'Données projet'!$E$13+1,1))-AVERAGE(OFFSET($H$3,0,0,'Données projet'!$E$13+1,1))</f>
        <v>327.81662150328646</v>
      </c>
      <c r="CZ200" s="62">
        <f t="shared" si="208"/>
        <v>320.24200483294322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7.3279815955367464E-2</v>
      </c>
      <c r="DG200" s="23">
        <f>EXP(-LN(2)/25)*DG199+(1-EXP(-LN(2)/25))/(LN(2)/25)*Calculateur!DB200*Calculateur!DD200*VLOOKUP('Données projet'!$B$13,Paramètres!$A$1:$I$89,3,0)*0.475*44/12</f>
        <v>0</v>
      </c>
      <c r="DH200" s="23">
        <f>EXP(-LN(2)/2)*DH199+(1-EXP(-LN(2)/2))/(LN(2)/2)*DB200*DE200*VLOOKUP('Données projet'!$B$13,Paramètres!$A$1:$I$89,3,0)*0.475*44/12</f>
        <v>0</v>
      </c>
      <c r="DI200" s="24">
        <f t="shared" si="175"/>
        <v>7.3279815955367464E-2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5.6843418860808015E-14</v>
      </c>
      <c r="DP200" s="18">
        <f>DO200*VLOOKUP('Données projet'!$B$14,Paramètres!$A$1:$I$89,3,0)*VLOOKUP('Données projet'!$B$14,Paramètres!$A$1:$I$89,5,0)</f>
        <v>3.7243808037601412E-14</v>
      </c>
      <c r="DQ200" s="14">
        <f t="shared" si="176"/>
        <v>6.2767589361185393E-13</v>
      </c>
      <c r="DR200" s="22">
        <f t="shared" si="177"/>
        <v>1.1580684803728015E-12</v>
      </c>
      <c r="DS200" s="62">
        <f t="shared" si="197"/>
        <v>293.33333333333445</v>
      </c>
      <c r="DT200" s="62">
        <f ca="1">AVERAGE(OFFSET($DS$3,0,0,'Données projet'!$E$14+1,1))-AVERAGE(OFFSET($H$3,0,0,'Données projet'!$E$14+1,1))</f>
        <v>210.08998695869161</v>
      </c>
      <c r="DU200" s="62">
        <f t="shared" si="209"/>
        <v>207.30911916430881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>
        <f>EXP(-LN(2)/35)*EA199+(1-EXP(-LN(2)/35))/(LN(2)/35)*DW200*DX200*VLOOKUP('Données projet'!$B$14,Paramètres!$A$1:$I$89,3,0)*0.475*44/12</f>
        <v>1.6838766219531242E-2</v>
      </c>
      <c r="EB200" s="23">
        <f>EXP(-LN(2)/25)*EB199+(1-EXP(-LN(2)/25))/(LN(2)/25)*Calculateur!DW200*Calculateur!DY200*VLOOKUP('Données projet'!$B$14,Paramètres!$A$1:$I$89,3,0)*0.475*44/12</f>
        <v>0</v>
      </c>
      <c r="EC200" s="23">
        <f>EXP(-LN(2)/2)*EC199+(1-EXP(-LN(2)/2))/(LN(2)/2)*DW200*DZ200*VLOOKUP('Données projet'!$B$14,Paramètres!$A$1:$I$89,3,0)*0.475*44/12</f>
        <v>0</v>
      </c>
      <c r="ED200" s="24">
        <f t="shared" si="178"/>
        <v>1.6838766219531242E-2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5.6843418860808015E-14</v>
      </c>
      <c r="EK200" s="18">
        <f>EJ200*VLOOKUP('Données projet'!$B$15,Paramètres!$A$1:$I$89,3,0)*VLOOKUP('Données projet'!$B$15,Paramètres!$A$1:$I$89,5,0)</f>
        <v>4.4337866711430253E-14</v>
      </c>
      <c r="EL200" s="14">
        <f t="shared" si="179"/>
        <v>7.3222115536967035E-13</v>
      </c>
      <c r="EM200" s="22">
        <f t="shared" si="180"/>
        <v>1.3525069634579169E-12</v>
      </c>
      <c r="EN200" s="62">
        <f t="shared" si="198"/>
        <v>293.33333333333468</v>
      </c>
      <c r="EO200" s="62">
        <f ca="1">AVERAGE(OFFSET($EN$3,0,0,'Données projet'!$E$15+1,1))-AVERAGE(OFFSET($H$3,0,0,'Données projet'!$E$15+1,1))</f>
        <v>288.82868507674738</v>
      </c>
      <c r="EP200" s="62">
        <f t="shared" si="210"/>
        <v>283.48738729114024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>
        <f>EXP(-LN(2)/35)*EV199+(1-EXP(-LN(2)/35))/(LN(2)/35)*ER200*ES200*VLOOKUP('Données projet'!$B$15,Paramètres!$A$1:$I$89,3,0)*0.475*44/12</f>
        <v>6.6398232879247315E-2</v>
      </c>
      <c r="EW200" s="23">
        <f>EXP(-LN(2)/25)*EW199+(1-EXP(-LN(2)/25))/(LN(2)/25)*Calculateur!ER200*Calculateur!ET200*VLOOKUP('Données projet'!$B$15,Paramètres!$A$1:$I$89,3,0)*0.475*44/12</f>
        <v>0</v>
      </c>
      <c r="EX200" s="23">
        <f>EXP(-LN(2)/2)*EX199+(1-EXP(-LN(2)/2))/(LN(2)/2)*ER200*EU200*VLOOKUP('Données projet'!$B$15,Paramètres!$A$1:$I$89,3,0)*0.475*44/12</f>
        <v>0</v>
      </c>
      <c r="EY200" s="24">
        <f t="shared" si="181"/>
        <v>6.6398232879247315E-2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3.4106051316484809E-13</v>
      </c>
      <c r="O201" s="14">
        <f>N201*VLOOKUP('Données projet'!$B$9,Paramètres!$A$1:$I$89,3,0)*VLOOKUP('Données projet'!$B$9,Paramètres!$A$1:$I$89,5,0)</f>
        <v>1.5961632016114892E-13</v>
      </c>
      <c r="P201" s="14">
        <f t="shared" si="203"/>
        <v>2.2708641912150958E-12</v>
      </c>
      <c r="Q201" s="22">
        <f t="shared" si="162"/>
        <v>4.2330868906469593E-12</v>
      </c>
      <c r="R201" s="62">
        <f t="shared" si="191"/>
        <v>293.33333333333752</v>
      </c>
      <c r="S201" s="62">
        <f ca="1">AVERAGE(OFFSET($R$3,0,0,'Données projet'!$E$9+1,1))-AVERAGE(OFFSET($H$3,0,0,'Données projet'!$E$9+1,1))</f>
        <v>317.54276561627643</v>
      </c>
      <c r="T201" s="62">
        <f t="shared" si="204"/>
        <v>238.92443174298893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-1.1368683772161603E-13</v>
      </c>
      <c r="AJ201" s="14">
        <f>AI201*VLOOKUP('Données projet'!$B$10,Paramètres!$A$1:$I$89,3,0)*VLOOKUP('Données projet'!$B$10,Paramètres!$A$1:$I$89,5,0)</f>
        <v>-9.9316821433603781E-14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327.826081588335</v>
      </c>
      <c r="AO201" s="62">
        <f t="shared" si="205"/>
        <v>348.84706693879735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0.2206205320180348</v>
      </c>
      <c r="AV201" s="23">
        <f>EXP(-LN(2)/25)*AV200+(1-EXP(-LN(2)/25))/(LN(2)/25)*Calculateur!AQ201*Calculateur!AS201*VLOOKUP('Données projet'!$B$10,Paramètres!$A$1:$I$89,3,0)*0.475*44/12</f>
        <v>0.13014168685929328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0.35076221887732806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>
        <f>BD201*VLOOKUP('Données projet'!$B$11,Paramètres!$A$1:$I$89,3,0)*VLOOKUP('Données projet'!$B$11,Paramètres!$A$1:$I$89,5,0)</f>
        <v>0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487.04124684635974</v>
      </c>
      <c r="BJ201" s="62">
        <f t="shared" si="206"/>
        <v>306.61893266146666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9.6894152575488293E-2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9.6894152575488293E-2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>
        <f>BY201*VLOOKUP('Données projet'!$B$12,Paramètres!$A$1:$I$89,3,0)*VLOOKUP('Données projet'!$B$12,Paramètres!$A$1:$I$89,5,0)</f>
        <v>0</v>
      </c>
      <c r="CA201" s="14" t="e">
        <f t="shared" si="170"/>
        <v>#NUM!</v>
      </c>
      <c r="CB201" s="22" t="e">
        <f t="shared" si="171"/>
        <v>#NUM!</v>
      </c>
      <c r="CC201" s="62" t="e">
        <f t="shared" si="195"/>
        <v>#NUM!</v>
      </c>
      <c r="CD201" s="62">
        <f ca="1">AVERAGE(OFFSET($CC$3,0,0,'Données projet'!$E$12+1,1))-AVERAGE(OFFSET($H$3,0,0,'Données projet'!$E$12+1,1))</f>
        <v>439.06700232017681</v>
      </c>
      <c r="CE201" s="62">
        <f t="shared" si="207"/>
        <v>278.21741231699929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8.6459397682743355E-2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8.6459397682743355E-2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317.99999999999972</v>
      </c>
      <c r="CU201" s="18">
        <f>CT201*VLOOKUP('Données projet'!$B$13,Paramètres!$A$1:$I$89,3,0)*VLOOKUP('Données projet'!$B$13,Paramètres!$A$1:$I$89,5,0)</f>
        <v>233.1575999999998</v>
      </c>
      <c r="CV201" s="14">
        <f t="shared" si="173"/>
        <v>56.964885721091697</v>
      </c>
      <c r="CW201" s="22">
        <f t="shared" si="174"/>
        <v>505.29666263090093</v>
      </c>
      <c r="CX201" s="62">
        <f t="shared" si="196"/>
        <v>798.62999596423424</v>
      </c>
      <c r="CY201" s="62">
        <f ca="1">AVERAGE(OFFSET($CX$3,0,0,'Données projet'!$E$13+1,1))-AVERAGE(OFFSET($H$3,0,0,'Données projet'!$E$13+1,1))</f>
        <v>327.81662150328646</v>
      </c>
      <c r="CZ201" s="62">
        <f t="shared" si="208"/>
        <v>320.24200483294322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7.1842843460757047E-2</v>
      </c>
      <c r="DG201" s="23">
        <f>EXP(-LN(2)/25)*DG200+(1-EXP(-LN(2)/25))/(LN(2)/25)*Calculateur!DB201*Calculateur!DD201*VLOOKUP('Données projet'!$B$13,Paramètres!$A$1:$I$89,3,0)*0.475*44/12</f>
        <v>0</v>
      </c>
      <c r="DH201" s="23">
        <f>EXP(-LN(2)/2)*DH200+(1-EXP(-LN(2)/2))/(LN(2)/2)*DB201*DE201*VLOOKUP('Données projet'!$B$13,Paramètres!$A$1:$I$89,3,0)*0.475*44/12</f>
        <v>0</v>
      </c>
      <c r="DI201" s="24">
        <f t="shared" si="175"/>
        <v>7.1842843460757047E-2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5.6843418860808015E-14</v>
      </c>
      <c r="DP201" s="18">
        <f>DO201*VLOOKUP('Données projet'!$B$14,Paramètres!$A$1:$I$89,3,0)*VLOOKUP('Données projet'!$B$14,Paramètres!$A$1:$I$89,5,0)</f>
        <v>3.7243808037601412E-14</v>
      </c>
      <c r="DQ201" s="14">
        <f t="shared" si="176"/>
        <v>6.2767589361185393E-13</v>
      </c>
      <c r="DR201" s="22">
        <f t="shared" si="177"/>
        <v>1.1580684803728015E-12</v>
      </c>
      <c r="DS201" s="62">
        <f t="shared" si="197"/>
        <v>293.33333333333445</v>
      </c>
      <c r="DT201" s="62">
        <f ca="1">AVERAGE(OFFSET($DS$3,0,0,'Données projet'!$E$14+1,1))-AVERAGE(OFFSET($H$3,0,0,'Données projet'!$E$14+1,1))</f>
        <v>210.08998695869161</v>
      </c>
      <c r="DU201" s="62">
        <f t="shared" si="209"/>
        <v>207.30911916430881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>
        <f>EXP(-LN(2)/35)*EA200+(1-EXP(-LN(2)/35))/(LN(2)/35)*DW201*DX201*VLOOKUP('Données projet'!$B$14,Paramètres!$A$1:$I$89,3,0)*0.475*44/12</f>
        <v>1.6508568284599488E-2</v>
      </c>
      <c r="EB201" s="23">
        <f>EXP(-LN(2)/25)*EB200+(1-EXP(-LN(2)/25))/(LN(2)/25)*Calculateur!DW201*Calculateur!DY201*VLOOKUP('Données projet'!$B$14,Paramètres!$A$1:$I$89,3,0)*0.475*44/12</f>
        <v>0</v>
      </c>
      <c r="EC201" s="23">
        <f>EXP(-LN(2)/2)*EC200+(1-EXP(-LN(2)/2))/(LN(2)/2)*DW201*DZ201*VLOOKUP('Données projet'!$B$14,Paramètres!$A$1:$I$89,3,0)*0.475*44/12</f>
        <v>0</v>
      </c>
      <c r="ED201" s="24">
        <f t="shared" si="178"/>
        <v>1.6508568284599488E-2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5.6843418860808015E-14</v>
      </c>
      <c r="EK201" s="18">
        <f>EJ201*VLOOKUP('Données projet'!$B$15,Paramètres!$A$1:$I$89,3,0)*VLOOKUP('Données projet'!$B$15,Paramètres!$A$1:$I$89,5,0)</f>
        <v>4.4337866711430253E-14</v>
      </c>
      <c r="EL201" s="14">
        <f t="shared" si="179"/>
        <v>7.3222115536967035E-13</v>
      </c>
      <c r="EM201" s="22">
        <f t="shared" si="180"/>
        <v>1.3525069634579169E-12</v>
      </c>
      <c r="EN201" s="62">
        <f t="shared" si="198"/>
        <v>293.33333333333468</v>
      </c>
      <c r="EO201" s="62">
        <f ca="1">AVERAGE(OFFSET($EN$3,0,0,'Données projet'!$E$15+1,1))-AVERAGE(OFFSET($H$3,0,0,'Données projet'!$E$15+1,1))</f>
        <v>288.82868507674738</v>
      </c>
      <c r="EP201" s="62">
        <f t="shared" si="210"/>
        <v>283.48738729114024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>
        <f>EXP(-LN(2)/35)*EV200+(1-EXP(-LN(2)/35))/(LN(2)/35)*ER201*ES201*VLOOKUP('Données projet'!$B$15,Paramètres!$A$1:$I$89,3,0)*0.475*44/12</f>
        <v>6.5096204031408395E-2</v>
      </c>
      <c r="EW201" s="23">
        <f>EXP(-LN(2)/25)*EW200+(1-EXP(-LN(2)/25))/(LN(2)/25)*Calculateur!ER201*Calculateur!ET201*VLOOKUP('Données projet'!$B$15,Paramètres!$A$1:$I$89,3,0)*0.475*44/12</f>
        <v>0</v>
      </c>
      <c r="EX201" s="23">
        <f>EXP(-LN(2)/2)*EX200+(1-EXP(-LN(2)/2))/(LN(2)/2)*ER201*EU201*VLOOKUP('Données projet'!$B$15,Paramètres!$A$1:$I$89,3,0)*0.475*44/12</f>
        <v>0</v>
      </c>
      <c r="EY201" s="24">
        <f t="shared" si="181"/>
        <v>6.5096204031408395E-2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3.4106051316484809E-13</v>
      </c>
      <c r="O202" s="14">
        <f>N202*VLOOKUP('Données projet'!$B$9,Paramètres!$A$1:$I$89,3,0)*VLOOKUP('Données projet'!$B$9,Paramètres!$A$1:$I$89,5,0)</f>
        <v>1.5961632016114892E-13</v>
      </c>
      <c r="P202" s="14">
        <f t="shared" si="203"/>
        <v>2.2708641912150958E-12</v>
      </c>
      <c r="Q202" s="22">
        <f t="shared" si="162"/>
        <v>4.2330868906469593E-12</v>
      </c>
      <c r="R202" s="62">
        <f t="shared" si="191"/>
        <v>293.33333333333752</v>
      </c>
      <c r="S202" s="62">
        <f ca="1">AVERAGE(OFFSET($R$3,0,0,'Données projet'!$E$9+1,1))-AVERAGE(OFFSET($H$3,0,0,'Données projet'!$E$9+1,1))</f>
        <v>317.54276561627643</v>
      </c>
      <c r="T202" s="62">
        <f t="shared" si="204"/>
        <v>238.92443174298893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-1.1368683772161603E-13</v>
      </c>
      <c r="AJ202" s="14">
        <f>AI202*VLOOKUP('Données projet'!$B$10,Paramètres!$A$1:$I$89,3,0)*VLOOKUP('Données projet'!$B$10,Paramètres!$A$1:$I$89,5,0)</f>
        <v>-9.9316821433603781E-14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327.826081588335</v>
      </c>
      <c r="AO202" s="62">
        <f t="shared" si="205"/>
        <v>348.84706693879735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0.21629429795039845</v>
      </c>
      <c r="AV202" s="23">
        <f>EXP(-LN(2)/25)*AV201+(1-EXP(-LN(2)/25))/(LN(2)/25)*Calculateur!AQ202*Calculateur!AS202*VLOOKUP('Données projet'!$B$10,Paramètres!$A$1:$I$89,3,0)*0.475*44/12</f>
        <v>0.12658295558827204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0.34287725353867049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>
        <f>BD202*VLOOKUP('Données projet'!$B$11,Paramètres!$A$1:$I$89,3,0)*VLOOKUP('Données projet'!$B$11,Paramètres!$A$1:$I$89,5,0)</f>
        <v>0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487.04124684635974</v>
      </c>
      <c r="BJ202" s="62">
        <f t="shared" si="206"/>
        <v>306.61893266146666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9.4994117343080442E-2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9.4994117343080442E-2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>
        <f>BY202*VLOOKUP('Données projet'!$B$12,Paramètres!$A$1:$I$89,3,0)*VLOOKUP('Données projet'!$B$12,Paramètres!$A$1:$I$89,5,0)</f>
        <v>0</v>
      </c>
      <c r="CA202" s="14" t="e">
        <f t="shared" si="170"/>
        <v>#NUM!</v>
      </c>
      <c r="CB202" s="22" t="e">
        <f t="shared" si="171"/>
        <v>#NUM!</v>
      </c>
      <c r="CC202" s="62" t="e">
        <f t="shared" si="195"/>
        <v>#NUM!</v>
      </c>
      <c r="CD202" s="62">
        <f ca="1">AVERAGE(OFFSET($CC$3,0,0,'Données projet'!$E$12+1,1))-AVERAGE(OFFSET($H$3,0,0,'Données projet'!$E$12+1,1))</f>
        <v>439.06700232017681</v>
      </c>
      <c r="CE202" s="62">
        <f t="shared" si="207"/>
        <v>278.21741231699929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8.47639816292102E-2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8.47639816292102E-2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317.99999999999972</v>
      </c>
      <c r="CU202" s="18">
        <f>CT202*VLOOKUP('Données projet'!$B$13,Paramètres!$A$1:$I$89,3,0)*VLOOKUP('Données projet'!$B$13,Paramètres!$A$1:$I$89,5,0)</f>
        <v>233.1575999999998</v>
      </c>
      <c r="CV202" s="14">
        <f t="shared" si="173"/>
        <v>56.964885721091697</v>
      </c>
      <c r="CW202" s="22">
        <f t="shared" si="174"/>
        <v>505.29666263090093</v>
      </c>
      <c r="CX202" s="62">
        <f t="shared" si="196"/>
        <v>798.62999596423424</v>
      </c>
      <c r="CY202" s="62">
        <f ca="1">AVERAGE(OFFSET($CX$3,0,0,'Données projet'!$E$13+1,1))-AVERAGE(OFFSET($H$3,0,0,'Données projet'!$E$13+1,1))</f>
        <v>327.81662150328646</v>
      </c>
      <c r="CZ202" s="62">
        <f t="shared" si="208"/>
        <v>320.24200483294322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7.0434049120299269E-2</v>
      </c>
      <c r="DG202" s="23">
        <f>EXP(-LN(2)/25)*DG201+(1-EXP(-LN(2)/25))/(LN(2)/25)*Calculateur!DB202*Calculateur!DD202*VLOOKUP('Données projet'!$B$13,Paramètres!$A$1:$I$89,3,0)*0.475*44/12</f>
        <v>0</v>
      </c>
      <c r="DH202" s="23">
        <f>EXP(-LN(2)/2)*DH201+(1-EXP(-LN(2)/2))/(LN(2)/2)*DB202*DE202*VLOOKUP('Données projet'!$B$13,Paramètres!$A$1:$I$89,3,0)*0.475*44/12</f>
        <v>0</v>
      </c>
      <c r="DI202" s="24">
        <f t="shared" si="175"/>
        <v>7.0434049120299269E-2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5.6843418860808015E-14</v>
      </c>
      <c r="DP202" s="18">
        <f>DO202*VLOOKUP('Données projet'!$B$14,Paramètres!$A$1:$I$89,3,0)*VLOOKUP('Données projet'!$B$14,Paramètres!$A$1:$I$89,5,0)</f>
        <v>3.7243808037601412E-14</v>
      </c>
      <c r="DQ202" s="14">
        <f t="shared" si="176"/>
        <v>6.2767589361185393E-13</v>
      </c>
      <c r="DR202" s="22">
        <f t="shared" si="177"/>
        <v>1.1580684803728015E-12</v>
      </c>
      <c r="DS202" s="62">
        <f t="shared" si="197"/>
        <v>293.33333333333445</v>
      </c>
      <c r="DT202" s="62">
        <f ca="1">AVERAGE(OFFSET($DS$3,0,0,'Données projet'!$E$14+1,1))-AVERAGE(OFFSET($H$3,0,0,'Données projet'!$E$14+1,1))</f>
        <v>210.08998695869161</v>
      </c>
      <c r="DU202" s="62">
        <f t="shared" si="209"/>
        <v>207.30911916430881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>
        <f>EXP(-LN(2)/35)*EA201+(1-EXP(-LN(2)/35))/(LN(2)/35)*DW202*DX202*VLOOKUP('Données projet'!$B$14,Paramètres!$A$1:$I$89,3,0)*0.475*44/12</f>
        <v>1.6184845329770891E-2</v>
      </c>
      <c r="EB202" s="23">
        <f>EXP(-LN(2)/25)*EB201+(1-EXP(-LN(2)/25))/(LN(2)/25)*Calculateur!DW202*Calculateur!DY202*VLOOKUP('Données projet'!$B$14,Paramètres!$A$1:$I$89,3,0)*0.475*44/12</f>
        <v>0</v>
      </c>
      <c r="EC202" s="23">
        <f>EXP(-LN(2)/2)*EC201+(1-EXP(-LN(2)/2))/(LN(2)/2)*DW202*DZ202*VLOOKUP('Données projet'!$B$14,Paramètres!$A$1:$I$89,3,0)*0.475*44/12</f>
        <v>0</v>
      </c>
      <c r="ED202" s="24">
        <f t="shared" si="178"/>
        <v>1.6184845329770891E-2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5.6843418860808015E-14</v>
      </c>
      <c r="EK202" s="18">
        <f>EJ202*VLOOKUP('Données projet'!$B$15,Paramètres!$A$1:$I$89,3,0)*VLOOKUP('Données projet'!$B$15,Paramètres!$A$1:$I$89,5,0)</f>
        <v>4.4337866711430253E-14</v>
      </c>
      <c r="EL202" s="14">
        <f t="shared" si="179"/>
        <v>7.3222115536967035E-13</v>
      </c>
      <c r="EM202" s="22">
        <f t="shared" si="180"/>
        <v>1.3525069634579169E-12</v>
      </c>
      <c r="EN202" s="62">
        <f t="shared" si="198"/>
        <v>293.33333333333468</v>
      </c>
      <c r="EO202" s="62">
        <f ca="1">AVERAGE(OFFSET($EN$3,0,0,'Données projet'!$E$15+1,1))-AVERAGE(OFFSET($H$3,0,0,'Données projet'!$E$15+1,1))</f>
        <v>288.82868507674738</v>
      </c>
      <c r="EP202" s="62">
        <f t="shared" si="210"/>
        <v>283.48738729114024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>
        <f>EXP(-LN(2)/35)*EV201+(1-EXP(-LN(2)/35))/(LN(2)/35)*ER202*ES202*VLOOKUP('Données projet'!$B$15,Paramètres!$A$1:$I$89,3,0)*0.475*44/12</f>
        <v>6.3819707175116411E-2</v>
      </c>
      <c r="EW202" s="23">
        <f>EXP(-LN(2)/25)*EW201+(1-EXP(-LN(2)/25))/(LN(2)/25)*Calculateur!ER202*Calculateur!ET202*VLOOKUP('Données projet'!$B$15,Paramètres!$A$1:$I$89,3,0)*0.475*44/12</f>
        <v>0</v>
      </c>
      <c r="EX202" s="23">
        <f>EXP(-LN(2)/2)*EX201+(1-EXP(-LN(2)/2))/(LN(2)/2)*ER202*EU202*VLOOKUP('Données projet'!$B$15,Paramètres!$A$1:$I$89,3,0)*0.475*44/12</f>
        <v>0</v>
      </c>
      <c r="EY202" s="24">
        <f t="shared" si="181"/>
        <v>6.3819707175116411E-2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3.4106051316484809E-13</v>
      </c>
      <c r="O203" s="14">
        <f>N203*VLOOKUP('Données projet'!$B$9,Paramètres!$A$1:$I$89,3,0)*VLOOKUP('Données projet'!$B$9,Paramètres!$A$1:$I$89,5,0)</f>
        <v>1.5961632016114892E-13</v>
      </c>
      <c r="P203" s="14">
        <f t="shared" si="203"/>
        <v>2.2708641912150958E-12</v>
      </c>
      <c r="Q203" s="22">
        <f t="shared" si="162"/>
        <v>4.2330868906469593E-12</v>
      </c>
      <c r="R203" s="62">
        <f t="shared" si="191"/>
        <v>293.33333333333752</v>
      </c>
      <c r="S203" s="62">
        <f ca="1">AVERAGE(OFFSET($R$3,0,0,'Données projet'!$E$9+1,1))-AVERAGE(OFFSET($H$3,0,0,'Données projet'!$E$9+1,1))</f>
        <v>317.54276561627643</v>
      </c>
      <c r="T203" s="62">
        <f t="shared" si="204"/>
        <v>238.92443174298893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-1.1368683772161603E-13</v>
      </c>
      <c r="AJ203" s="14">
        <f>AI203*VLOOKUP('Données projet'!$B$10,Paramètres!$A$1:$I$89,3,0)*VLOOKUP('Données projet'!$B$10,Paramètres!$A$1:$I$89,5,0)</f>
        <v>-9.9316821433603781E-14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327.826081588335</v>
      </c>
      <c r="AO203" s="62">
        <f t="shared" si="205"/>
        <v>348.84706693879735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0.21205289869408622</v>
      </c>
      <c r="AV203" s="23">
        <f>EXP(-LN(2)/25)*AV202+(1-EXP(-LN(2)/25))/(LN(2)/25)*Calculateur!AQ203*Calculateur!AS203*VLOOKUP('Données projet'!$B$10,Paramètres!$A$1:$I$89,3,0)*0.475*44/12</f>
        <v>0.12312153801100241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0.33517443670508862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>
        <f>BD203*VLOOKUP('Données projet'!$B$11,Paramètres!$A$1:$I$89,3,0)*VLOOKUP('Données projet'!$B$11,Paramètres!$A$1:$I$89,5,0)</f>
        <v>0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487.04124684635974</v>
      </c>
      <c r="BJ203" s="62">
        <f t="shared" si="206"/>
        <v>306.61893266146666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9.3131340642673047E-2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9.3131340642673047E-2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>
        <f>BY203*VLOOKUP('Données projet'!$B$12,Paramètres!$A$1:$I$89,3,0)*VLOOKUP('Données projet'!$B$12,Paramètres!$A$1:$I$89,5,0)</f>
        <v>0</v>
      </c>
      <c r="CA203" s="14" t="e">
        <f t="shared" si="170"/>
        <v>#NUM!</v>
      </c>
      <c r="CB203" s="22" t="e">
        <f t="shared" si="171"/>
        <v>#NUM!</v>
      </c>
      <c r="CC203" s="62" t="e">
        <f t="shared" si="195"/>
        <v>#NUM!</v>
      </c>
      <c r="CD203" s="62">
        <f ca="1">AVERAGE(OFFSET($CC$3,0,0,'Données projet'!$E$12+1,1))-AVERAGE(OFFSET($H$3,0,0,'Données projet'!$E$12+1,1))</f>
        <v>439.06700232017681</v>
      </c>
      <c r="CE203" s="62">
        <f t="shared" si="207"/>
        <v>278.21741231699929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8.3101811650385146E-2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8.3101811650385146E-2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317.99999999999972</v>
      </c>
      <c r="CU203" s="18">
        <f>CT203*VLOOKUP('Données projet'!$B$13,Paramètres!$A$1:$I$89,3,0)*VLOOKUP('Données projet'!$B$13,Paramètres!$A$1:$I$89,5,0)</f>
        <v>233.1575999999998</v>
      </c>
      <c r="CV203" s="14">
        <f t="shared" si="173"/>
        <v>56.964885721091697</v>
      </c>
      <c r="CW203" s="22">
        <f t="shared" si="174"/>
        <v>505.29666263090093</v>
      </c>
      <c r="CX203" s="62">
        <f t="shared" si="196"/>
        <v>798.62999596423424</v>
      </c>
      <c r="CY203" s="62">
        <f ca="1">AVERAGE(OFFSET($CX$3,0,0,'Données projet'!$E$13+1,1))-AVERAGE(OFFSET($H$3,0,0,'Données projet'!$E$13+1,1))</f>
        <v>327.81662150328646</v>
      </c>
      <c r="CZ203" s="62">
        <f t="shared" si="208"/>
        <v>320.24200483294322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6.905288037757816E-2</v>
      </c>
      <c r="DG203" s="23">
        <f>EXP(-LN(2)/25)*DG202+(1-EXP(-LN(2)/25))/(LN(2)/25)*Calculateur!DB203*Calculateur!DD203*VLOOKUP('Données projet'!$B$13,Paramètres!$A$1:$I$89,3,0)*0.475*44/12</f>
        <v>0</v>
      </c>
      <c r="DH203" s="23">
        <f>EXP(-LN(2)/2)*DH202+(1-EXP(-LN(2)/2))/(LN(2)/2)*DB203*DE203*VLOOKUP('Données projet'!$B$13,Paramètres!$A$1:$I$89,3,0)*0.475*44/12</f>
        <v>0</v>
      </c>
      <c r="DI203" s="24">
        <f t="shared" si="175"/>
        <v>6.905288037757816E-2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5.6843418860808015E-14</v>
      </c>
      <c r="DP203" s="18">
        <f>DO203*VLOOKUP('Données projet'!$B$14,Paramètres!$A$1:$I$89,3,0)*VLOOKUP('Données projet'!$B$14,Paramètres!$A$1:$I$89,5,0)</f>
        <v>3.7243808037601412E-14</v>
      </c>
      <c r="DQ203" s="14">
        <f t="shared" si="176"/>
        <v>6.2767589361185393E-13</v>
      </c>
      <c r="DR203" s="22">
        <f t="shared" si="177"/>
        <v>1.1580684803728015E-12</v>
      </c>
      <c r="DS203" s="62">
        <f t="shared" si="197"/>
        <v>293.33333333333445</v>
      </c>
      <c r="DT203" s="62">
        <f ca="1">AVERAGE(OFFSET($DS$3,0,0,'Données projet'!$E$14+1,1))-AVERAGE(OFFSET($H$3,0,0,'Données projet'!$E$14+1,1))</f>
        <v>210.08998695869161</v>
      </c>
      <c r="DU203" s="62">
        <f t="shared" si="209"/>
        <v>207.30911916430881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>
        <f>EXP(-LN(2)/35)*EA202+(1-EXP(-LN(2)/35))/(LN(2)/35)*DW203*DX203*VLOOKUP('Données projet'!$B$14,Paramètres!$A$1:$I$89,3,0)*0.475*44/12</f>
        <v>1.5867470384634978E-2</v>
      </c>
      <c r="EB203" s="23">
        <f>EXP(-LN(2)/25)*EB202+(1-EXP(-LN(2)/25))/(LN(2)/25)*Calculateur!DW203*Calculateur!DY203*VLOOKUP('Données projet'!$B$14,Paramètres!$A$1:$I$89,3,0)*0.475*44/12</f>
        <v>0</v>
      </c>
      <c r="EC203" s="23">
        <f>EXP(-LN(2)/2)*EC202+(1-EXP(-LN(2)/2))/(LN(2)/2)*DW203*DZ203*VLOOKUP('Données projet'!$B$14,Paramètres!$A$1:$I$89,3,0)*0.475*44/12</f>
        <v>0</v>
      </c>
      <c r="ED203" s="24">
        <f t="shared" si="178"/>
        <v>1.5867470384634978E-2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5.6843418860808015E-14</v>
      </c>
      <c r="EK203" s="18">
        <f>EJ203*VLOOKUP('Données projet'!$B$15,Paramètres!$A$1:$I$89,3,0)*VLOOKUP('Données projet'!$B$15,Paramètres!$A$1:$I$89,5,0)</f>
        <v>4.4337866711430253E-14</v>
      </c>
      <c r="EL203" s="14">
        <f t="shared" si="179"/>
        <v>7.3222115536967035E-13</v>
      </c>
      <c r="EM203" s="22">
        <f t="shared" si="180"/>
        <v>1.3525069634579169E-12</v>
      </c>
      <c r="EN203" s="62">
        <f t="shared" si="198"/>
        <v>293.33333333333468</v>
      </c>
      <c r="EO203" s="62">
        <f ca="1">AVERAGE(OFFSET($EN$3,0,0,'Données projet'!$E$15+1,1))-AVERAGE(OFFSET($H$3,0,0,'Données projet'!$E$15+1,1))</f>
        <v>288.82868507674738</v>
      </c>
      <c r="EP203" s="62">
        <f t="shared" si="210"/>
        <v>283.48738729114024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>
        <f>EXP(-LN(2)/35)*EV202+(1-EXP(-LN(2)/35))/(LN(2)/35)*ER203*ES203*VLOOKUP('Données projet'!$B$15,Paramètres!$A$1:$I$89,3,0)*0.475*44/12</f>
        <v>6.2568241643590108E-2</v>
      </c>
      <c r="EW203" s="23">
        <f>EXP(-LN(2)/25)*EW202+(1-EXP(-LN(2)/25))/(LN(2)/25)*Calculateur!ER203*Calculateur!ET203*VLOOKUP('Données projet'!$B$15,Paramètres!$A$1:$I$89,3,0)*0.475*44/12</f>
        <v>0</v>
      </c>
      <c r="EX203" s="23">
        <f>EXP(-LN(2)/2)*EX202+(1-EXP(-LN(2)/2))/(LN(2)/2)*ER203*EU203*VLOOKUP('Données projet'!$B$15,Paramètres!$A$1:$I$89,3,0)*0.475*44/12</f>
        <v>0</v>
      </c>
      <c r="EY203" s="24">
        <f t="shared" si="181"/>
        <v>6.2568241643590108E-2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1.1921598380198544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1.2765231539157764</v>
      </c>
      <c r="BA205" s="88">
        <f>EXP(LN('Données projet'!B88)/'Données projet'!A88)</f>
        <v>1.2392705892426346</v>
      </c>
      <c r="BV205" s="88">
        <f>EXP(LN('Données projet'!B114)/'Données projet'!A114)</f>
        <v>1.2392705892426346</v>
      </c>
      <c r="CQ205" s="88">
        <f>EXP(LN('Données projet'!B140)/'Données projet'!A140)</f>
        <v>1.2709816152101407</v>
      </c>
      <c r="DL205" s="88">
        <f>EXP(LN('Données projet'!B166)/'Données projet'!A166)</f>
        <v>1.2311444133449163</v>
      </c>
      <c r="EG205" s="88">
        <f>EXP(LN('Données projet'!B192)/'Données projet'!A192)</f>
        <v>1.2788040393997409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34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35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34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36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36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35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34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35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A4" zoomScale="115" zoomScaleNormal="115" workbookViewId="0">
      <selection activeCell="C26" sqref="C26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38" t="s">
        <v>191</v>
      </c>
      <c r="C2" s="339"/>
      <c r="D2" s="339"/>
      <c r="E2" s="339"/>
      <c r="F2" s="339"/>
      <c r="G2" s="34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37"/>
      <c r="C4" s="337"/>
      <c r="D4" s="337"/>
      <c r="E4" s="337"/>
      <c r="F4" s="337"/>
      <c r="G4" s="33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149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A4" workbookViewId="0">
      <selection activeCell="I11" sqref="I11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38" t="s">
        <v>271</v>
      </c>
      <c r="B2" s="339"/>
      <c r="C2" s="339"/>
      <c r="D2" s="339"/>
      <c r="E2" s="339"/>
      <c r="F2" s="339"/>
      <c r="G2" s="339"/>
      <c r="H2" s="339"/>
      <c r="I2" s="339"/>
      <c r="J2" s="339"/>
      <c r="K2" s="339"/>
      <c r="L2" s="34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Cèdre de l'Atlas</v>
      </c>
      <c r="B6" s="155">
        <f>'Données projet'!D9</f>
        <v>0.33880000000000005</v>
      </c>
      <c r="C6" s="156">
        <f ca="1">IF(OR('Données projet'!B9="",'Données projet'!C9="",'Données projet'!C9=0%),0,Calculateur!S3)</f>
        <v>317.54276561627643</v>
      </c>
      <c r="D6" s="156">
        <f>IF(OR('Données projet'!B9="",'Données projet'!C9="",'Données projet'!C9=0%),0,Calculateur!T3)</f>
        <v>238.92443174298893</v>
      </c>
      <c r="E6" s="156">
        <f ca="1">MIN(C6,D6)</f>
        <v>238.92443174298893</v>
      </c>
      <c r="F6" s="156">
        <f ca="1">E6*B6</f>
        <v>80.947597474524656</v>
      </c>
      <c r="G6" s="156">
        <f ca="1">F6*(100%-'Données projet'!$C$24)*(100%-'Données projet'!$C$25)*(100%-'Données projet'!$C$26)*(100%-'Données projet'!$C$27)</f>
        <v>72.852837727072199</v>
      </c>
      <c r="H6" s="157">
        <f>IF(OR('Données projet'!B9="",'Données projet'!C9="",'Données projet'!C9=0%),0,AVERAGE(Calculateur!$AC$3:$AC$33)*B6)</f>
        <v>0</v>
      </c>
      <c r="I6" s="158">
        <f>H6*(100%-'Données projet'!$C$24)*(100%-'Données projet'!$C$25)*(100%-'Données projet'!$C$26)*(100%-'Données projet'!$C$27)</f>
        <v>0</v>
      </c>
      <c r="J6" s="159">
        <f>IF(OR('Données projet'!B9="",'Données projet'!C9="",'Données projet'!C9=0%),0,SUM(Calculateur!$V$3:$V$33)*VLOOKUP('Données projet'!$B$9,Paramètres!$A$1:$I$89,9,0)*B6)</f>
        <v>0</v>
      </c>
      <c r="K6" s="160">
        <f>J6*(100%-'Données projet'!$C$24)*(100%-'Données projet'!$C$25)*(100%-'Données projet'!$C$26)*(100%-'Données projet'!$C$27)</f>
        <v>0</v>
      </c>
      <c r="L6" s="161">
        <f ca="1">G6+I6+K6</f>
        <v>72.852837727072199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Chêne rouge d'Amérique</v>
      </c>
      <c r="B7" s="163">
        <f>'Données projet'!D10</f>
        <v>0.26619999999999999</v>
      </c>
      <c r="C7" s="156">
        <f ca="1">IF(OR('Données projet'!B10="",'Données projet'!C10="",'Données projet'!C10=0%),0,Calculateur!AN3)</f>
        <v>327.826081588335</v>
      </c>
      <c r="D7" s="156">
        <f>IF(OR('Données projet'!B10="",'Données projet'!C10="",'Données projet'!C10=0%),0,Calculateur!AO3)</f>
        <v>348.84706693879735</v>
      </c>
      <c r="E7" s="156">
        <f t="shared" ref="E7:E15" ca="1" si="0">MIN(C7,D7)</f>
        <v>327.826081588335</v>
      </c>
      <c r="F7" s="156">
        <f t="shared" ref="F7:F15" ca="1" si="1">E7*B7</f>
        <v>87.267302918814778</v>
      </c>
      <c r="G7" s="156">
        <f ca="1">F7*(100%-'Données projet'!$C$24)*(100%-'Données projet'!$C$25)*(100%-'Données projet'!$C$26)*(100%-'Données projet'!$C$27)</f>
        <v>78.540572626933297</v>
      </c>
      <c r="H7" s="164">
        <f>IF(OR('Données projet'!B10="",'Données projet'!C10="",'Données projet'!C10=0%),0,AVERAGE(Calculateur!$AX$3:$AX$33)*B7)</f>
        <v>0.66829420832413222</v>
      </c>
      <c r="I7" s="158">
        <f>H7*(100%-'Données projet'!$C$24)*(100%-'Données projet'!$C$25)*(100%-'Données projet'!$C$26)*(100%-'Données projet'!$C$27)</f>
        <v>0.60146478749171906</v>
      </c>
      <c r="J7" s="159">
        <f>IF(OR('Données projet'!B10="",'Données projet'!C10="",'Données projet'!C10=0%),0,SUM(Calculateur!$AQ$3:$AQ$33)*VLOOKUP('Données projet'!$B$10,Paramètres!$A$1:$I$89,9,0)*B7)</f>
        <v>8.2522000000000002</v>
      </c>
      <c r="K7" s="160">
        <f>J7*(100%-'Données projet'!$C$24)*(100%-'Données projet'!$C$25)*(100%-'Données projet'!$C$26)*(100%-'Données projet'!$C$27)</f>
        <v>7.4269800000000004</v>
      </c>
      <c r="L7" s="161">
        <f t="shared" ref="L7:L15" ca="1" si="2">G7+I7+K7</f>
        <v>86.569017414425019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>Chêne pubescent</v>
      </c>
      <c r="B8" s="163">
        <f>'Données projet'!D11</f>
        <v>0.12825999999999999</v>
      </c>
      <c r="C8" s="156">
        <f ca="1">IF(OR('Données projet'!B11="",'Données projet'!C11="",'Données projet'!C11=0%),0,Calculateur!BI3)</f>
        <v>487.04124684635974</v>
      </c>
      <c r="D8" s="156">
        <f>IF(OR('Données projet'!B11="",'Données projet'!C11="",'Données projet'!C11=0%),0,Calculateur!BJ3)</f>
        <v>306.61893266146666</v>
      </c>
      <c r="E8" s="156">
        <f t="shared" ca="1" si="0"/>
        <v>306.61893266146666</v>
      </c>
      <c r="F8" s="156">
        <f t="shared" ca="1" si="1"/>
        <v>39.326944303159706</v>
      </c>
      <c r="G8" s="156">
        <f ca="1">F8*(100%-'Données projet'!$C$24)*(100%-'Données projet'!$C$25)*(100%-'Données projet'!$C$26)*(100%-'Données projet'!$C$27)</f>
        <v>35.394249872843737</v>
      </c>
      <c r="H8" s="164">
        <f>IF(OR('Données projet'!B11="",'Données projet'!C11="",'Données projet'!C11=0%),0,AVERAGE(Calculateur!$BS$3:$BS$33)*B8)</f>
        <v>1.1167889024792625E-2</v>
      </c>
      <c r="I8" s="158">
        <f>H8*(100%-'Données projet'!$C$24)*(100%-'Données projet'!$C$25)*(100%-'Données projet'!$C$26)*(100%-'Données projet'!$C$27)</f>
        <v>1.0051100122313363E-2</v>
      </c>
      <c r="J8" s="159">
        <f>IF(OR('Données projet'!B11="",'Données projet'!C11="",'Données projet'!C11=0%),0,SUM(Calculateur!$BL$3:$BL$33)*VLOOKUP('Données projet'!$B$11,Paramètres!$A$1:$I$89,9,0)*B8)</f>
        <v>1.9880299999999997</v>
      </c>
      <c r="K8" s="160">
        <f>J8*(100%-'Données projet'!$C$24)*(100%-'Données projet'!$C$25)*(100%-'Données projet'!$C$26)*(100%-'Données projet'!$C$27)</f>
        <v>1.7892269999999999</v>
      </c>
      <c r="L8" s="161">
        <f t="shared" ca="1" si="2"/>
        <v>37.193527972966045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>Chêne sessile</v>
      </c>
      <c r="B9" s="163">
        <f>'Données projet'!D12</f>
        <v>0.95589999999999997</v>
      </c>
      <c r="C9" s="156">
        <f ca="1">IF(OR('Données projet'!B12="",'Données projet'!C12="",'Données projet'!C12=0%),0,Calculateur!CD3)</f>
        <v>439.06700232017681</v>
      </c>
      <c r="D9" s="156">
        <f>IF(OR('Données projet'!B12="",'Données projet'!C12="",'Données projet'!C12=0%),0,Calculateur!CE3)</f>
        <v>278.21741231699929</v>
      </c>
      <c r="E9" s="156">
        <f t="shared" ca="1" si="0"/>
        <v>278.21741231699929</v>
      </c>
      <c r="F9" s="156">
        <f t="shared" ca="1" si="1"/>
        <v>265.94802443381963</v>
      </c>
      <c r="G9" s="156">
        <f ca="1">F9*(100%-'Données projet'!$C$24)*(100%-'Données projet'!$C$25)*(100%-'Données projet'!$C$26)*(100%-'Données projet'!$C$27)</f>
        <v>239.35322199043767</v>
      </c>
      <c r="H9" s="164">
        <f>IF(OR('Données projet'!B12="",'Données projet'!C12="",'Données projet'!C12=0%),0,AVERAGE(Calculateur!$CN$3:$CN$33)*B9)</f>
        <v>7.4268893340493178E-2</v>
      </c>
      <c r="I9" s="158">
        <f>H9*(100%-'Données projet'!$C$24)*(100%-'Données projet'!$C$25)*(100%-'Données projet'!$C$26)*(100%-'Données projet'!$C$27)</f>
        <v>6.6842004006443856E-2</v>
      </c>
      <c r="J9" s="159">
        <f>IF(OR('Données projet'!B12="",'Données projet'!C12="",'Données projet'!C12=0%),0,SUM(Calculateur!$CG$3:$CG$33)*VLOOKUP('Données projet'!$B$12,Paramètres!$A$1:$I$89,9,0)*B9)</f>
        <v>14.81645</v>
      </c>
      <c r="K9" s="160">
        <f>J9*(100%-'Données projet'!$C$24)*(100%-'Données projet'!$C$25)*(100%-'Données projet'!$C$26)*(100%-'Données projet'!$C$27)</f>
        <v>13.334804999999999</v>
      </c>
      <c r="L9" s="161">
        <f t="shared" ca="1" si="2"/>
        <v>252.75486899444411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>Châtaignier</v>
      </c>
      <c r="B10" s="163">
        <f>'Données projet'!D13</f>
        <v>0.23474</v>
      </c>
      <c r="C10" s="156">
        <f ca="1">IF(OR('Données projet'!B13="",'Données projet'!C13="",'Données projet'!C13=0%),0,Calculateur!CY3)</f>
        <v>327.81662150328646</v>
      </c>
      <c r="D10" s="156">
        <f>IF(OR('Données projet'!B13="",'Données projet'!C13="",'Données projet'!C13=0%),0,Calculateur!CZ3)</f>
        <v>320.24200483294322</v>
      </c>
      <c r="E10" s="156">
        <f t="shared" ca="1" si="0"/>
        <v>320.24200483294322</v>
      </c>
      <c r="F10" s="156">
        <f t="shared" ca="1" si="1"/>
        <v>75.1736082144851</v>
      </c>
      <c r="G10" s="156">
        <f ca="1">F10*(100%-'Données projet'!$C$24)*(100%-'Données projet'!$C$25)*(100%-'Données projet'!$C$26)*(100%-'Données projet'!$C$27)</f>
        <v>67.656247393036594</v>
      </c>
      <c r="H10" s="164">
        <f>IF(OR('Données projet'!B13="",'Données projet'!C13="",'Données projet'!C13=0%),0,AVERAGE(Calculateur!$DI$3:$DI$33)*B10)</f>
        <v>0.18441710285861693</v>
      </c>
      <c r="I10" s="158">
        <f>H10*(100%-'Données projet'!$C$24)*(100%-'Données projet'!$C$25)*(100%-'Données projet'!$C$26)*(100%-'Données projet'!$C$27)</f>
        <v>0.16597539257275523</v>
      </c>
      <c r="J10" s="159">
        <f>IF(OR('Données projet'!B13="",'Données projet'!C13="",'Données projet'!C13=0%),0,SUM(Calculateur!$DB$3:$DB$33)*VLOOKUP('Données projet'!$B$13,Paramètres!$A$1:$I$89,9,0)*B10)</f>
        <v>8.0398449999999997</v>
      </c>
      <c r="K10" s="160">
        <f>J10*(100%-'Données projet'!$C$24)*(100%-'Données projet'!$C$25)*(100%-'Données projet'!$C$26)*(100%-'Données projet'!$C$27)</f>
        <v>7.2358605000000003</v>
      </c>
      <c r="L10" s="161">
        <f t="shared" ca="1" si="2"/>
        <v>75.058083285609356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>Aulne glutineux</v>
      </c>
      <c r="B11" s="163">
        <f>'Données projet'!D14</f>
        <v>0.43317999999999995</v>
      </c>
      <c r="C11" s="156">
        <f ca="1">IF(OR('Données projet'!B14="",'Données projet'!C14="",'Données projet'!C14=0%),0,Calculateur!DT3)</f>
        <v>210.08998695869161</v>
      </c>
      <c r="D11" s="156">
        <f>IF(OR('Données projet'!B14="",'Données projet'!C14="",'Données projet'!C14=0%),0,Calculateur!DU3)</f>
        <v>207.30911916430881</v>
      </c>
      <c r="E11" s="156">
        <f t="shared" ca="1" si="0"/>
        <v>207.30911916430881</v>
      </c>
      <c r="F11" s="156">
        <f t="shared" ca="1" si="1"/>
        <v>89.802164239595285</v>
      </c>
      <c r="G11" s="156">
        <f ca="1">F11*(100%-'Données projet'!$C$24)*(100%-'Données projet'!$C$25)*(100%-'Données projet'!$C$26)*(100%-'Données projet'!$C$27)</f>
        <v>80.821947815635752</v>
      </c>
      <c r="H11" s="164">
        <f>IF(OR('Données projet'!B14="",'Données projet'!C14="",'Données projet'!C14=0%),0,AVERAGE(Calculateur!$ED$3:$ED$33)*B11)</f>
        <v>7.8200294636165416E-2</v>
      </c>
      <c r="I11" s="158">
        <f>H11*(100%-'Données projet'!$C$24)*(100%-'Données projet'!$C$25)*(100%-'Données projet'!$C$26)*(100%-'Données projet'!$C$27)</f>
        <v>7.0380265172548875E-2</v>
      </c>
      <c r="J11" s="159">
        <f>IF(OR('Données projet'!B14="",'Données projet'!C14="",'Données projet'!C14=0%),0,SUM(Calculateur!$DW$3:$DW$33)*VLOOKUP('Données projet'!$B$14,Paramètres!$A$1:$I$89,9,0)*B11)</f>
        <v>5.5230449999999998</v>
      </c>
      <c r="K11" s="160">
        <f>J11*(100%-'Données projet'!$C$24)*(100%-'Données projet'!$C$25)*(100%-'Données projet'!$C$26)*(100%-'Données projet'!$C$27)</f>
        <v>4.9707404999999998</v>
      </c>
      <c r="L11" s="161">
        <f t="shared" ca="1" si="2"/>
        <v>85.863068580808303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>Merisier</v>
      </c>
      <c r="B12" s="163">
        <f>'Données projet'!D15</f>
        <v>6.291999999999999E-2</v>
      </c>
      <c r="C12" s="156">
        <f ca="1">IF(OR('Données projet'!B15="",'Données projet'!C15="",'Données projet'!C15=0%),0,Calculateur!EO3)</f>
        <v>288.82868507674738</v>
      </c>
      <c r="D12" s="156">
        <f>IF(OR('Données projet'!B15="",'Données projet'!C15="",'Données projet'!C15=0%),0,Calculateur!EP3)</f>
        <v>283.48738729114024</v>
      </c>
      <c r="E12" s="156">
        <f t="shared" ca="1" si="0"/>
        <v>283.48738729114024</v>
      </c>
      <c r="F12" s="156">
        <f t="shared" ca="1" si="1"/>
        <v>17.83702640835854</v>
      </c>
      <c r="G12" s="156">
        <f ca="1">F12*(100%-'Données projet'!$C$24)*(100%-'Données projet'!$C$25)*(100%-'Données projet'!$C$26)*(100%-'Données projet'!$C$27)</f>
        <v>16.053323767522688</v>
      </c>
      <c r="H12" s="164">
        <f>IF(OR('Données projet'!B15="",'Données projet'!C15="",'Données projet'!C15=0%),0,AVERAGE(Calculateur!$EY$3:$EY$33)*B12)</f>
        <v>2.321819363999272E-2</v>
      </c>
      <c r="I12" s="158">
        <f>H12*(100%-'Données projet'!$C$24)*(100%-'Données projet'!$C$25)*(100%-'Données projet'!$C$26)*(100%-'Données projet'!$C$27)</f>
        <v>2.0896374275993449E-2</v>
      </c>
      <c r="J12" s="159">
        <f>IF(OR('Données projet'!B15="",'Données projet'!C15="",'Données projet'!C15=0%),0,SUM(Calculateur!$ER$3:$ER$33)*VLOOKUP('Données projet'!$B$15,Paramètres!$A$1:$I$89,9,0)*B12)</f>
        <v>0.86514999999999986</v>
      </c>
      <c r="K12" s="160">
        <f>J12*(100%-'Données projet'!$C$24)*(100%-'Données projet'!$C$25)*(100%-'Données projet'!$C$26)*(100%-'Données projet'!$C$27)</f>
        <v>0.77863499999999986</v>
      </c>
      <c r="L12" s="161">
        <f t="shared" ca="1" si="2"/>
        <v>16.852855141798681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656.30266799275762</v>
      </c>
      <c r="G16" s="175">
        <f t="shared" ca="1" si="3"/>
        <v>590.67240119348196</v>
      </c>
      <c r="H16" s="176">
        <f t="shared" si="3"/>
        <v>1.039566581824193</v>
      </c>
      <c r="I16" s="176">
        <f t="shared" si="3"/>
        <v>0.93560992364177376</v>
      </c>
      <c r="J16" s="177">
        <f t="shared" si="3"/>
        <v>39.484719999999996</v>
      </c>
      <c r="K16" s="177">
        <f t="shared" si="3"/>
        <v>35.536248000000001</v>
      </c>
      <c r="L16" s="178">
        <f t="shared" ca="1" si="3"/>
        <v>627.14425911712374</v>
      </c>
      <c r="M16" s="25">
        <f>653/2.52</f>
        <v>259.1269841269841</v>
      </c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41" t="s">
        <v>246</v>
      </c>
      <c r="G17" s="342"/>
      <c r="H17" s="342"/>
      <c r="I17" s="342"/>
      <c r="J17" s="342"/>
      <c r="K17" s="342"/>
      <c r="L17" s="342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43"/>
      <c r="G18" s="343"/>
      <c r="H18" s="343"/>
      <c r="I18" s="343"/>
      <c r="J18" s="343"/>
      <c r="K18" s="343"/>
      <c r="L18" s="343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Cèdre de l'Atlas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Chêne rouge d'Amérique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>Chêne pubescent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>Chêne sessile</v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>Châtaignier</v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>Aulne glutineux</v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>Merisier</v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cellWatches>
    <cellWatch r="L16"/>
  </cellWatche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K13" zoomScale="90" zoomScaleNormal="90" workbookViewId="0">
      <selection activeCell="I20" sqref="I20:I25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38" t="s">
        <v>272</v>
      </c>
      <c r="C2" s="339"/>
      <c r="D2" s="339"/>
      <c r="E2" s="339"/>
      <c r="F2" s="339"/>
      <c r="G2" s="339"/>
      <c r="H2" s="339"/>
      <c r="I2" s="339"/>
      <c r="J2" s="339"/>
      <c r="K2" s="339"/>
      <c r="L2" s="339"/>
      <c r="M2" s="339"/>
      <c r="N2" s="339"/>
      <c r="O2" s="339"/>
      <c r="P2" s="34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7" t="s">
        <v>315</v>
      </c>
      <c r="I4" s="347"/>
      <c r="K4" s="344" t="s">
        <v>253</v>
      </c>
      <c r="L4" s="345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55" t="s">
        <v>310</v>
      </c>
      <c r="S7" s="356"/>
      <c r="T7" s="356"/>
      <c r="U7" s="356"/>
      <c r="V7" s="357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Cèdre de l'Atlas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1490.3462377210328</v>
      </c>
      <c r="U10" s="190">
        <f>'Données projet'!D9</f>
        <v>0.33880000000000005</v>
      </c>
      <c r="V10" s="189">
        <f>U10*T10</f>
        <v>504.92930533988601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Chêne rouge d'Amérique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895.3620699952794</v>
      </c>
      <c r="U11" s="190">
        <f>'Données projet'!D10</f>
        <v>0.26619999999999999</v>
      </c>
      <c r="V11" s="189">
        <f t="shared" ref="V11" si="0">U11*T11</f>
        <v>238.34538303274337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Chêne pubescent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902.103941500014</v>
      </c>
      <c r="U12" s="190">
        <f>'Données projet'!D11</f>
        <v>0.12825999999999999</v>
      </c>
      <c r="V12" s="189">
        <f t="shared" ref="V12:V19" si="1">U12*T12</f>
        <v>115.70385153679179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>Chêne sessile</v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902.103941500014</v>
      </c>
      <c r="U13" s="190">
        <f>'Données projet'!D12</f>
        <v>0.95589999999999997</v>
      </c>
      <c r="V13" s="189">
        <f t="shared" si="1"/>
        <v>862.3211576798634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Cèdre de l'Atlas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>Châtaignier</v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1366.6014814680454</v>
      </c>
      <c r="U14" s="190">
        <f>'Données projet'!D13</f>
        <v>0.23474</v>
      </c>
      <c r="V14" s="189">
        <f t="shared" si="1"/>
        <v>320.79603175980901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8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>Aulne glutineux</v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681.99215296090404</v>
      </c>
      <c r="U15" s="190">
        <f>'Données projet'!D14</f>
        <v>0.43317999999999995</v>
      </c>
      <c r="V15" s="189">
        <f t="shared" si="1"/>
        <v>295.42536081960441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8"/>
      <c r="H16" s="203"/>
      <c r="I16" s="204"/>
      <c r="J16" s="216"/>
      <c r="K16" s="225"/>
      <c r="L16" s="344" t="s">
        <v>254</v>
      </c>
      <c r="M16" s="345"/>
      <c r="N16" s="2"/>
      <c r="O16" s="25"/>
      <c r="P16" s="25"/>
      <c r="Q16" s="265"/>
      <c r="R16" s="25"/>
      <c r="S16" s="185" t="str">
        <f>B200</f>
        <v>Merisier</v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3840.6318437164618</v>
      </c>
      <c r="U16" s="190">
        <f>'Données projet'!D15</f>
        <v>6.291999999999999E-2</v>
      </c>
      <c r="V16" s="189">
        <f t="shared" si="1"/>
        <v>241.65255560663974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8"/>
      <c r="J17" s="216"/>
      <c r="K17" s="225"/>
      <c r="L17" s="315" t="s">
        <v>289</v>
      </c>
      <c r="M17" s="31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8"/>
      <c r="J18" s="216"/>
      <c r="K18" s="225"/>
      <c r="L18" s="315" t="s">
        <v>255</v>
      </c>
      <c r="M18" s="31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8"/>
      <c r="H19" s="232" t="s">
        <v>178</v>
      </c>
      <c r="I19" s="232" t="s">
        <v>287</v>
      </c>
      <c r="J19" s="260"/>
      <c r="K19" s="183"/>
      <c r="L19" s="344" t="s">
        <v>288</v>
      </c>
      <c r="M19" s="345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8"/>
      <c r="H20" s="203">
        <v>0</v>
      </c>
      <c r="I20" s="204">
        <f>25850/2.53</f>
        <v>10217.391304347826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v>600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>
        <v>2</v>
      </c>
      <c r="I22" s="204">
        <v>600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30</v>
      </c>
      <c r="B23" s="193">
        <f>'Données projet'!D36</f>
        <v>0</v>
      </c>
      <c r="C23" s="206"/>
      <c r="D23" s="194">
        <f>B23*C23</f>
        <v>0</v>
      </c>
      <c r="E23" s="206"/>
      <c r="F23" s="261"/>
      <c r="H23" s="203">
        <v>3</v>
      </c>
      <c r="I23" s="204">
        <v>600</v>
      </c>
      <c r="K23" s="225"/>
      <c r="L23" s="346" t="s">
        <v>260</v>
      </c>
      <c r="M23" s="346"/>
      <c r="N23" s="346"/>
      <c r="O23" s="25"/>
      <c r="P23" s="25"/>
      <c r="Q23" s="265"/>
      <c r="R23" s="25"/>
      <c r="S23" s="185" t="s">
        <v>264</v>
      </c>
      <c r="T23" s="360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-28521.159543657675</v>
      </c>
      <c r="U23" s="360"/>
      <c r="V23" s="360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35</v>
      </c>
      <c r="B24" s="193">
        <f>'Données projet'!D37</f>
        <v>0</v>
      </c>
      <c r="C24" s="206"/>
      <c r="D24" s="194">
        <f t="shared" ref="D24:D42" si="2">B24*C24</f>
        <v>0</v>
      </c>
      <c r="E24" s="206"/>
      <c r="F24" s="264"/>
      <c r="H24" s="203">
        <v>4</v>
      </c>
      <c r="I24" s="204">
        <v>600</v>
      </c>
      <c r="K24" s="225"/>
      <c r="O24" s="25"/>
      <c r="P24" s="25"/>
      <c r="Q24" s="265"/>
      <c r="R24" s="25"/>
      <c r="S24" s="185" t="s">
        <v>261</v>
      </c>
      <c r="T24" s="361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61"/>
      <c r="V24" s="361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42</v>
      </c>
      <c r="B25" s="193">
        <f>'Données projet'!D38</f>
        <v>182</v>
      </c>
      <c r="C25" s="206">
        <v>15</v>
      </c>
      <c r="D25" s="194">
        <f t="shared" si="2"/>
        <v>2730</v>
      </c>
      <c r="E25" s="206"/>
      <c r="F25" s="264"/>
      <c r="G25" s="1"/>
      <c r="H25" s="203">
        <v>5</v>
      </c>
      <c r="I25" s="204">
        <v>600</v>
      </c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62">
        <f ca="1">T23-T24</f>
        <v>-28521.159543657675</v>
      </c>
      <c r="U25" s="362"/>
      <c r="V25" s="362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43</v>
      </c>
      <c r="B26" s="193">
        <f>'Données projet'!D39</f>
        <v>0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49" t="s">
        <v>258</v>
      </c>
      <c r="M26" s="350"/>
      <c r="N26" s="350"/>
      <c r="O26" s="350"/>
      <c r="P26" s="351"/>
      <c r="Q26" s="265"/>
      <c r="R26" s="25"/>
      <c r="S26" s="198" t="s">
        <v>265</v>
      </c>
      <c r="T26" s="359" t="str">
        <f ca="1">IF(T25&lt;0,"Votre projet est additionnel","Votre projet n'est pas additionnel")</f>
        <v>Votre projet est additionnel</v>
      </c>
      <c r="U26" s="359"/>
      <c r="V26" s="359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49</v>
      </c>
      <c r="B27" s="193">
        <f>'Données projet'!D40</f>
        <v>100</v>
      </c>
      <c r="C27" s="206">
        <v>18</v>
      </c>
      <c r="D27" s="194">
        <f t="shared" si="2"/>
        <v>1800</v>
      </c>
      <c r="E27" s="206"/>
      <c r="F27" s="264"/>
      <c r="G27" s="259"/>
      <c r="H27" s="203"/>
      <c r="I27" s="204"/>
      <c r="K27" s="225"/>
      <c r="L27" s="352"/>
      <c r="M27" s="353"/>
      <c r="N27" s="353"/>
      <c r="O27" s="353"/>
      <c r="P27" s="354"/>
      <c r="Q27" s="265"/>
      <c r="R27" s="25"/>
      <c r="S27" s="358" t="s">
        <v>267</v>
      </c>
      <c r="T27" s="358"/>
      <c r="U27" s="358"/>
      <c r="V27" s="358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50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56</v>
      </c>
      <c r="B29" s="193">
        <f>'Données projet'!D42</f>
        <v>79</v>
      </c>
      <c r="C29" s="206">
        <v>20</v>
      </c>
      <c r="D29" s="194">
        <f t="shared" si="2"/>
        <v>1580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57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63</v>
      </c>
      <c r="B31" s="193">
        <f>'Données projet'!D44</f>
        <v>79</v>
      </c>
      <c r="C31" s="206">
        <v>20</v>
      </c>
      <c r="D31" s="194">
        <f t="shared" si="2"/>
        <v>1580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64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71</v>
      </c>
      <c r="B33" s="193">
        <f>'Données projet'!D46</f>
        <v>91</v>
      </c>
      <c r="C33" s="206">
        <v>25</v>
      </c>
      <c r="D33" s="194">
        <f t="shared" si="2"/>
        <v>2275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72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79</v>
      </c>
      <c r="B35" s="193">
        <f>'Données projet'!D48</f>
        <v>88</v>
      </c>
      <c r="C35" s="206">
        <v>30</v>
      </c>
      <c r="D35" s="194">
        <f t="shared" si="2"/>
        <v>2640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80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87</v>
      </c>
      <c r="B37" s="193">
        <f>'Données projet'!D50</f>
        <v>89</v>
      </c>
      <c r="C37" s="206">
        <v>40</v>
      </c>
      <c r="D37" s="194">
        <f t="shared" si="2"/>
        <v>3560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88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94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95</v>
      </c>
      <c r="B40" s="193">
        <f>'Données projet'!D53</f>
        <v>269</v>
      </c>
      <c r="C40" s="206">
        <v>45</v>
      </c>
      <c r="D40" s="194">
        <f t="shared" si="2"/>
        <v>12105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96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105</v>
      </c>
      <c r="B42" s="193">
        <f>'Données projet'!D55</f>
        <v>357</v>
      </c>
      <c r="C42" s="206">
        <v>50</v>
      </c>
      <c r="D42" s="194">
        <f t="shared" si="2"/>
        <v>17850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Chêne rouge d'Amérique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20</v>
      </c>
      <c r="B54" s="193">
        <f>'Données projet'!D62</f>
        <v>50</v>
      </c>
      <c r="C54" s="204">
        <v>5</v>
      </c>
      <c r="D54" s="191">
        <f>B54*C54</f>
        <v>250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25</v>
      </c>
      <c r="B55" s="193">
        <f>'Données projet'!D63</f>
        <v>37</v>
      </c>
      <c r="C55" s="204">
        <v>7</v>
      </c>
      <c r="D55" s="191">
        <f t="shared" ref="D55:D73" si="4">B55*C55</f>
        <v>259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30</v>
      </c>
      <c r="B56" s="193">
        <f>'Données projet'!D64</f>
        <v>37</v>
      </c>
      <c r="C56" s="204">
        <v>9</v>
      </c>
      <c r="D56" s="191">
        <f t="shared" si="4"/>
        <v>333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35</v>
      </c>
      <c r="B57" s="193">
        <f>'Données projet'!D65</f>
        <v>36</v>
      </c>
      <c r="C57" s="204">
        <v>9</v>
      </c>
      <c r="D57" s="191">
        <f t="shared" si="4"/>
        <v>324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40</v>
      </c>
      <c r="B58" s="193">
        <f>'Données projet'!D66</f>
        <v>33</v>
      </c>
      <c r="C58" s="204">
        <v>9</v>
      </c>
      <c r="D58" s="191">
        <f t="shared" si="4"/>
        <v>297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45</v>
      </c>
      <c r="B59" s="193">
        <f>'Données projet'!D67</f>
        <v>31</v>
      </c>
      <c r="C59" s="204">
        <v>14</v>
      </c>
      <c r="D59" s="191">
        <f t="shared" si="4"/>
        <v>434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50</v>
      </c>
      <c r="B60" s="193">
        <f>'Données projet'!D68</f>
        <v>28</v>
      </c>
      <c r="C60" s="204">
        <v>14</v>
      </c>
      <c r="D60" s="191">
        <f t="shared" si="4"/>
        <v>392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55</v>
      </c>
      <c r="B61" s="193">
        <f>'Données projet'!D69</f>
        <v>25</v>
      </c>
      <c r="C61" s="204">
        <v>14</v>
      </c>
      <c r="D61" s="191">
        <f t="shared" si="4"/>
        <v>350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60</v>
      </c>
      <c r="B62" s="193">
        <f>'Données projet'!D70</f>
        <v>22</v>
      </c>
      <c r="C62" s="204">
        <v>17</v>
      </c>
      <c r="D62" s="191">
        <f t="shared" si="4"/>
        <v>374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65</v>
      </c>
      <c r="B63" s="193">
        <f>'Données projet'!D71</f>
        <v>20</v>
      </c>
      <c r="C63" s="204">
        <v>17</v>
      </c>
      <c r="D63" s="191">
        <f t="shared" si="4"/>
        <v>340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70</v>
      </c>
      <c r="B64" s="193">
        <f>'Données projet'!D72</f>
        <v>17</v>
      </c>
      <c r="C64" s="204">
        <v>17</v>
      </c>
      <c r="D64" s="191">
        <f t="shared" si="4"/>
        <v>289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75</v>
      </c>
      <c r="B65" s="193">
        <f>'Données projet'!D73</f>
        <v>15</v>
      </c>
      <c r="C65" s="204">
        <v>20</v>
      </c>
      <c r="D65" s="191">
        <f t="shared" si="4"/>
        <v>300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80</v>
      </c>
      <c r="B66" s="193">
        <f>'Données projet'!D74</f>
        <v>13</v>
      </c>
      <c r="C66" s="204">
        <v>25</v>
      </c>
      <c r="D66" s="191">
        <f t="shared" si="4"/>
        <v>325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85</v>
      </c>
      <c r="B67" s="193">
        <f>'Données projet'!D75</f>
        <v>12</v>
      </c>
      <c r="C67" s="204">
        <v>30</v>
      </c>
      <c r="D67" s="191">
        <f t="shared" si="4"/>
        <v>360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90</v>
      </c>
      <c r="B68" s="193">
        <f>'Données projet'!D76</f>
        <v>236</v>
      </c>
      <c r="C68" s="204">
        <v>80</v>
      </c>
      <c r="D68" s="191">
        <f t="shared" si="4"/>
        <v>18880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>Chêne pubescent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0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20</v>
      </c>
      <c r="B85" s="193">
        <f>'Données projet'!D88</f>
        <v>6</v>
      </c>
      <c r="C85" s="312">
        <v>4</v>
      </c>
      <c r="D85" s="191">
        <f>B85*C85</f>
        <v>24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0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25</v>
      </c>
      <c r="B86" s="193">
        <f>'Données projet'!D89</f>
        <v>28</v>
      </c>
      <c r="C86" s="312">
        <v>8</v>
      </c>
      <c r="D86" s="191">
        <f t="shared" ref="D86:D104" si="6">B86*C86</f>
        <v>224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0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30</v>
      </c>
      <c r="B87" s="193">
        <f>'Données projet'!D90</f>
        <v>28</v>
      </c>
      <c r="C87" s="312">
        <v>10</v>
      </c>
      <c r="D87" s="191">
        <f t="shared" si="6"/>
        <v>280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0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35</v>
      </c>
      <c r="B88" s="193">
        <f>'Données projet'!D91</f>
        <v>28</v>
      </c>
      <c r="C88" s="312">
        <v>10</v>
      </c>
      <c r="D88" s="191">
        <f t="shared" si="6"/>
        <v>280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0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40</v>
      </c>
      <c r="B89" s="193">
        <f>'Données projet'!D92</f>
        <v>28</v>
      </c>
      <c r="C89" s="312">
        <v>10</v>
      </c>
      <c r="D89" s="191">
        <f t="shared" si="6"/>
        <v>280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5"/>
        <v>0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45</v>
      </c>
      <c r="B90" s="193">
        <f>'Données projet'!D93</f>
        <v>28</v>
      </c>
      <c r="C90" s="312">
        <v>10</v>
      </c>
      <c r="D90" s="191">
        <f t="shared" si="6"/>
        <v>280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>
        <f>IF(O89+1&lt;=MIN('Données projet'!$E$9:$E$18),O89+1,"STOP")</f>
        <v>57</v>
      </c>
      <c r="P90" s="197">
        <f t="shared" si="5"/>
        <v>0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50</v>
      </c>
      <c r="B91" s="193">
        <f>'Données projet'!D94</f>
        <v>28</v>
      </c>
      <c r="C91" s="312">
        <v>15</v>
      </c>
      <c r="D91" s="191">
        <f t="shared" si="6"/>
        <v>420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>
        <f>IF(O90+1&lt;=MIN('Données projet'!$E$9:$E$18),O90+1,"STOP")</f>
        <v>58</v>
      </c>
      <c r="P91" s="197">
        <f t="shared" si="5"/>
        <v>0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55</v>
      </c>
      <c r="B92" s="193">
        <f>'Données projet'!D95</f>
        <v>28</v>
      </c>
      <c r="C92" s="312">
        <v>15</v>
      </c>
      <c r="D92" s="191">
        <f t="shared" si="6"/>
        <v>420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>
        <f>IF(O91+1&lt;=MIN('Données projet'!$E$9:$E$18),O91+1,"STOP")</f>
        <v>59</v>
      </c>
      <c r="P92" s="197">
        <f t="shared" si="5"/>
        <v>0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60</v>
      </c>
      <c r="B93" s="193">
        <f>'Données projet'!D96</f>
        <v>28</v>
      </c>
      <c r="C93" s="312">
        <v>15</v>
      </c>
      <c r="D93" s="191">
        <f t="shared" si="6"/>
        <v>420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>
        <f>IF(O92+1&lt;=MIN('Données projet'!$E$9:$E$18),O92+1,"STOP")</f>
        <v>60</v>
      </c>
      <c r="P93" s="197">
        <f t="shared" si="5"/>
        <v>0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65</v>
      </c>
      <c r="B94" s="193">
        <f>'Données projet'!D97</f>
        <v>28</v>
      </c>
      <c r="C94" s="312">
        <v>15</v>
      </c>
      <c r="D94" s="191">
        <f t="shared" si="6"/>
        <v>420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>
        <f>IF(O93+1&lt;=MIN('Données projet'!$E$9:$E$18),O93+1,"STOP")</f>
        <v>61</v>
      </c>
      <c r="P94" s="197">
        <f t="shared" si="5"/>
        <v>0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70</v>
      </c>
      <c r="B95" s="193">
        <f>'Données projet'!D98</f>
        <v>28</v>
      </c>
      <c r="C95" s="312">
        <v>20</v>
      </c>
      <c r="D95" s="191">
        <f t="shared" si="6"/>
        <v>560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>
        <f>IF(O94+1&lt;=MIN('Données projet'!$E$9:$E$18),O94+1,"STOP")</f>
        <v>62</v>
      </c>
      <c r="P95" s="197">
        <f t="shared" si="5"/>
        <v>0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75</v>
      </c>
      <c r="B96" s="193">
        <f>'Données projet'!D99</f>
        <v>28</v>
      </c>
      <c r="C96" s="312">
        <v>20</v>
      </c>
      <c r="D96" s="191">
        <f t="shared" si="6"/>
        <v>560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>
        <f>IF(O95+1&lt;=MIN('Données projet'!$E$9:$E$18),O95+1,"STOP")</f>
        <v>63</v>
      </c>
      <c r="P96" s="197">
        <f t="shared" si="5"/>
        <v>0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80</v>
      </c>
      <c r="B97" s="193">
        <f>'Données projet'!D100</f>
        <v>28</v>
      </c>
      <c r="C97" s="312">
        <v>20</v>
      </c>
      <c r="D97" s="191">
        <f t="shared" si="6"/>
        <v>560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>
        <f>IF(O96+1&lt;=MIN('Données projet'!$E$9:$E$18),O96+1,"STOP")</f>
        <v>64</v>
      </c>
      <c r="P97" s="197">
        <f t="shared" ref="P97:P128" si="7">$P$25/(1+$M$4)^O97</f>
        <v>0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85</v>
      </c>
      <c r="B98" s="193">
        <f>'Données projet'!D101</f>
        <v>28</v>
      </c>
      <c r="C98" s="312">
        <v>20</v>
      </c>
      <c r="D98" s="191">
        <f t="shared" si="6"/>
        <v>560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>
        <f>IF(O97+1&lt;=MIN('Données projet'!$E$9:$E$18),O97+1,"STOP")</f>
        <v>65</v>
      </c>
      <c r="P98" s="197">
        <f t="shared" si="7"/>
        <v>0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90</v>
      </c>
      <c r="B99" s="193">
        <f>'Données projet'!D102</f>
        <v>28</v>
      </c>
      <c r="C99" s="312">
        <v>30</v>
      </c>
      <c r="D99" s="191">
        <f t="shared" si="6"/>
        <v>840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>
        <f>IF(O98+1&lt;=MIN('Données projet'!$E$9:$E$18),O98+1,"STOP")</f>
        <v>66</v>
      </c>
      <c r="P99" s="197">
        <f t="shared" si="7"/>
        <v>0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95</v>
      </c>
      <c r="B100" s="193">
        <f>'Données projet'!D103</f>
        <v>28</v>
      </c>
      <c r="C100" s="312">
        <v>30</v>
      </c>
      <c r="D100" s="191">
        <f t="shared" si="6"/>
        <v>840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>
        <f>IF(O99+1&lt;=MIN('Données projet'!$E$9:$E$18),O99+1,"STOP")</f>
        <v>67</v>
      </c>
      <c r="P100" s="197">
        <f t="shared" si="7"/>
        <v>0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100</v>
      </c>
      <c r="B101" s="193">
        <f>'Données projet'!D104</f>
        <v>27</v>
      </c>
      <c r="C101" s="312">
        <v>40</v>
      </c>
      <c r="D101" s="191">
        <f t="shared" si="6"/>
        <v>1080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>
        <f>IF(O100+1&lt;=MIN('Données projet'!$E$9:$E$18),O100+1,"STOP")</f>
        <v>68</v>
      </c>
      <c r="P101" s="197">
        <f t="shared" si="7"/>
        <v>0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105</v>
      </c>
      <c r="B102" s="193">
        <f>'Données projet'!D105</f>
        <v>26</v>
      </c>
      <c r="C102" s="312">
        <v>50</v>
      </c>
      <c r="D102" s="191">
        <f t="shared" si="6"/>
        <v>1300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>
        <f>IF(O101+1&lt;=MIN('Données projet'!$E$9:$E$18),O101+1,"STOP")</f>
        <v>69</v>
      </c>
      <c r="P102" s="197">
        <f t="shared" si="7"/>
        <v>0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110</v>
      </c>
      <c r="B103" s="193">
        <f>'Données projet'!D106</f>
        <v>25</v>
      </c>
      <c r="C103" s="312">
        <v>70</v>
      </c>
      <c r="D103" s="191">
        <f t="shared" si="6"/>
        <v>1750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str">
        <f>IF(O102+1&lt;=MIN('Données projet'!$E$9:$E$18),O102+1,"STOP")</f>
        <v>STOP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115</v>
      </c>
      <c r="B104" s="193">
        <f>'Données projet'!D107</f>
        <v>330</v>
      </c>
      <c r="C104" s="312">
        <v>150</v>
      </c>
      <c r="D104" s="191">
        <f t="shared" si="6"/>
        <v>49500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>Chêne sessile</v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20</v>
      </c>
      <c r="B116" s="193">
        <f>'Données projet'!D114</f>
        <v>6</v>
      </c>
      <c r="C116" s="312">
        <v>4</v>
      </c>
      <c r="D116" s="191">
        <f>B116*C116</f>
        <v>24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25</v>
      </c>
      <c r="B117" s="193">
        <f>'Données projet'!D115</f>
        <v>28</v>
      </c>
      <c r="C117" s="312">
        <v>8</v>
      </c>
      <c r="D117" s="191">
        <f t="shared" ref="D117:D135" si="8">B117*C117</f>
        <v>224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30</v>
      </c>
      <c r="B118" s="193">
        <f>'Données projet'!D116</f>
        <v>28</v>
      </c>
      <c r="C118" s="312">
        <v>10</v>
      </c>
      <c r="D118" s="191">
        <f t="shared" si="8"/>
        <v>280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35</v>
      </c>
      <c r="B119" s="193">
        <f>'Données projet'!D117</f>
        <v>28</v>
      </c>
      <c r="C119" s="312">
        <v>10</v>
      </c>
      <c r="D119" s="191">
        <f t="shared" si="8"/>
        <v>280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40</v>
      </c>
      <c r="B120" s="193">
        <f>'Données projet'!D118</f>
        <v>28</v>
      </c>
      <c r="C120" s="312">
        <v>10</v>
      </c>
      <c r="D120" s="191">
        <f t="shared" si="8"/>
        <v>280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45</v>
      </c>
      <c r="B121" s="193">
        <f>'Données projet'!D119</f>
        <v>28</v>
      </c>
      <c r="C121" s="312">
        <v>10</v>
      </c>
      <c r="D121" s="191">
        <f t="shared" si="8"/>
        <v>280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50</v>
      </c>
      <c r="B122" s="193">
        <f>'Données projet'!D120</f>
        <v>28</v>
      </c>
      <c r="C122" s="312">
        <v>15</v>
      </c>
      <c r="D122" s="191">
        <f t="shared" si="8"/>
        <v>420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55</v>
      </c>
      <c r="B123" s="193">
        <f>'Données projet'!D121</f>
        <v>28</v>
      </c>
      <c r="C123" s="312">
        <v>15</v>
      </c>
      <c r="D123" s="191">
        <f t="shared" si="8"/>
        <v>420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60</v>
      </c>
      <c r="B124" s="193">
        <f>'Données projet'!D122</f>
        <v>28</v>
      </c>
      <c r="C124" s="312">
        <v>15</v>
      </c>
      <c r="D124" s="191">
        <f t="shared" si="8"/>
        <v>420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65</v>
      </c>
      <c r="B125" s="193">
        <f>'Données projet'!D123</f>
        <v>28</v>
      </c>
      <c r="C125" s="312">
        <v>15</v>
      </c>
      <c r="D125" s="191">
        <f t="shared" si="8"/>
        <v>420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70</v>
      </c>
      <c r="B126" s="193">
        <f>'Données projet'!D124</f>
        <v>28</v>
      </c>
      <c r="C126" s="312">
        <v>20</v>
      </c>
      <c r="D126" s="191">
        <f t="shared" si="8"/>
        <v>560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75</v>
      </c>
      <c r="B127" s="193">
        <f>'Données projet'!D125</f>
        <v>28</v>
      </c>
      <c r="C127" s="312">
        <v>20</v>
      </c>
      <c r="D127" s="191">
        <f t="shared" si="8"/>
        <v>560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80</v>
      </c>
      <c r="B128" s="193">
        <f>'Données projet'!D126</f>
        <v>28</v>
      </c>
      <c r="C128" s="312">
        <v>20</v>
      </c>
      <c r="D128" s="191">
        <f t="shared" si="8"/>
        <v>560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85</v>
      </c>
      <c r="B129" s="193">
        <f>'Données projet'!D127</f>
        <v>28</v>
      </c>
      <c r="C129" s="312">
        <v>20</v>
      </c>
      <c r="D129" s="191">
        <f t="shared" si="8"/>
        <v>560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90</v>
      </c>
      <c r="B130" s="193">
        <f>'Données projet'!D128</f>
        <v>28</v>
      </c>
      <c r="C130" s="312">
        <v>30</v>
      </c>
      <c r="D130" s="191">
        <f t="shared" si="8"/>
        <v>840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95</v>
      </c>
      <c r="B131" s="193">
        <f>'Données projet'!D129</f>
        <v>28</v>
      </c>
      <c r="C131" s="312">
        <v>30</v>
      </c>
      <c r="D131" s="191">
        <f t="shared" si="8"/>
        <v>840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100</v>
      </c>
      <c r="B132" s="193">
        <f>'Données projet'!D130</f>
        <v>27</v>
      </c>
      <c r="C132" s="312">
        <v>40</v>
      </c>
      <c r="D132" s="191">
        <f t="shared" si="8"/>
        <v>1080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105</v>
      </c>
      <c r="B133" s="193">
        <f>'Données projet'!D131</f>
        <v>26</v>
      </c>
      <c r="C133" s="312">
        <v>50</v>
      </c>
      <c r="D133" s="191">
        <f t="shared" si="8"/>
        <v>1300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110</v>
      </c>
      <c r="B134" s="193">
        <f>'Données projet'!D132</f>
        <v>25</v>
      </c>
      <c r="C134" s="312">
        <v>70</v>
      </c>
      <c r="D134" s="191">
        <f t="shared" si="8"/>
        <v>1750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115</v>
      </c>
      <c r="B135" s="193">
        <f>'Données projet'!D133</f>
        <v>330</v>
      </c>
      <c r="C135" s="312">
        <v>150</v>
      </c>
      <c r="D135" s="191">
        <f t="shared" si="8"/>
        <v>49500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>Châtaignier</v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10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15</v>
      </c>
      <c r="B148" s="187">
        <f>'Données projet'!D141</f>
        <v>32</v>
      </c>
      <c r="C148" s="204">
        <v>8</v>
      </c>
      <c r="D148" s="194">
        <f t="shared" ref="D148:D166" si="10">B148*C148</f>
        <v>256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20</v>
      </c>
      <c r="B149" s="187">
        <f>'Données projet'!D142</f>
        <v>35</v>
      </c>
      <c r="C149" s="204">
        <v>12</v>
      </c>
      <c r="D149" s="194">
        <f t="shared" si="10"/>
        <v>420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25</v>
      </c>
      <c r="B150" s="187">
        <f>'Données projet'!D143</f>
        <v>35</v>
      </c>
      <c r="C150" s="204">
        <v>15</v>
      </c>
      <c r="D150" s="194">
        <f t="shared" si="10"/>
        <v>525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30</v>
      </c>
      <c r="B151" s="187">
        <f>'Données projet'!D144</f>
        <v>35</v>
      </c>
      <c r="C151" s="204">
        <v>20</v>
      </c>
      <c r="D151" s="194">
        <f t="shared" si="10"/>
        <v>700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35</v>
      </c>
      <c r="B152" s="187">
        <f>'Données projet'!D145</f>
        <v>35</v>
      </c>
      <c r="C152" s="204">
        <v>25</v>
      </c>
      <c r="D152" s="194">
        <f t="shared" si="10"/>
        <v>875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40</v>
      </c>
      <c r="B153" s="187">
        <f>'Données projet'!D146</f>
        <v>35</v>
      </c>
      <c r="C153" s="204">
        <v>25</v>
      </c>
      <c r="D153" s="194">
        <f t="shared" si="10"/>
        <v>875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45</v>
      </c>
      <c r="B154" s="187">
        <f>'Données projet'!D147</f>
        <v>24</v>
      </c>
      <c r="C154" s="204">
        <v>30</v>
      </c>
      <c r="D154" s="194">
        <f t="shared" si="10"/>
        <v>720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50</v>
      </c>
      <c r="B155" s="187">
        <f>'Données projet'!D148</f>
        <v>19</v>
      </c>
      <c r="C155" s="204">
        <v>30</v>
      </c>
      <c r="D155" s="194">
        <f t="shared" si="10"/>
        <v>570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55</v>
      </c>
      <c r="B156" s="187">
        <f>'Données projet'!D149</f>
        <v>16</v>
      </c>
      <c r="C156" s="204">
        <v>40</v>
      </c>
      <c r="D156" s="194">
        <f t="shared" si="10"/>
        <v>640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60</v>
      </c>
      <c r="B157" s="187">
        <f>'Données projet'!D150</f>
        <v>14</v>
      </c>
      <c r="C157" s="204">
        <v>45</v>
      </c>
      <c r="D157" s="194">
        <f t="shared" si="10"/>
        <v>630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65</v>
      </c>
      <c r="B158" s="187">
        <f>'Données projet'!D151</f>
        <v>13</v>
      </c>
      <c r="C158" s="204">
        <v>45</v>
      </c>
      <c r="D158" s="194">
        <f t="shared" si="10"/>
        <v>585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70</v>
      </c>
      <c r="B159" s="187">
        <f>'Données projet'!D152</f>
        <v>13</v>
      </c>
      <c r="C159" s="204">
        <v>45</v>
      </c>
      <c r="D159" s="194">
        <f t="shared" si="10"/>
        <v>585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75</v>
      </c>
      <c r="B160" s="187">
        <f>'Données projet'!D153</f>
        <v>12</v>
      </c>
      <c r="C160" s="204">
        <v>45</v>
      </c>
      <c r="D160" s="194">
        <f t="shared" si="10"/>
        <v>540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80</v>
      </c>
      <c r="B161" s="187">
        <f>'Données projet'!D154</f>
        <v>11</v>
      </c>
      <c r="C161" s="204">
        <v>50</v>
      </c>
      <c r="D161" s="194">
        <f t="shared" si="10"/>
        <v>550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>Aulne glutineux</v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10</v>
      </c>
      <c r="B178" s="193">
        <f>'Données projet'!D166</f>
        <v>1</v>
      </c>
      <c r="C178" s="206">
        <v>5</v>
      </c>
      <c r="D178" s="191">
        <f>B178*C178</f>
        <v>5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15</v>
      </c>
      <c r="B179" s="193">
        <f>'Données projet'!D167</f>
        <v>3</v>
      </c>
      <c r="C179" s="206">
        <v>8</v>
      </c>
      <c r="D179" s="191">
        <f t="shared" ref="D179:D197" si="11">B179*C179</f>
        <v>24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20</v>
      </c>
      <c r="B180" s="193">
        <f>'Données projet'!D168</f>
        <v>9</v>
      </c>
      <c r="C180" s="206">
        <v>8</v>
      </c>
      <c r="D180" s="191">
        <f t="shared" si="11"/>
        <v>72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25</v>
      </c>
      <c r="B181" s="193">
        <f>'Données projet'!D169</f>
        <v>18</v>
      </c>
      <c r="C181" s="206">
        <v>8</v>
      </c>
      <c r="D181" s="191">
        <f t="shared" si="11"/>
        <v>144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30</v>
      </c>
      <c r="B182" s="193">
        <f>'Données projet'!D170</f>
        <v>20</v>
      </c>
      <c r="C182" s="206">
        <v>10</v>
      </c>
      <c r="D182" s="191">
        <f t="shared" si="11"/>
        <v>200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35</v>
      </c>
      <c r="B183" s="193">
        <f>'Données projet'!D171</f>
        <v>21</v>
      </c>
      <c r="C183" s="206">
        <v>15</v>
      </c>
      <c r="D183" s="191">
        <f t="shared" si="11"/>
        <v>315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40</v>
      </c>
      <c r="B184" s="193">
        <f>'Données projet'!D172</f>
        <v>22</v>
      </c>
      <c r="C184" s="206">
        <v>15</v>
      </c>
      <c r="D184" s="191">
        <f t="shared" si="11"/>
        <v>330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45</v>
      </c>
      <c r="B185" s="193">
        <f>'Données projet'!D173</f>
        <v>22</v>
      </c>
      <c r="C185" s="206">
        <v>15</v>
      </c>
      <c r="D185" s="191">
        <f t="shared" si="11"/>
        <v>330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50</v>
      </c>
      <c r="B186" s="193">
        <f>'Données projet'!D174</f>
        <v>21</v>
      </c>
      <c r="C186" s="206">
        <v>15</v>
      </c>
      <c r="D186" s="191">
        <f t="shared" si="11"/>
        <v>315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55</v>
      </c>
      <c r="B187" s="193">
        <f>'Données projet'!D175</f>
        <v>20</v>
      </c>
      <c r="C187" s="206">
        <v>15</v>
      </c>
      <c r="D187" s="191">
        <f t="shared" si="11"/>
        <v>300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60</v>
      </c>
      <c r="B188" s="193">
        <f>'Données projet'!D176</f>
        <v>19</v>
      </c>
      <c r="C188" s="206">
        <v>20</v>
      </c>
      <c r="D188" s="191">
        <f t="shared" si="11"/>
        <v>380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65</v>
      </c>
      <c r="B189" s="193">
        <f>'Données projet'!D177</f>
        <v>18</v>
      </c>
      <c r="C189" s="206">
        <v>20</v>
      </c>
      <c r="D189" s="191">
        <f t="shared" si="11"/>
        <v>360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70</v>
      </c>
      <c r="B190" s="193">
        <f>'Données projet'!D178</f>
        <v>17</v>
      </c>
      <c r="C190" s="206">
        <v>20</v>
      </c>
      <c r="D190" s="191">
        <f t="shared" si="11"/>
        <v>340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75</v>
      </c>
      <c r="B191" s="193">
        <f>'Données projet'!D179</f>
        <v>16</v>
      </c>
      <c r="C191" s="206">
        <v>30</v>
      </c>
      <c r="D191" s="191">
        <f t="shared" si="11"/>
        <v>480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80</v>
      </c>
      <c r="B192" s="193">
        <f>'Données projet'!D180</f>
        <v>15</v>
      </c>
      <c r="C192" s="206">
        <v>35</v>
      </c>
      <c r="D192" s="191">
        <f t="shared" si="11"/>
        <v>525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85</v>
      </c>
      <c r="B193" s="193">
        <f>'Données projet'!D181</f>
        <v>14</v>
      </c>
      <c r="C193" s="206">
        <v>40</v>
      </c>
      <c r="D193" s="191">
        <f t="shared" si="11"/>
        <v>560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90</v>
      </c>
      <c r="B194" s="193">
        <f>'Données projet'!D182</f>
        <v>204</v>
      </c>
      <c r="C194" s="206">
        <v>50</v>
      </c>
      <c r="D194" s="191">
        <f t="shared" si="11"/>
        <v>10200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>Merisier</v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15</v>
      </c>
      <c r="B209" s="193">
        <f>'Données projet'!D192</f>
        <v>3</v>
      </c>
      <c r="C209" s="206">
        <v>10</v>
      </c>
      <c r="D209" s="191">
        <f>B209*C209</f>
        <v>30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20</v>
      </c>
      <c r="B210" s="193">
        <f>'Données projet'!D193</f>
        <v>25</v>
      </c>
      <c r="C210" s="206">
        <v>15</v>
      </c>
      <c r="D210" s="191">
        <f t="shared" ref="D210:D228" si="12">B210*C210</f>
        <v>375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25</v>
      </c>
      <c r="B211" s="193">
        <f>'Données projet'!D194</f>
        <v>27</v>
      </c>
      <c r="C211" s="206">
        <v>20</v>
      </c>
      <c r="D211" s="191">
        <f t="shared" si="12"/>
        <v>540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31</v>
      </c>
      <c r="B212" s="193">
        <f>'Données projet'!D195</f>
        <v>36</v>
      </c>
      <c r="C212" s="206">
        <v>40</v>
      </c>
      <c r="D212" s="191">
        <f t="shared" si="12"/>
        <v>1440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37</v>
      </c>
      <c r="B213" s="193">
        <f>'Données projet'!D196</f>
        <v>36</v>
      </c>
      <c r="C213" s="206">
        <v>60</v>
      </c>
      <c r="D213" s="191">
        <f t="shared" si="12"/>
        <v>2160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44</v>
      </c>
      <c r="B214" s="193">
        <f>'Données projet'!D197</f>
        <v>43</v>
      </c>
      <c r="C214" s="206">
        <v>70</v>
      </c>
      <c r="D214" s="191">
        <f t="shared" si="12"/>
        <v>3010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52</v>
      </c>
      <c r="B215" s="193">
        <f>'Données projet'!D198</f>
        <v>48</v>
      </c>
      <c r="C215" s="206">
        <v>80</v>
      </c>
      <c r="D215" s="191">
        <f t="shared" si="12"/>
        <v>3840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60</v>
      </c>
      <c r="B216" s="193">
        <f>'Données projet'!D199</f>
        <v>47</v>
      </c>
      <c r="C216" s="206">
        <v>90</v>
      </c>
      <c r="D216" s="191">
        <f t="shared" si="12"/>
        <v>4230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69</v>
      </c>
      <c r="B217" s="193">
        <f>'Données projet'!D200</f>
        <v>328</v>
      </c>
      <c r="C217" s="206">
        <v>100</v>
      </c>
      <c r="D217" s="191">
        <f t="shared" si="12"/>
        <v>32800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D9BA4-452E-4D8D-AC7D-78402E44DFD8}">
  <dimension ref="B1:M28"/>
  <sheetViews>
    <sheetView workbookViewId="0">
      <selection activeCell="D12" sqref="D12"/>
    </sheetView>
  </sheetViews>
  <sheetFormatPr baseColWidth="10" defaultRowHeight="15" x14ac:dyDescent="0.25"/>
  <cols>
    <col min="1" max="1" width="1.85546875" style="302" customWidth="1"/>
    <col min="2" max="2" width="23" style="302" bestFit="1" customWidth="1"/>
    <col min="3" max="12" width="16.7109375" style="302" customWidth="1"/>
    <col min="13" max="16384" width="11.42578125" style="302"/>
  </cols>
  <sheetData>
    <row r="1" spans="2:13" ht="30.75" customHeight="1" thickBot="1" x14ac:dyDescent="0.3">
      <c r="B1" s="363" t="s">
        <v>324</v>
      </c>
      <c r="C1" s="364"/>
      <c r="D1" s="365"/>
    </row>
    <row r="2" spans="2:13" ht="27.75" customHeight="1" thickBot="1" x14ac:dyDescent="0.3"/>
    <row r="3" spans="2:13" ht="24.95" customHeight="1" x14ac:dyDescent="0.25">
      <c r="B3" s="307" t="s">
        <v>325</v>
      </c>
      <c r="C3" s="292" t="str">
        <f>'Données projet'!B9</f>
        <v>Cèdre de l'Atlas</v>
      </c>
      <c r="D3" s="292" t="str">
        <f>'Données projet'!B10</f>
        <v>Chêne rouge d'Amérique</v>
      </c>
      <c r="E3" s="292" t="str">
        <f>'Données projet'!B11</f>
        <v>Chêne pubescent</v>
      </c>
      <c r="F3" s="292" t="str">
        <f>'Données projet'!B12</f>
        <v>Chêne sessile</v>
      </c>
      <c r="G3" s="292" t="str">
        <f>'Données projet'!B13</f>
        <v>Châtaignier</v>
      </c>
      <c r="H3" s="292" t="str">
        <f>'Données projet'!B14</f>
        <v>Aulne glutineux</v>
      </c>
      <c r="I3" s="292" t="str">
        <f>'Données projet'!B15</f>
        <v>Merisier</v>
      </c>
      <c r="J3" s="292">
        <f>'Données projet'!B16</f>
        <v>0</v>
      </c>
      <c r="K3" s="292">
        <f>'Données projet'!B17</f>
        <v>0</v>
      </c>
      <c r="L3" s="295">
        <f>'Données projet'!B18</f>
        <v>0</v>
      </c>
      <c r="M3" s="298" t="s">
        <v>328</v>
      </c>
    </row>
    <row r="4" spans="2:13" ht="24.95" customHeight="1" x14ac:dyDescent="0.25">
      <c r="B4" s="308" t="s">
        <v>326</v>
      </c>
      <c r="C4" s="300">
        <f>'Données projet'!$D$9</f>
        <v>0.33880000000000005</v>
      </c>
      <c r="D4" s="300">
        <f>'Données projet'!$D$10</f>
        <v>0.26619999999999999</v>
      </c>
      <c r="E4" s="300">
        <f>'Données projet'!$D$11</f>
        <v>0.12825999999999999</v>
      </c>
      <c r="F4" s="300">
        <f>'Données projet'!$D$12</f>
        <v>0.95589999999999997</v>
      </c>
      <c r="G4" s="300">
        <f>'Données projet'!$D$13</f>
        <v>0.23474</v>
      </c>
      <c r="H4" s="300">
        <f>'Données projet'!$D$14</f>
        <v>0.43317999999999995</v>
      </c>
      <c r="I4" s="300">
        <f>'Données projet'!$D$15</f>
        <v>6.291999999999999E-2</v>
      </c>
      <c r="J4" s="300">
        <f>'Données projet'!$D$16</f>
        <v>0</v>
      </c>
      <c r="K4" s="300">
        <f>'Données projet'!$D$17</f>
        <v>0</v>
      </c>
      <c r="L4" s="301">
        <f>'Données projet'!$D$18</f>
        <v>0</v>
      </c>
      <c r="M4" s="304">
        <f>IF(SUM(C4:L4)=0,"",SUM(C4:L4))</f>
        <v>2.42</v>
      </c>
    </row>
    <row r="5" spans="2:13" ht="24.95" customHeight="1" x14ac:dyDescent="0.25">
      <c r="B5" s="308" t="s">
        <v>327</v>
      </c>
      <c r="C5" s="292"/>
      <c r="D5" s="293"/>
      <c r="E5" s="293"/>
      <c r="F5" s="293"/>
      <c r="G5" s="293"/>
      <c r="H5" s="293"/>
      <c r="I5" s="293"/>
      <c r="J5" s="293"/>
      <c r="K5" s="293"/>
      <c r="L5" s="296"/>
      <c r="M5" s="299"/>
    </row>
    <row r="6" spans="2:13" ht="24.95" customHeight="1" x14ac:dyDescent="0.25">
      <c r="B6" s="308" t="s">
        <v>329</v>
      </c>
      <c r="C6" s="288"/>
      <c r="D6" s="288"/>
      <c r="E6" s="288"/>
      <c r="F6" s="288"/>
      <c r="G6" s="288"/>
      <c r="H6" s="288"/>
      <c r="I6" s="288"/>
      <c r="J6" s="288"/>
      <c r="K6" s="288"/>
      <c r="L6" s="297"/>
      <c r="M6" s="305" t="str">
        <f>IF(SUM(C6:L6)=0,"",SUM(C6:L6))</f>
        <v/>
      </c>
    </row>
    <row r="7" spans="2:13" ht="24.95" customHeight="1" x14ac:dyDescent="0.25">
      <c r="B7" s="308" t="s">
        <v>249</v>
      </c>
      <c r="C7" s="288"/>
      <c r="D7" s="288"/>
      <c r="E7" s="288"/>
      <c r="F7" s="288"/>
      <c r="G7" s="288"/>
      <c r="H7" s="288"/>
      <c r="I7" s="288"/>
      <c r="J7" s="288"/>
      <c r="K7" s="288"/>
      <c r="L7" s="297"/>
      <c r="M7" s="306" t="str">
        <f>IF(SUM(C7:L7)=0,"",SUM(C7:L7))</f>
        <v/>
      </c>
    </row>
    <row r="8" spans="2:13" ht="24.95" customHeight="1" x14ac:dyDescent="0.25">
      <c r="B8" s="308" t="s">
        <v>330</v>
      </c>
      <c r="C8" s="294"/>
      <c r="D8" s="294"/>
      <c r="E8" s="294"/>
      <c r="F8" s="294"/>
      <c r="G8" s="294"/>
      <c r="H8" s="294"/>
      <c r="I8" s="288"/>
      <c r="J8" s="288"/>
      <c r="K8" s="288"/>
      <c r="L8" s="297"/>
      <c r="M8" s="306"/>
    </row>
    <row r="9" spans="2:13" ht="24.95" customHeight="1" thickBot="1" x14ac:dyDescent="0.3">
      <c r="B9" s="309" t="s">
        <v>331</v>
      </c>
      <c r="C9" s="310" t="str">
        <f>IF(C7=0,"",IFERROR((C7-C4)*REE!L6/REE!$B$6,""))</f>
        <v/>
      </c>
      <c r="D9" s="310" t="str">
        <f>IF(D7=0,"",IFERROR((D7-D4)*REE!L7/REE!$B$6,""))</f>
        <v/>
      </c>
      <c r="E9" s="310" t="str">
        <f>IF(E7=0,"",IFERROR((E7-E4)*REE!L8/REE!$B$6,""))</f>
        <v/>
      </c>
      <c r="F9" s="310" t="str">
        <f>IF(F7=0,"",IFERROR((F7-F4)*REE!L9/REE!$B$6,""))</f>
        <v/>
      </c>
      <c r="G9" s="310" t="str">
        <f>IF(G7=0,"",IFERROR((G7-G4)*REE!L10/REE!$B$6,""))</f>
        <v/>
      </c>
      <c r="H9" s="310" t="str">
        <f>IF(H7=0,"",IFERROR((H7-H4)*REE!L11/REE!$B$6,""))</f>
        <v/>
      </c>
      <c r="I9" s="310" t="str">
        <f>IF(I7=0,"",IFERROR((I7-I4)*REE!L12/REE!$B$6,""))</f>
        <v/>
      </c>
      <c r="J9" s="310" t="str">
        <f>IF(J7=0,"",IFERROR((J7-J4)*REE!L13/REE!$B$6,""))</f>
        <v/>
      </c>
      <c r="K9" s="310" t="str">
        <f>IF(K7=0,"",IFERROR((K7-K4)*REE!L14/REE!$B$6,""))</f>
        <v/>
      </c>
      <c r="L9" s="310" t="str">
        <f>IF(L7=0,"",IFERROR((L7-L4)*REE!L15/REE!$B$6,""))</f>
        <v/>
      </c>
      <c r="M9" s="311" t="str">
        <f>IF(SUM(C9:L9)=0,"",SUM(C9:L9))</f>
        <v/>
      </c>
    </row>
    <row r="12" spans="2:13" x14ac:dyDescent="0.25">
      <c r="D12" s="303"/>
    </row>
    <row r="13" spans="2:13" x14ac:dyDescent="0.25">
      <c r="D13" s="303"/>
    </row>
    <row r="14" spans="2:13" x14ac:dyDescent="0.25">
      <c r="D14" s="303"/>
    </row>
    <row r="15" spans="2:13" x14ac:dyDescent="0.25">
      <c r="D15" s="303"/>
    </row>
    <row r="16" spans="2:13" x14ac:dyDescent="0.25">
      <c r="D16" s="303"/>
    </row>
    <row r="17" spans="4:4" x14ac:dyDescent="0.25">
      <c r="D17" s="303"/>
    </row>
    <row r="18" spans="4:4" x14ac:dyDescent="0.25">
      <c r="D18" s="303"/>
    </row>
    <row r="19" spans="4:4" x14ac:dyDescent="0.25">
      <c r="D19" s="303"/>
    </row>
    <row r="20" spans="4:4" x14ac:dyDescent="0.25">
      <c r="D20" s="303"/>
    </row>
    <row r="21" spans="4:4" x14ac:dyDescent="0.25">
      <c r="D21" s="303"/>
    </row>
    <row r="22" spans="4:4" x14ac:dyDescent="0.25">
      <c r="D22" s="303"/>
    </row>
    <row r="23" spans="4:4" x14ac:dyDescent="0.25">
      <c r="D23" s="303"/>
    </row>
    <row r="24" spans="4:4" x14ac:dyDescent="0.25">
      <c r="D24" s="303"/>
    </row>
    <row r="25" spans="4:4" x14ac:dyDescent="0.25">
      <c r="D25" s="303"/>
    </row>
    <row r="26" spans="4:4" x14ac:dyDescent="0.25">
      <c r="D26" s="303"/>
    </row>
    <row r="27" spans="4:4" x14ac:dyDescent="0.25">
      <c r="D27" s="303"/>
    </row>
    <row r="28" spans="4:4" x14ac:dyDescent="0.25">
      <c r="D28" s="303"/>
    </row>
  </sheetData>
  <mergeCells count="1">
    <mergeCell ref="B1:D1"/>
  </mergeCells>
  <conditionalFormatting sqref="C9:M9">
    <cfRule type="cellIs" dxfId="0" priority="1" operator="greater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8</vt:i4>
      </vt:variant>
      <vt:variant>
        <vt:lpstr>Plages nommées</vt:lpstr>
      </vt:variant>
      <vt:variant>
        <vt:i4>5</vt:i4>
      </vt:variant>
    </vt:vector>
  </HeadingPairs>
  <TitlesOfParts>
    <vt:vector size="13" baseType="lpstr">
      <vt:lpstr>Accueil</vt:lpstr>
      <vt:lpstr>Données projet</vt:lpstr>
      <vt:lpstr>Calculateur</vt:lpstr>
      <vt:lpstr>Paramètres</vt:lpstr>
      <vt:lpstr>Scénario référence</vt:lpstr>
      <vt:lpstr>REE</vt:lpstr>
      <vt:lpstr>VAN</vt:lpstr>
      <vt:lpstr>vérification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BELLE Nastasia</cp:lastModifiedBy>
  <dcterms:created xsi:type="dcterms:W3CDTF">2021-02-01T08:22:39Z</dcterms:created>
  <dcterms:modified xsi:type="dcterms:W3CDTF">2025-09-15T15:46:55Z</dcterms:modified>
</cp:coreProperties>
</file>