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eosylvafrance.sharepoint.com/sites/Partage/Documents partages/NIF/Label Bas Carbone/2- Dossiers en cours/CENTRE (EDL)/2PEBU-123/Dossier octobre 2024/"/>
    </mc:Choice>
  </mc:AlternateContent>
  <xr:revisionPtr revIDLastSave="61" documentId="13_ncr:1_{C811EECC-BCCE-48D9-92CF-322F1FA22D3C}" xr6:coauthVersionLast="47" xr6:coauthVersionMax="47" xr10:uidLastSave="{02E3401E-CCE8-4CBF-A710-2148A2CE8502}"/>
  <bookViews>
    <workbookView xWindow="-108" yWindow="-108" windowWidth="23256" windowHeight="1389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0" i="6" l="1"/>
  <c r="E79" i="6"/>
  <c r="E113" i="6"/>
  <c r="E111" i="6"/>
  <c r="E112" i="6"/>
  <c r="E82" i="6"/>
  <c r="E81" i="6"/>
  <c r="E80" i="6"/>
  <c r="E51" i="6"/>
  <c r="E49" i="6"/>
  <c r="E48" i="6"/>
  <c r="E50" i="6" s="1"/>
  <c r="E17" i="6"/>
  <c r="E20" i="6"/>
  <c r="E19" i="6"/>
  <c r="E18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I24" i="6" l="1"/>
  <c r="U30" i="6"/>
  <c r="I22" i="6"/>
  <c r="I20" i="6"/>
  <c r="V10" i="6"/>
  <c r="P67" i="6"/>
  <c r="H19" i="2"/>
  <c r="D20" i="2"/>
  <c r="G20" i="2" s="1"/>
  <c r="P40" i="6"/>
  <c r="T23" i="6" l="1"/>
  <c r="U31" i="6"/>
  <c r="U33" i="6" s="1"/>
  <c r="P68" i="6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V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HH22" i="2"/>
  <c r="EW22" i="2"/>
  <c r="HG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V28" i="2"/>
  <c r="EC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B33" i="2"/>
  <c r="HG33" i="2"/>
  <c r="EW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FQ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FS38" i="2"/>
  <c r="HH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HG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G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EB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EV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X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HH75" i="2"/>
  <c r="FS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H85" i="2"/>
  <c r="EV85" i="2"/>
  <c r="EW85" i="2"/>
  <c r="HG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B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W113" i="2"/>
  <c r="EB113" i="2"/>
  <c r="HG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EX120" i="2"/>
  <c r="FR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HG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B128" i="2" l="1"/>
  <c r="EV128" i="2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B130" i="2"/>
  <c r="HH130" i="2"/>
  <c r="EW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FS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H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G144" i="2" l="1"/>
  <c r="EA144" i="2"/>
  <c r="FR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HH145" i="2"/>
  <c r="EX145" i="2"/>
  <c r="FR145" i="2"/>
  <c r="EA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R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H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AC154" i="2" l="1"/>
  <c r="EX155" i="2"/>
  <c r="EW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DH156" i="2" l="1"/>
  <c r="HI156" i="2"/>
  <c r="A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W158" i="2" l="1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EB161" i="2" l="1"/>
  <c r="FS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DI161" i="2" l="1"/>
  <c r="HG162" i="2"/>
  <c r="EB162" i="2"/>
  <c r="HH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EA164" i="2"/>
  <c r="EV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HI168" i="2"/>
  <c r="DG168" i="2"/>
  <c r="EV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FS169" i="2" l="1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HI172" i="2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HH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FS175" i="2"/>
  <c r="EA175" i="2"/>
  <c r="HI175" i="2"/>
  <c r="EB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W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V179" i="2" l="1"/>
  <c r="DF179" i="2"/>
  <c r="HG179" i="2"/>
  <c r="HI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HG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I185" i="2" l="1"/>
  <c r="EW185" i="2"/>
  <c r="HG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EA186" i="2"/>
  <c r="FS186" i="2"/>
  <c r="ED185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I191" i="2" l="1"/>
  <c r="HH191" i="2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V192" i="2" l="1"/>
  <c r="HH192" i="2"/>
  <c r="EB192" i="2"/>
  <c r="EW192" i="2"/>
  <c r="HG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DI192" i="2" l="1"/>
  <c r="EB193" i="2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AA195" i="2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HG197" i="2"/>
  <c r="EW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W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FS199" i="2" l="1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HG201" i="2" l="1"/>
  <c r="FS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EY201" i="2"/>
  <c r="EW202" i="2" l="1"/>
  <c r="FR202" i="2"/>
  <c r="HG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22" i="2" a="1"/>
  <c r="FY22" i="2" s="1"/>
  <c r="FY35" i="2" a="1"/>
  <c r="FY35" i="2" s="1"/>
  <c r="FY18" i="2" a="1"/>
  <c r="FY18" i="2" s="1"/>
  <c r="FY69" i="2" a="1"/>
  <c r="FY69" i="2" s="1"/>
  <c r="FY191" i="2" a="1"/>
  <c r="FY191" i="2" s="1"/>
  <c r="FY186" i="2" a="1"/>
  <c r="FY186" i="2" s="1"/>
  <c r="FY92" i="2" a="1"/>
  <c r="FY92" i="2" s="1"/>
  <c r="FY78" i="2" a="1"/>
  <c r="FY78" i="2" s="1"/>
  <c r="FY55" i="2" a="1"/>
  <c r="FY55" i="2" s="1"/>
  <c r="FY190" i="2" a="1"/>
  <c r="FY190" i="2" s="1"/>
  <c r="FY24" i="2" a="1"/>
  <c r="FY24" i="2" s="1"/>
  <c r="FY104" i="2" a="1"/>
  <c r="FY104" i="2" s="1"/>
  <c r="FD59" i="2" a="1"/>
  <c r="FD59" i="2" s="1"/>
  <c r="BC34" i="2" a="1"/>
  <c r="BC34" i="2" s="1"/>
  <c r="BC58" i="2" a="1"/>
  <c r="BC5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AH151" i="2" a="1"/>
  <c r="AH151" i="2" s="1"/>
  <c r="DN103" i="2" a="1"/>
  <c r="DN103" i="2" s="1"/>
  <c r="DN114" i="2" a="1"/>
  <c r="DN114" i="2" s="1"/>
  <c r="AH90" i="2" a="1"/>
  <c r="AH90" i="2" s="1"/>
  <c r="FY182" i="2" a="1"/>
  <c r="FY182" i="2" s="1"/>
  <c r="FY30" i="2" a="1"/>
  <c r="FY30" i="2" s="1"/>
  <c r="FY121" i="2" a="1"/>
  <c r="FY121" i="2" s="1"/>
  <c r="FD48" i="2" a="1"/>
  <c r="FD48" i="2" s="1"/>
  <c r="FD43" i="2" a="1"/>
  <c r="FD43" i="2" s="1"/>
  <c r="FD159" i="2" a="1"/>
  <c r="FD159" i="2" s="1"/>
  <c r="FD194" i="2" a="1"/>
  <c r="FD194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CS56" i="2" a="1"/>
  <c r="CS56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DN45" i="2" a="1"/>
  <c r="DN45" i="2" s="1"/>
  <c r="CS72" i="2" a="1"/>
  <c r="CS72" i="2" s="1"/>
  <c r="DN187" i="2" a="1"/>
  <c r="DN187" i="2" s="1"/>
  <c r="HJ202" i="2"/>
  <c r="EY202" i="2"/>
  <c r="AX200" i="2"/>
  <c r="BX107" i="2" l="1" a="1"/>
  <c r="BX107" i="2" s="1"/>
  <c r="BC68" i="2" a="1"/>
  <c r="BC68" i="2" s="1"/>
  <c r="AH62" i="2" a="1"/>
  <c r="AH62" i="2" s="1"/>
  <c r="CS38" i="2" a="1"/>
  <c r="CS38" i="2" s="1"/>
  <c r="FD19" i="2" a="1"/>
  <c r="FD19" i="2" s="1"/>
  <c r="FD107" i="2" a="1"/>
  <c r="FD107" i="2" s="1"/>
  <c r="FD64" i="2" a="1"/>
  <c r="FD64" i="2" s="1"/>
  <c r="FD44" i="2" a="1"/>
  <c r="FD44" i="2" s="1"/>
  <c r="FY167" i="2" a="1"/>
  <c r="FY167" i="2" s="1"/>
  <c r="FY42" i="2" a="1"/>
  <c r="FY42" i="2" s="1"/>
  <c r="FY115" i="2" a="1"/>
  <c r="FY115" i="2" s="1"/>
  <c r="CS105" i="2" a="1"/>
  <c r="CS105" i="2" s="1"/>
  <c r="AH199" i="2" a="1"/>
  <c r="AH199" i="2" s="1"/>
  <c r="CS77" i="2" a="1"/>
  <c r="CS77" i="2" s="1"/>
  <c r="CS137" i="2" a="1"/>
  <c r="CS137" i="2" s="1"/>
  <c r="CS129" i="2" a="1"/>
  <c r="CS129" i="2" s="1"/>
  <c r="FD144" i="2" a="1"/>
  <c r="FD144" i="2" s="1"/>
  <c r="FY34" i="2" a="1"/>
  <c r="FY34" i="2" s="1"/>
  <c r="FY124" i="2" a="1"/>
  <c r="FY124" i="2" s="1"/>
  <c r="FY72" i="2" a="1"/>
  <c r="FY72" i="2" s="1"/>
  <c r="FY126" i="2" a="1"/>
  <c r="FY126" i="2" s="1"/>
  <c r="FY174" i="2" a="1"/>
  <c r="FY174" i="2" s="1"/>
  <c r="FY111" i="2" a="1"/>
  <c r="FY111" i="2" s="1"/>
  <c r="FY173" i="2" a="1"/>
  <c r="FY173" i="2" s="1"/>
  <c r="FY110" i="2" a="1"/>
  <c r="FY110" i="2" s="1"/>
  <c r="FY66" i="2" a="1"/>
  <c r="FY66" i="2" s="1"/>
  <c r="FY133" i="2" a="1"/>
  <c r="FY133" i="2" s="1"/>
  <c r="FY165" i="2" a="1"/>
  <c r="FY165" i="2" s="1"/>
  <c r="FY90" i="2" a="1"/>
  <c r="FY90" i="2" s="1"/>
  <c r="FY109" i="2" a="1"/>
  <c r="FY109" i="2" s="1"/>
  <c r="HG203" i="2"/>
  <c r="FD82" i="2" a="1"/>
  <c r="FD82" i="2" s="1"/>
  <c r="CS134" i="2" a="1"/>
  <c r="CS134" i="2" s="1"/>
  <c r="CS185" i="2" a="1"/>
  <c r="CS185" i="2" s="1"/>
  <c r="FD160" i="2" a="1"/>
  <c r="FD160" i="2" s="1"/>
  <c r="FD167" i="2" a="1"/>
  <c r="FD167" i="2" s="1"/>
  <c r="FD189" i="2" a="1"/>
  <c r="FD189" i="2" s="1"/>
  <c r="FD188" i="2" a="1"/>
  <c r="FD188" i="2" s="1"/>
  <c r="FY142" i="2" a="1"/>
  <c r="FY142" i="2" s="1"/>
  <c r="FY196" i="2" a="1"/>
  <c r="FY196" i="2" s="1"/>
  <c r="FY86" i="2" a="1"/>
  <c r="FY86" i="2" s="1"/>
  <c r="CS161" i="2" a="1"/>
  <c r="CS161" i="2" s="1"/>
  <c r="AH166" i="2" a="1"/>
  <c r="AH166" i="2" s="1"/>
  <c r="CS52" i="2" a="1"/>
  <c r="CS52" i="2" s="1"/>
  <c r="FD21" i="2" a="1"/>
  <c r="FD21" i="2" s="1"/>
  <c r="FY164" i="2" a="1"/>
  <c r="FY164" i="2" s="1"/>
  <c r="FY169" i="2" a="1"/>
  <c r="FY169" i="2" s="1"/>
  <c r="AH92" i="2" a="1"/>
  <c r="AH92" i="2" s="1"/>
  <c r="FY188" i="2" a="1"/>
  <c r="FY188" i="2" s="1"/>
  <c r="FY99" i="2" a="1"/>
  <c r="FY99" i="2" s="1"/>
  <c r="FY73" i="2" a="1"/>
  <c r="FY73" i="2" s="1"/>
  <c r="FY159" i="2" a="1"/>
  <c r="FY159" i="2" s="1"/>
  <c r="FY153" i="2" a="1"/>
  <c r="FY153" i="2" s="1"/>
  <c r="FY120" i="2" a="1"/>
  <c r="FY120" i="2" s="1"/>
  <c r="FY140" i="2" a="1"/>
  <c r="FY140" i="2" s="1"/>
  <c r="FY146" i="2" a="1"/>
  <c r="FY146" i="2" s="1"/>
  <c r="FY57" i="2" a="1"/>
  <c r="FY57" i="2" s="1"/>
  <c r="FY79" i="2" a="1"/>
  <c r="FY79" i="2" s="1"/>
  <c r="CS114" i="2" a="1"/>
  <c r="CS114" i="2" s="1"/>
  <c r="CS120" i="2" a="1"/>
  <c r="CS120" i="2" s="1"/>
  <c r="FD187" i="2" a="1"/>
  <c r="FD187" i="2" s="1"/>
  <c r="FD137" i="2" a="1"/>
  <c r="FD137" i="2" s="1"/>
  <c r="FD131" i="2" a="1"/>
  <c r="FD131" i="2" s="1"/>
  <c r="FD14" i="2" a="1"/>
  <c r="FD14" i="2" s="1"/>
  <c r="FD60" i="2" a="1"/>
  <c r="FD60" i="2" s="1"/>
  <c r="FY80" i="2" a="1"/>
  <c r="FY80" i="2" s="1"/>
  <c r="FY82" i="2" a="1"/>
  <c r="FY82" i="2" s="1"/>
  <c r="FY58" i="2" a="1"/>
  <c r="FY58" i="2" s="1"/>
  <c r="AH163" i="2" a="1"/>
  <c r="AH163" i="2" s="1"/>
  <c r="AH19" i="2" a="1"/>
  <c r="AH19" i="2" s="1"/>
  <c r="FY172" i="2" a="1"/>
  <c r="FY172" i="2" s="1"/>
  <c r="FY149" i="2" a="1"/>
  <c r="FY149" i="2" s="1"/>
  <c r="FY62" i="2" a="1"/>
  <c r="FY62" i="2" s="1"/>
  <c r="FY178" i="2" a="1"/>
  <c r="FY178" i="2" s="1"/>
  <c r="FY28" i="2" a="1"/>
  <c r="FY28" i="2" s="1"/>
  <c r="FY116" i="2" a="1"/>
  <c r="FY116" i="2" s="1"/>
  <c r="FY152" i="2" a="1"/>
  <c r="FY152" i="2" s="1"/>
  <c r="FY143" i="2" a="1"/>
  <c r="FY143" i="2" s="1"/>
  <c r="FY102" i="2" a="1"/>
  <c r="FY102" i="2" s="1"/>
  <c r="FY71" i="2" a="1"/>
  <c r="FY71" i="2" s="1"/>
  <c r="FY29" i="2" a="1"/>
  <c r="FY29" i="2" s="1"/>
  <c r="FY32" i="2" a="1"/>
  <c r="FY32" i="2" s="1"/>
  <c r="FY54" i="2" a="1"/>
  <c r="FY54" i="2" s="1"/>
  <c r="FY47" i="2" a="1"/>
  <c r="FY47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CN203" i="2" s="1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M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CD60" i="2" l="1"/>
  <c r="CD179" i="2"/>
  <c r="CD105" i="2"/>
  <c r="CD100" i="2"/>
  <c r="CD148" i="2"/>
  <c r="CD7" i="2"/>
  <c r="CD123" i="2"/>
  <c r="CD141" i="2"/>
  <c r="CD94" i="2"/>
  <c r="CD167" i="2"/>
  <c r="CD22" i="2"/>
  <c r="CD62" i="2"/>
  <c r="CD91" i="2"/>
  <c r="CD54" i="2"/>
  <c r="CD63" i="2"/>
  <c r="CD31" i="2"/>
  <c r="CD52" i="2"/>
  <c r="CD116" i="2"/>
  <c r="CD169" i="2"/>
  <c r="CD182" i="2"/>
  <c r="CD130" i="2"/>
  <c r="CD15" i="2"/>
  <c r="CD198" i="2"/>
  <c r="CD199" i="2"/>
  <c r="CD57" i="2"/>
  <c r="CD6" i="2"/>
  <c r="CD35" i="2"/>
  <c r="CD196" i="2"/>
  <c r="CD46" i="2"/>
  <c r="CD117" i="2"/>
  <c r="CD201" i="2"/>
  <c r="CD104" i="2"/>
  <c r="CD16" i="2"/>
  <c r="CD49" i="2"/>
  <c r="CD102" i="2"/>
  <c r="CD42" i="2"/>
  <c r="CD185" i="2"/>
  <c r="CD73" i="2"/>
  <c r="CD68" i="2"/>
  <c r="CD30" i="2"/>
  <c r="CD133" i="2"/>
  <c r="CD155" i="2"/>
  <c r="CD93" i="2"/>
  <c r="CD173" i="2"/>
  <c r="CD137" i="2"/>
  <c r="CD158" i="2"/>
  <c r="CD12" i="2"/>
  <c r="CD97" i="2"/>
  <c r="CD41" i="2"/>
  <c r="CD56" i="2"/>
  <c r="CD51" i="2"/>
  <c r="CD76" i="2"/>
  <c r="CD183" i="2"/>
  <c r="CD79" i="2"/>
  <c r="CD124" i="2"/>
  <c r="CD82" i="2"/>
  <c r="CD146" i="2"/>
  <c r="CD8" i="2"/>
  <c r="CD29" i="2"/>
  <c r="CD136" i="2"/>
  <c r="CD188" i="2"/>
  <c r="CD44" i="2"/>
  <c r="CD78" i="2"/>
  <c r="CD132" i="2"/>
  <c r="CD109" i="2"/>
  <c r="CD177" i="2"/>
  <c r="CD107" i="2"/>
  <c r="CD111" i="2"/>
  <c r="CD85" i="2"/>
  <c r="CD36" i="2"/>
  <c r="CD86" i="2"/>
  <c r="CD115" i="2"/>
  <c r="CD144" i="2"/>
  <c r="CD110" i="2"/>
  <c r="CD23" i="2"/>
  <c r="CD106" i="2"/>
  <c r="CD153" i="2"/>
  <c r="CD170" i="2"/>
  <c r="CD191" i="2"/>
  <c r="CD138" i="2"/>
  <c r="CD21" i="2"/>
  <c r="CD178" i="2"/>
  <c r="CD180" i="2"/>
  <c r="CD202" i="2"/>
  <c r="CD120" i="2"/>
  <c r="CD128" i="2"/>
  <c r="CD27" i="2"/>
  <c r="CD160" i="2"/>
  <c r="CD108" i="2"/>
  <c r="CD67" i="2"/>
  <c r="CD83" i="2"/>
  <c r="CD77" i="2"/>
  <c r="CD55" i="2"/>
  <c r="CD145" i="2"/>
  <c r="CD43" i="2"/>
  <c r="CD174" i="2"/>
  <c r="CD38" i="2"/>
  <c r="CD74" i="2"/>
  <c r="CD58" i="2"/>
  <c r="CD200" i="2"/>
  <c r="CD13" i="2"/>
  <c r="CD28" i="2"/>
  <c r="CD25" i="2"/>
  <c r="CD164" i="2"/>
  <c r="CD101" i="2"/>
  <c r="CD197" i="2"/>
  <c r="CD119" i="2"/>
  <c r="CD87" i="2"/>
  <c r="CD50" i="2"/>
  <c r="CD89" i="2"/>
  <c r="CD150" i="2"/>
  <c r="CD154" i="2"/>
  <c r="CD176" i="2"/>
  <c r="CD75" i="2"/>
  <c r="CD65" i="2"/>
  <c r="CD64" i="2"/>
  <c r="CD156" i="2"/>
  <c r="CD88" i="2"/>
  <c r="CD11" i="2"/>
  <c r="CD122" i="2"/>
  <c r="CD193" i="2"/>
  <c r="CD69" i="2"/>
  <c r="CD147" i="2"/>
  <c r="CD48" i="2"/>
  <c r="CD186" i="2"/>
  <c r="CD129" i="2"/>
  <c r="CD125" i="2"/>
  <c r="CD92" i="2"/>
  <c r="CD59" i="2"/>
  <c r="CD157" i="2"/>
  <c r="CD187" i="2"/>
  <c r="CD61" i="2"/>
  <c r="CD47" i="2"/>
  <c r="CD19" i="2"/>
  <c r="CD71" i="2"/>
  <c r="CD96" i="2"/>
  <c r="CD184" i="2"/>
  <c r="CD70" i="2"/>
  <c r="CD20" i="2"/>
  <c r="CD139" i="2"/>
  <c r="CD189" i="2"/>
  <c r="CD190" i="2"/>
  <c r="CD5" i="2"/>
  <c r="CD98" i="2"/>
  <c r="CD90" i="2"/>
  <c r="CD3" i="2"/>
  <c r="C9" i="4" s="1"/>
  <c r="E9" i="4" s="1"/>
  <c r="F9" i="4" s="1"/>
  <c r="G9" i="4" s="1"/>
  <c r="L9" i="4" s="1"/>
  <c r="M9" i="4" s="1"/>
  <c r="CD172" i="2"/>
  <c r="CD17" i="2"/>
  <c r="CD126" i="2"/>
  <c r="CD103" i="2"/>
  <c r="CD45" i="2"/>
  <c r="CD168" i="2"/>
  <c r="CD195" i="2"/>
  <c r="CD162" i="2"/>
  <c r="CD39" i="2"/>
  <c r="CD18" i="2"/>
  <c r="CD151" i="2"/>
  <c r="CD99" i="2"/>
  <c r="CD40" i="2"/>
  <c r="CD181" i="2"/>
  <c r="CD203" i="2"/>
  <c r="CD171" i="2"/>
  <c r="CD166" i="2"/>
  <c r="CD121" i="2"/>
  <c r="CD80" i="2"/>
  <c r="CD161" i="2"/>
  <c r="CD140" i="2"/>
  <c r="CD53" i="2"/>
  <c r="CD114" i="2"/>
  <c r="CD10" i="2"/>
  <c r="CD84" i="2"/>
  <c r="CD9" i="2"/>
  <c r="CD33" i="2"/>
  <c r="CD14" i="2"/>
  <c r="CD24" i="2"/>
  <c r="CD134" i="2"/>
  <c r="CD149" i="2"/>
  <c r="CD81" i="2"/>
  <c r="CD127" i="2"/>
  <c r="CD66" i="2"/>
  <c r="CD118" i="2"/>
  <c r="CD113" i="2"/>
  <c r="CD72" i="2"/>
  <c r="CD95" i="2"/>
  <c r="CD4" i="2"/>
  <c r="CD143" i="2"/>
  <c r="CD131" i="2"/>
  <c r="CD194" i="2"/>
  <c r="CD112" i="2"/>
  <c r="CD152" i="2"/>
  <c r="CD159" i="2"/>
  <c r="CD34" i="2"/>
  <c r="CD142" i="2"/>
  <c r="CD163" i="2"/>
  <c r="CD135" i="2"/>
  <c r="CD37" i="2"/>
  <c r="CD32" i="2"/>
  <c r="CD192" i="2"/>
  <c r="CD175" i="2"/>
  <c r="CD165" i="2"/>
  <c r="CD26" i="2"/>
  <c r="AN93" i="2"/>
  <c r="AN168" i="2"/>
  <c r="AN186" i="2"/>
  <c r="AN22" i="2"/>
  <c r="AN144" i="2"/>
  <c r="AN143" i="2"/>
  <c r="AN132" i="2"/>
  <c r="AN138" i="2"/>
  <c r="AN7" i="2"/>
  <c r="AN154" i="2"/>
  <c r="AN80" i="2"/>
  <c r="AN3" i="2"/>
  <c r="C7" i="4" s="1"/>
  <c r="E7" i="4" s="1"/>
  <c r="F7" i="4" s="1"/>
  <c r="G7" i="4" s="1"/>
  <c r="L7" i="4" s="1"/>
  <c r="M7" i="4" s="1"/>
  <c r="AN199" i="2"/>
  <c r="AN72" i="2"/>
  <c r="AN28" i="2"/>
  <c r="AN59" i="2"/>
  <c r="AN181" i="2"/>
  <c r="AN34" i="2"/>
  <c r="AN32" i="2"/>
  <c r="AN45" i="2"/>
  <c r="AN139" i="2"/>
  <c r="AN175" i="2"/>
  <c r="AN195" i="2"/>
  <c r="AN54" i="2"/>
  <c r="AN153" i="2"/>
  <c r="AN70" i="2"/>
  <c r="AN103" i="2"/>
  <c r="AN158" i="2"/>
  <c r="AN31" i="2"/>
  <c r="AN148" i="2"/>
  <c r="AN64" i="2"/>
  <c r="AN68" i="2"/>
  <c r="AN136" i="2"/>
  <c r="AN115" i="2"/>
  <c r="AN187" i="2"/>
  <c r="AN203" i="2"/>
  <c r="AN84" i="2"/>
  <c r="AN24" i="2"/>
  <c r="AN89" i="2"/>
  <c r="AN73" i="2"/>
  <c r="AN29" i="2"/>
  <c r="AN146" i="2"/>
  <c r="AN46" i="2"/>
  <c r="AN76" i="2"/>
  <c r="AN33" i="2"/>
  <c r="AN194" i="2"/>
  <c r="AN178" i="2"/>
  <c r="AN17" i="2"/>
  <c r="AN35" i="2"/>
  <c r="AN152" i="2"/>
  <c r="AN189" i="2"/>
  <c r="AN113" i="2"/>
  <c r="AN5" i="2"/>
  <c r="AN125" i="2"/>
  <c r="AN159" i="2"/>
  <c r="AN63" i="2"/>
  <c r="AN58" i="2"/>
  <c r="AN101" i="2"/>
  <c r="AN49" i="2"/>
  <c r="AN14" i="2"/>
  <c r="AN126" i="2"/>
  <c r="AN160" i="2"/>
  <c r="AN50" i="2"/>
  <c r="AN114" i="2"/>
  <c r="AN131" i="2"/>
  <c r="AN172" i="2"/>
  <c r="AN118" i="2"/>
  <c r="AN43" i="2"/>
  <c r="AN25" i="2"/>
  <c r="AN92" i="2"/>
  <c r="AN95" i="2"/>
  <c r="AN193" i="2"/>
  <c r="AN163" i="2"/>
  <c r="AN98" i="2"/>
  <c r="AN188" i="2"/>
  <c r="AN129" i="2"/>
  <c r="AN8" i="2"/>
  <c r="AN96" i="2"/>
  <c r="AN122" i="2"/>
  <c r="AN81" i="2"/>
  <c r="AN173" i="2"/>
  <c r="AN56" i="2"/>
  <c r="AN51" i="2"/>
  <c r="AN156" i="2"/>
  <c r="AN202" i="2"/>
  <c r="AN9" i="2"/>
  <c r="AN180" i="2"/>
  <c r="AN85" i="2"/>
  <c r="AN30" i="2"/>
  <c r="AN141" i="2"/>
  <c r="AN171" i="2"/>
  <c r="AN75" i="2"/>
  <c r="AN117" i="2"/>
  <c r="AN182" i="2"/>
  <c r="AN82" i="2"/>
  <c r="AN121" i="2"/>
  <c r="AN78" i="2"/>
  <c r="AN27" i="2"/>
  <c r="AN99" i="2"/>
  <c r="AN67" i="2"/>
  <c r="AN87" i="2"/>
  <c r="AN69" i="2"/>
  <c r="AN135" i="2"/>
  <c r="AN60" i="2"/>
  <c r="AN47" i="2"/>
  <c r="AN55" i="2"/>
  <c r="AN41" i="2"/>
  <c r="AN37" i="2"/>
  <c r="AN18" i="2"/>
  <c r="AN4" i="2"/>
  <c r="AN201" i="2"/>
  <c r="AN170" i="2"/>
  <c r="AN137" i="2"/>
  <c r="AN19" i="2"/>
  <c r="AN197" i="2"/>
  <c r="AN145" i="2"/>
  <c r="AN16" i="2"/>
  <c r="AN12" i="2"/>
  <c r="AN174" i="2"/>
  <c r="AN105" i="2"/>
  <c r="AN100" i="2"/>
  <c r="AN198" i="2"/>
  <c r="AN91" i="2"/>
  <c r="AN106" i="2"/>
  <c r="AN179" i="2"/>
  <c r="AN90" i="2"/>
  <c r="AN155" i="2"/>
  <c r="AN140" i="2"/>
  <c r="AN177" i="2"/>
  <c r="AN66" i="2"/>
  <c r="AN165" i="2"/>
  <c r="AN10" i="2"/>
  <c r="AN53" i="2"/>
  <c r="AN142" i="2"/>
  <c r="AN38" i="2"/>
  <c r="AN42" i="2"/>
  <c r="AN123" i="2"/>
  <c r="AN190" i="2"/>
  <c r="AN196" i="2"/>
  <c r="AN184" i="2"/>
  <c r="AN104" i="2"/>
  <c r="AN111" i="2"/>
  <c r="AN130" i="2"/>
  <c r="AN149" i="2"/>
  <c r="AN83" i="2"/>
  <c r="AN127" i="2"/>
  <c r="AN40" i="2"/>
  <c r="AN120" i="2"/>
  <c r="AN36" i="2"/>
  <c r="AN6" i="2"/>
  <c r="AN86" i="2"/>
  <c r="AN20" i="2"/>
  <c r="AN52" i="2"/>
  <c r="AN161" i="2"/>
  <c r="AN112" i="2"/>
  <c r="AN176" i="2"/>
  <c r="AN11" i="2"/>
  <c r="AN61" i="2"/>
  <c r="AN124" i="2"/>
  <c r="AN166" i="2"/>
  <c r="AN94" i="2"/>
  <c r="AN15" i="2"/>
  <c r="AN185" i="2"/>
  <c r="AN192" i="2"/>
  <c r="AN23" i="2"/>
  <c r="AN183" i="2"/>
  <c r="AN151" i="2"/>
  <c r="AN119" i="2"/>
  <c r="AN39" i="2"/>
  <c r="AN97" i="2"/>
  <c r="AN167" i="2"/>
  <c r="AN164" i="2"/>
  <c r="AN134" i="2"/>
  <c r="AN169" i="2"/>
  <c r="AN71" i="2"/>
  <c r="AN157" i="2"/>
  <c r="AN162" i="2"/>
  <c r="AN77" i="2"/>
  <c r="AN13" i="2"/>
  <c r="AN109" i="2"/>
  <c r="AN128" i="2"/>
  <c r="AN200" i="2"/>
  <c r="AN65" i="2"/>
  <c r="AN116" i="2"/>
  <c r="AN21" i="2"/>
  <c r="AN74" i="2"/>
  <c r="AN48" i="2"/>
  <c r="AN133" i="2"/>
  <c r="AN191" i="2"/>
  <c r="AN79" i="2"/>
  <c r="AN147" i="2"/>
  <c r="AN102" i="2"/>
  <c r="AN150" i="2"/>
  <c r="AN110" i="2"/>
  <c r="AN88" i="2"/>
  <c r="AN107" i="2"/>
  <c r="AN57" i="2"/>
  <c r="AN26" i="2"/>
  <c r="AN62" i="2"/>
  <c r="AN44" i="2"/>
  <c r="AN108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47" i="2" l="1"/>
  <c r="BI92" i="2"/>
  <c r="BI113" i="2"/>
  <c r="BI192" i="2"/>
  <c r="BI28" i="2"/>
  <c r="BI23" i="2"/>
  <c r="BI57" i="2"/>
  <c r="BI88" i="2"/>
  <c r="BI6" i="2"/>
  <c r="BI166" i="2"/>
  <c r="BI75" i="2"/>
  <c r="BI74" i="2"/>
  <c r="BI15" i="2"/>
  <c r="BI9" i="2"/>
  <c r="BI12" i="2"/>
  <c r="BI170" i="2"/>
  <c r="BI177" i="2"/>
  <c r="BI165" i="2"/>
  <c r="BI19" i="2"/>
  <c r="BI45" i="2"/>
  <c r="BI151" i="2"/>
  <c r="BI152" i="2"/>
  <c r="BI167" i="2"/>
  <c r="BI141" i="2"/>
  <c r="BI147" i="2"/>
  <c r="BI144" i="2"/>
  <c r="BI11" i="2"/>
  <c r="BI60" i="2"/>
  <c r="BI168" i="2"/>
  <c r="BI196" i="2"/>
  <c r="BI91" i="2"/>
  <c r="BI82" i="2"/>
  <c r="BI132" i="2"/>
  <c r="BI43" i="2"/>
  <c r="BI180" i="2"/>
  <c r="BI120" i="2"/>
  <c r="BI109" i="2"/>
  <c r="BI7" i="2"/>
  <c r="BI191" i="2"/>
  <c r="BI77" i="2"/>
  <c r="BI197" i="2"/>
  <c r="BI21" i="2"/>
  <c r="BI16" i="2"/>
  <c r="BI117" i="2"/>
  <c r="BI134" i="2"/>
  <c r="BI136" i="2"/>
  <c r="BI198" i="2"/>
  <c r="BI121" i="2"/>
  <c r="BI100" i="2"/>
  <c r="BI58" i="2"/>
  <c r="BI114" i="2"/>
  <c r="BI40" i="2"/>
  <c r="BI160" i="2"/>
  <c r="BI3" i="2"/>
  <c r="C8" i="4" s="1"/>
  <c r="E8" i="4" s="1"/>
  <c r="F8" i="4" s="1"/>
  <c r="G8" i="4" s="1"/>
  <c r="L8" i="4" s="1"/>
  <c r="M8" i="4" s="1"/>
  <c r="BI89" i="2"/>
  <c r="BI93" i="2"/>
  <c r="BI128" i="2"/>
  <c r="BI72" i="2"/>
  <c r="BI103" i="2"/>
  <c r="BI53" i="2"/>
  <c r="BI164" i="2"/>
  <c r="BI31" i="2"/>
  <c r="BI182" i="2"/>
  <c r="BI129" i="2"/>
  <c r="BI169" i="2"/>
  <c r="BI131" i="2"/>
  <c r="BI33" i="2"/>
  <c r="BI67" i="2"/>
  <c r="BI178" i="2"/>
  <c r="BI97" i="2"/>
  <c r="BI64" i="2"/>
  <c r="BI34" i="2"/>
  <c r="BI105" i="2"/>
  <c r="BI52" i="2"/>
  <c r="BI186" i="2"/>
  <c r="BI149" i="2"/>
  <c r="BI199" i="2"/>
  <c r="BI154" i="2"/>
  <c r="BI90" i="2"/>
  <c r="BI87" i="2"/>
  <c r="BI39" i="2"/>
  <c r="BI59" i="2"/>
  <c r="BI126" i="2"/>
  <c r="BI68" i="2"/>
  <c r="BI101" i="2"/>
  <c r="BI156" i="2"/>
  <c r="BI175" i="2"/>
  <c r="BI99" i="2"/>
  <c r="BI76" i="2"/>
  <c r="BI112" i="2"/>
  <c r="BI142" i="2"/>
  <c r="BI95" i="2"/>
  <c r="BI94" i="2"/>
  <c r="BI172" i="2"/>
  <c r="BI69" i="2"/>
  <c r="BI44" i="2"/>
  <c r="BI202" i="2"/>
  <c r="BI200" i="2"/>
  <c r="BI122" i="2"/>
  <c r="BI62" i="2"/>
  <c r="BI36" i="2"/>
  <c r="BI55" i="2"/>
  <c r="BI4" i="2"/>
  <c r="BI193" i="2"/>
  <c r="BI139" i="2"/>
  <c r="BI49" i="2"/>
  <c r="BI133" i="2"/>
  <c r="BI63" i="2"/>
  <c r="BI38" i="2"/>
  <c r="BI20" i="2"/>
  <c r="BI174" i="2"/>
  <c r="BI116" i="2"/>
  <c r="BI17" i="2"/>
  <c r="BI70" i="2"/>
  <c r="BI24" i="2"/>
  <c r="BI188" i="2"/>
  <c r="BI41" i="2"/>
  <c r="BI194" i="2"/>
  <c r="BI148" i="2"/>
  <c r="BI65" i="2"/>
  <c r="BI73" i="2"/>
  <c r="BI26" i="2"/>
  <c r="BI61" i="2"/>
  <c r="BI190" i="2"/>
  <c r="BI158" i="2"/>
  <c r="BI79" i="2"/>
  <c r="BI184" i="2"/>
  <c r="BI185" i="2"/>
  <c r="BI80" i="2"/>
  <c r="BI110" i="2"/>
  <c r="BI54" i="2"/>
  <c r="BI163" i="2"/>
  <c r="BI14" i="2"/>
  <c r="BI5" i="2"/>
  <c r="BI50" i="2"/>
  <c r="BI125" i="2"/>
  <c r="BI102" i="2"/>
  <c r="BI203" i="2"/>
  <c r="BI106" i="2"/>
  <c r="BI187" i="2"/>
  <c r="BI155" i="2"/>
  <c r="BI18" i="2"/>
  <c r="BI159" i="2"/>
  <c r="BI189" i="2"/>
  <c r="BI143" i="2"/>
  <c r="BI86" i="2"/>
  <c r="BI107" i="2"/>
  <c r="BI22" i="2"/>
  <c r="BI162" i="2"/>
  <c r="BI66" i="2"/>
  <c r="BI145" i="2"/>
  <c r="BI35" i="2"/>
  <c r="BI56" i="2"/>
  <c r="BI135" i="2"/>
  <c r="BI98" i="2"/>
  <c r="BI108" i="2"/>
  <c r="BI10" i="2"/>
  <c r="BI81" i="2"/>
  <c r="BI30" i="2"/>
  <c r="BI181" i="2"/>
  <c r="BI104" i="2"/>
  <c r="BI51" i="2"/>
  <c r="BI71" i="2"/>
  <c r="BI84" i="2"/>
  <c r="BI195" i="2"/>
  <c r="BI123" i="2"/>
  <c r="BI42" i="2"/>
  <c r="BI140" i="2"/>
  <c r="BI83" i="2"/>
  <c r="BI48" i="2"/>
  <c r="BI171" i="2"/>
  <c r="BI153" i="2"/>
  <c r="BI78" i="2"/>
  <c r="BI201" i="2"/>
  <c r="BI146" i="2"/>
  <c r="BI27" i="2"/>
  <c r="BI137" i="2"/>
  <c r="BI138" i="2"/>
  <c r="BI37" i="2"/>
  <c r="BI111" i="2"/>
  <c r="BI85" i="2"/>
  <c r="BI150" i="2"/>
  <c r="BI127" i="2"/>
  <c r="BI8" i="2"/>
  <c r="BI173" i="2"/>
  <c r="BI183" i="2"/>
  <c r="BI115" i="2"/>
  <c r="BI176" i="2"/>
  <c r="BI157" i="2"/>
  <c r="BI130" i="2"/>
  <c r="BI118" i="2"/>
  <c r="BI96" i="2"/>
  <c r="BI46" i="2"/>
  <c r="BI124" i="2"/>
  <c r="BI179" i="2"/>
  <c r="BI161" i="2"/>
  <c r="BI13" i="2"/>
  <c r="BI119" i="2"/>
  <c r="BI32" i="2"/>
  <c r="BI29" i="2"/>
  <c r="BI25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tc={AD29CC88-2234-4EC1-8A16-87E6FDA37C56}</author>
    <author>tc={B78C7043-68E1-4534-A9CB-7CAE3C1310AA}</author>
    <author>tc={9AD5FF7B-F2A3-4D95-B9F9-A8D858B95E57}</author>
    <author>tc={F36744A5-ECED-4D99-BFEF-AA25CA96FD5D}</author>
    <author>tc={8C4AB574-5B9A-426A-ADE1-8DDA545EB364}</author>
    <author>tc={348C3438-161A-4395-B4E7-637BD1883F52}</author>
    <author>tc={1CA53D21-A6CA-437D-B7C2-0BE1BA55436A}</author>
    <author>tc={EB2F6386-5725-4506-BB4A-8FAFDB5F2689}</author>
    <author>tc={EC20837B-3914-47A6-97DB-63ACC6214C97}</author>
    <author>tc={9FF82A0C-C41C-4431-8415-233C27CE0797}</author>
    <author>tc={F9F3D578-76F2-4FAC-96C7-0077361A14E7}</author>
    <author>tc={D5DA1096-D739-412A-BFFA-E4C894D611CB}</author>
    <author>tc={79ABA2FF-0BE6-4ABD-8760-E9AB6D5222F3}</author>
    <author>tc={8A0CF601-4C37-48D6-AC3C-58351BDE3DCB}</author>
    <author>tc={3FB6C07F-BD2F-430C-8177-0878DB47847A}</author>
    <author>tc={9DB14985-E7F0-4F13-B8C8-CEAE41A19BBD}</author>
  </authors>
  <commentList>
    <comment ref="E18" authorId="0" shapeId="0" xr:uid="{AD29CC88-2234-4EC1-8A16-87E6FDA37C5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9" authorId="1" shapeId="0" xr:uid="{B78C7043-68E1-4534-A9CB-7CAE3C1310AA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I19" authorId="2" shapeId="0" xr:uid="{9AD5FF7B-F2A3-4D95-B9F9-A8D858B95E57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Toutes les ans pendant la durée du contrat : frais de gardiennage 20€/ha/an</t>
      </text>
    </comment>
    <comment ref="E20" authorId="3" shapeId="0" xr:uid="{F36744A5-ECED-4D99-BFEF-AA25CA96FD5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I20" authorId="4" shapeId="0" xr:uid="{8C4AB574-5B9A-426A-ADE1-8DDA545EB36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1 : demande cas par cas + diagnostic gestionnaire</t>
      </text>
    </comment>
    <comment ref="I22" authorId="5" shapeId="0" xr:uid="{348C3438-161A-4395-B4E7-637BD1883F5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3 : rédaction DGD</t>
      </text>
    </comment>
    <comment ref="I24" authorId="6" shapeId="0" xr:uid="{1CA53D21-A6CA-437D-B7C2-0BE1BA55436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5 : facturation maitrise d'œuvre</t>
      </text>
    </comment>
    <comment ref="E49" authorId="7" shapeId="0" xr:uid="{EB2F6386-5725-4506-BB4A-8FAFDB5F268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50" authorId="8" shapeId="0" xr:uid="{EC20837B-3914-47A6-97DB-63ACC6214C97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51" authorId="9" shapeId="0" xr:uid="{9FF82A0C-C41C-4431-8415-233C27CE0797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80" authorId="10" shapeId="0" xr:uid="{F9F3D578-76F2-4FAC-96C7-0077361A14E7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81" authorId="11" shapeId="0" xr:uid="{D5DA1096-D739-412A-BFFA-E4C894D611CB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82" authorId="12" shapeId="0" xr:uid="{79ABA2FF-0BE6-4ABD-8760-E9AB6D5222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11" authorId="13" shapeId="0" xr:uid="{8A0CF601-4C37-48D6-AC3C-58351BDE3DC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12" authorId="14" shapeId="0" xr:uid="{3FB6C07F-BD2F-430C-8177-0878DB47847A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113" authorId="15" shapeId="0" xr:uid="{9DB14985-E7F0-4F13-B8C8-CEAE41A19BB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</commentList>
</comments>
</file>

<file path=xl/sharedStrings.xml><?xml version="1.0" encoding="utf-8"?>
<sst xmlns="http://schemas.openxmlformats.org/spreadsheetml/2006/main" count="1179" uniqueCount="329">
  <si>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</si>
  <si>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</si>
  <si>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</si>
  <si>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</si>
  <si>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</si>
  <si>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</si>
  <si>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</si>
  <si>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</si>
  <si>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</si>
  <si>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NOM DU PROJET NEOSYLVA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</si>
  <si>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</si>
  <si>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</si>
  <si>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</si>
  <si>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</si>
  <si>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</si>
  <si>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</si>
  <si>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</si>
  <si>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</si>
  <si>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</si>
  <si>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</si>
  <si>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</si>
  <si>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</si>
  <si>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</si>
  <si>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</si>
  <si>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</si>
  <si>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</si>
  <si>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</si>
  <si>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</si>
  <si>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</si>
  <si>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</si>
  <si>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</si>
  <si>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</si>
  <si>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</si>
  <si>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</si>
  <si>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</si>
  <si>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</si>
  <si>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</si>
  <si>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</si>
  <si>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</si>
  <si>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</si>
  <si>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</si>
  <si>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</si>
  <si>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</si>
  <si>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</si>
  <si>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</si>
  <si>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</si>
  <si>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</si>
  <si>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</si>
  <si>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</si>
  <si>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</si>
  <si>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</si>
  <si>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</si>
  <si>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</si>
  <si>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</si>
  <si>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</si>
  <si>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</si>
  <si>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</si>
  <si>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</si>
  <si>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</si>
  <si>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</si>
  <si>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</si>
  <si>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</si>
  <si>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</si>
  <si>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</si>
  <si>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</si>
  <si>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</si>
  <si>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</si>
  <si>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</si>
  <si>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</si>
  <si>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</si>
  <si>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</si>
  <si>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</si>
  <si>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</si>
  <si>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</si>
  <si>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</si>
  <si>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</si>
  <si>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</si>
  <si>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</si>
  <si>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</si>
  <si>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</si>
  <si>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</si>
  <si>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</si>
  <si>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</si>
  <si>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</si>
  <si>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</si>
  <si>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</si>
  <si>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</si>
  <si>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</si>
  <si>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</si>
  <si>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</si>
  <si>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</si>
  <si>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</si>
  <si>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</si>
  <si>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</si>
  <si>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</si>
  <si>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</si>
  <si>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</si>
  <si>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</si>
  <si>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</si>
  <si>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</si>
  <si>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</si>
  <si>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</si>
  <si>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Source</t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</si>
  <si>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</si>
  <si>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</si>
  <si>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</si>
  <si>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</si>
  <si>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</si>
  <si>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</si>
  <si>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</si>
  <si>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</si>
  <si>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</si>
  <si>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</si>
  <si>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</si>
  <si>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</si>
  <si>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</si>
  <si>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</si>
  <si>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</si>
  <si>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</si>
  <si>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</si>
  <si>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</si>
  <si>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</si>
  <si>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</si>
  <si>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</si>
  <si>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</si>
  <si>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</si>
  <si>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</si>
  <si>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</si>
  <si>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</si>
  <si>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</si>
  <si>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</si>
  <si>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</si>
  <si>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</si>
  <si>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</si>
  <si>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</si>
  <si>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</si>
  <si>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</si>
  <si>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</si>
  <si>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</si>
  <si>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</si>
  <si>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</si>
  <si>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</si>
  <si>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</si>
  <si>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</si>
  <si>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</si>
  <si>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</si>
  <si>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</si>
  <si>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</si>
  <si>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</si>
  <si>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</si>
  <si>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</si>
  <si>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</si>
  <si>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</si>
  <si>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</si>
  <si>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</si>
  <si>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</si>
  <si>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</si>
  <si>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</si>
  <si>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</si>
  <si>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</si>
  <si>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</si>
  <si>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</si>
  <si>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</si>
  <si>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</si>
  <si>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</si>
  <si>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</si>
  <si>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</si>
  <si>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</si>
  <si>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</si>
  <si>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</si>
  <si>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</si>
  <si>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</si>
  <si>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</si>
  <si>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</si>
  <si>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</si>
  <si>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</si>
  <si>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</si>
  <si>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</si>
  <si>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</si>
  <si>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</si>
  <si>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</si>
  <si>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</si>
  <si>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</si>
  <si>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</si>
  <si>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</si>
  <si>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</si>
  <si>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</si>
  <si>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</si>
  <si>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</si>
  <si>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</si>
  <si>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</si>
  <si>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</si>
  <si>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</si>
  <si>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</si>
  <si>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</si>
  <si>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</si>
  <si>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</si>
  <si>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</si>
  <si>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</si>
  <si>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</si>
  <si>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</si>
  <si>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</si>
  <si>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</si>
  <si>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</si>
  <si>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</si>
  <si>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</si>
  <si>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</si>
  <si>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</si>
  <si>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</si>
  <si>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</si>
  <si>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</si>
  <si>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</si>
  <si>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</si>
  <si>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</si>
  <si>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</si>
  <si>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</si>
  <si>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</si>
  <si>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</si>
  <si>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</si>
  <si>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</si>
  <si>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</si>
  <si>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</si>
  <si>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</si>
  <si>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</si>
  <si>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</si>
  <si>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</si>
  <si>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</si>
  <si>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</si>
  <si>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</si>
  <si>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</si>
  <si>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</si>
  <si>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</si>
  <si>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</si>
  <si>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</si>
  <si>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</si>
  <si>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</si>
  <si>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</si>
  <si>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</si>
  <si>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</si>
  <si>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</si>
  <si>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</si>
  <si>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</si>
  <si>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</si>
  <si>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</si>
  <si>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</si>
  <si>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</si>
  <si>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</si>
  <si>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</si>
  <si>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</si>
  <si>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</si>
  <si>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</si>
  <si>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</si>
  <si>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</si>
  <si>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</si>
  <si>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</si>
  <si>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</si>
  <si>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</si>
  <si>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</si>
  <si>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</si>
  <si>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</si>
  <si>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</si>
  <si>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</si>
  <si>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</si>
  <si>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</si>
  <si>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</si>
  <si>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</si>
  <si>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</si>
  <si>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</si>
  <si>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</si>
  <si>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</si>
  <si>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</si>
  <si>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</si>
  <si>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</si>
  <si>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</si>
  <si>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</si>
  <si>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</si>
  <si>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</si>
  <si>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</si>
  <si>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</si>
  <si>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</si>
  <si>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</si>
  <si>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</si>
  <si>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</si>
  <si>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</si>
  <si>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</si>
  <si>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</si>
  <si>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</si>
  <si>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</si>
  <si>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</si>
  <si>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</si>
  <si>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</si>
  <si>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</si>
  <si>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</si>
  <si>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</si>
  <si>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</si>
  <si>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</si>
  <si>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</si>
  <si>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</si>
  <si>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</si>
  <si>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</si>
  <si>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</si>
  <si>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</si>
  <si>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</si>
  <si>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</si>
  <si>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</si>
  <si>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</si>
  <si>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</si>
  <si>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</si>
  <si>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</si>
  <si>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</si>
  <si>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</si>
  <si>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</si>
  <si>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</si>
  <si>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</si>
  <si>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</si>
  <si>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</si>
  <si>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</si>
  <si>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</si>
  <si>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</si>
  <si>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</si>
  <si>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</si>
  <si>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</si>
  <si>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</si>
  <si>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</si>
  <si>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</si>
  <si>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Coût total du projet Néosylva sur les 5 premières années</t>
  </si>
  <si>
    <t>Cout plantation + entretien</t>
  </si>
  <si>
    <t>Cout gestionnaire</t>
  </si>
  <si>
    <t>Frais notariés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</si>
</sst>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4">
    <cellStyle name="Lien hypertexte" xfId="2" builtinId="8"/>
    <cellStyle name="Normal" xfId="0" builtinId="0"/>
    <cellStyle name="Pourcentage" xfId="1" builtinId="5"/>
    <cellStyle name="Pourcentage 2" xfId="3" xr:uid="{DD9E4C93-686B-493D-8091-E8EBFCDD226D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8.5641026373908407</c:v>
                </c:pt>
                <c:pt idx="2">
                  <c:v>16.750171356925268</c:v>
                </c:pt>
                <c:pt idx="3">
                  <c:v>24.814154097107675</c:v>
                </c:pt>
                <c:pt idx="4">
                  <c:v>32.802880198990124</c:v>
                </c:pt>
                <c:pt idx="5">
                  <c:v>40.737574255104683</c:v>
                </c:pt>
                <c:pt idx="6">
                  <c:v>48.630343659183183</c:v>
                </c:pt>
                <c:pt idx="7">
                  <c:v>56.488993579825284</c:v>
                </c:pt>
                <c:pt idx="8">
                  <c:v>64.318960625108559</c:v>
                </c:pt>
                <c:pt idx="9">
                  <c:v>72.124240771129223</c:v>
                </c:pt>
                <c:pt idx="10">
                  <c:v>79.90788990497127</c:v>
                </c:pt>
                <c:pt idx="11">
                  <c:v>87.672317369098337</c:v>
                </c:pt>
                <c:pt idx="12">
                  <c:v>95.419469317897367</c:v>
                </c:pt>
                <c:pt idx="13">
                  <c:v>103.1509490503684</c:v>
                </c:pt>
                <c:pt idx="14">
                  <c:v>110.86809919217301</c:v>
                </c:pt>
                <c:pt idx="15">
                  <c:v>118.57205969680662</c:v>
                </c:pt>
                <c:pt idx="16">
                  <c:v>126.26380992497417</c:v>
                </c:pt>
                <c:pt idx="17">
                  <c:v>133.94419989808699</c:v>
                </c:pt>
                <c:pt idx="18">
                  <c:v>141.61397398582207</c:v>
                </c:pt>
                <c:pt idx="19">
                  <c:v>149.27378917886855</c:v>
                </c:pt>
                <c:pt idx="20">
                  <c:v>156.92422940503644</c:v>
                </c:pt>
                <c:pt idx="21">
                  <c:v>164.56581690077618</c:v>
                </c:pt>
                <c:pt idx="22">
                  <c:v>172.19902135532388</c:v>
                </c:pt>
                <c:pt idx="23">
                  <c:v>179.82426734527743</c:v>
                </c:pt>
                <c:pt idx="24">
                  <c:v>187.44194043971996</c:v>
                </c:pt>
                <c:pt idx="25">
                  <c:v>195.05239225914997</c:v>
                </c:pt>
                <c:pt idx="26">
                  <c:v>202.65594470219867</c:v>
                </c:pt>
                <c:pt idx="27">
                  <c:v>210.25289350379276</c:v>
                </c:pt>
                <c:pt idx="28">
                  <c:v>217.84351125136371</c:v>
                </c:pt>
                <c:pt idx="29">
                  <c:v>225.4280499580608</c:v>
                </c:pt>
                <c:pt idx="30">
                  <c:v>233.00674327106756</c:v>
                </c:pt>
                <c:pt idx="31">
                  <c:v>240.57980837720436</c:v>
                </c:pt>
                <c:pt idx="32">
                  <c:v>248.14744765573963</c:v>
                </c:pt>
                <c:pt idx="33">
                  <c:v>255.70985011879577</c:v>
                </c:pt>
                <c:pt idx="34">
                  <c:v>263.26719267225525</c:v>
                </c:pt>
                <c:pt idx="35">
                  <c:v>270.81964122415599</c:v>
                </c:pt>
                <c:pt idx="36">
                  <c:v>278.36735166285297</c:v>
                </c:pt>
                <c:pt idx="37">
                  <c:v>285.91047072343866</c:v>
                </c:pt>
                <c:pt idx="38">
                  <c:v>293.44913675786432</c:v>
                </c:pt>
                <c:pt idx="39">
                  <c:v>300.98348042171295</c:v>
                </c:pt>
                <c:pt idx="40">
                  <c:v>308.51362528855435</c:v>
                </c:pt>
                <c:pt idx="41">
                  <c:v>316.03968840113345</c:v>
                </c:pt>
                <c:pt idx="42">
                  <c:v>323.56178076727167</c:v>
                </c:pt>
                <c:pt idx="43">
                  <c:v>257.93750690505584</c:v>
                </c:pt>
                <c:pt idx="44">
                  <c:v>276.14526868684135</c:v>
                </c:pt>
                <c:pt idx="45">
                  <c:v>294.3260789194498</c:v>
                </c:pt>
                <c:pt idx="46">
                  <c:v>312.48183631468436</c:v>
                </c:pt>
                <c:pt idx="47">
                  <c:v>330.61420092587235</c:v>
                </c:pt>
                <c:pt idx="48">
                  <c:v>348.72463586437283</c:v>
                </c:pt>
                <c:pt idx="49">
                  <c:v>366.81443989188602</c:v>
                </c:pt>
                <c:pt idx="50">
                  <c:v>384.88477324479385</c:v>
                </c:pt>
                <c:pt idx="51">
                  <c:v>334.65025498820768</c:v>
                </c:pt>
                <c:pt idx="52">
                  <c:v>353.10838038745561</c:v>
                </c:pt>
                <c:pt idx="53">
                  <c:v>371.54536746252899</c:v>
                </c:pt>
                <c:pt idx="54">
                  <c:v>389.96241232638954</c:v>
                </c:pt>
                <c:pt idx="55">
                  <c:v>408.3605889295356</c:v>
                </c:pt>
                <c:pt idx="56">
                  <c:v>426.74086659214868</c:v>
                </c:pt>
                <c:pt idx="57">
                  <c:v>445.10412435808092</c:v>
                </c:pt>
                <c:pt idx="58">
                  <c:v>463.45116285675294</c:v>
                </c:pt>
                <c:pt idx="59">
                  <c:v>394.85081282897653</c:v>
                </c:pt>
                <c:pt idx="60">
                  <c:v>412.6644383964213</c:v>
                </c:pt>
                <c:pt idx="61">
                  <c:v>430.46147656489694</c:v>
                </c:pt>
                <c:pt idx="62">
                  <c:v>448.24270933823431</c:v>
                </c:pt>
                <c:pt idx="63">
                  <c:v>466.0088516444161</c:v>
                </c:pt>
                <c:pt idx="64">
                  <c:v>483.76055947940108</c:v>
                </c:pt>
                <c:pt idx="65">
                  <c:v>501.49843679360833</c:v>
                </c:pt>
                <c:pt idx="66">
                  <c:v>519.22304135366949</c:v>
                </c:pt>
                <c:pt idx="67">
                  <c:v>440.49264125358167</c:v>
                </c:pt>
                <c:pt idx="68">
                  <c:v>457.5236501544295</c:v>
                </c:pt>
                <c:pt idx="69">
                  <c:v>474.54112349078923</c:v>
                </c:pt>
                <c:pt idx="70">
                  <c:v>491.54561476931968</c:v>
                </c:pt>
                <c:pt idx="71">
                  <c:v>508.53763609585832</c:v>
                </c:pt>
                <c:pt idx="72">
                  <c:v>525.51766258042323</c:v>
                </c:pt>
                <c:pt idx="73">
                  <c:v>542.48613614347107</c:v>
                </c:pt>
                <c:pt idx="74">
                  <c:v>559.4434688213463</c:v>
                </c:pt>
                <c:pt idx="75">
                  <c:v>485.29860499528695</c:v>
                </c:pt>
                <c:pt idx="76">
                  <c:v>501.93248910958238</c:v>
                </c:pt>
                <c:pt idx="77">
                  <c:v>518.55471213509702</c:v>
                </c:pt>
                <c:pt idx="78">
                  <c:v>535.16570030783839</c:v>
                </c:pt>
                <c:pt idx="79">
                  <c:v>551.76585126050918</c:v>
                </c:pt>
                <c:pt idx="80">
                  <c:v>568.35553676247412</c:v>
                </c:pt>
                <c:pt idx="81">
                  <c:v>584.93510512333023</c:v>
                </c:pt>
                <c:pt idx="82">
                  <c:v>601.50488330993562</c:v>
                </c:pt>
                <c:pt idx="83">
                  <c:v>618.06517881816455</c:v>
                </c:pt>
                <c:pt idx="84">
                  <c:v>634.61628133374438</c:v>
                </c:pt>
                <c:pt idx="85">
                  <c:v>533.02796493069138</c:v>
                </c:pt>
                <c:pt idx="86">
                  <c:v>548.89118988157031</c:v>
                </c:pt>
                <c:pt idx="87">
                  <c:v>564.74480274574603</c:v>
                </c:pt>
                <c:pt idx="88">
                  <c:v>580.58911121317794</c:v>
                </c:pt>
                <c:pt idx="89">
                  <c:v>596.42440482023801</c:v>
                </c:pt>
                <c:pt idx="90">
                  <c:v>612.2509564842436</c:v>
                </c:pt>
                <c:pt idx="91">
                  <c:v>628.0690238711569</c:v>
                </c:pt>
                <c:pt idx="92">
                  <c:v>643.87885061841985</c:v>
                </c:pt>
                <c:pt idx="93">
                  <c:v>659.68066743151769</c:v>
                </c:pt>
                <c:pt idx="94">
                  <c:v>675.47469307008441</c:v>
                </c:pt>
                <c:pt idx="95">
                  <c:v>572.83722659071452</c:v>
                </c:pt>
                <c:pt idx="96">
                  <c:v>588.21087078119456</c:v>
                </c:pt>
                <c:pt idx="97">
                  <c:v>603.57614857633223</c:v>
                </c:pt>
                <c:pt idx="98">
                  <c:v>618.93330283910791</c:v>
                </c:pt>
                <c:pt idx="99">
                  <c:v>634.28256340509904</c:v>
                </c:pt>
                <c:pt idx="100">
                  <c:v>649.62414808612709</c:v>
                </c:pt>
                <c:pt idx="101">
                  <c:v>664.95826357422709</c:v>
                </c:pt>
                <c:pt idx="102">
                  <c:v>680.28510625795423</c:v>
                </c:pt>
                <c:pt idx="103">
                  <c:v>695.60486296134877</c:v>
                </c:pt>
                <c:pt idx="104">
                  <c:v>710.91771161446911</c:v>
                </c:pt>
                <c:pt idx="105">
                  <c:v>611.3521021020731</c:v>
                </c:pt>
                <c:pt idx="106">
                  <c:v>626.49159753762979</c:v>
                </c:pt>
                <c:pt idx="107">
                  <c:v>641.62352318685794</c:v>
                </c:pt>
                <c:pt idx="108">
                  <c:v>656.74808261198393</c:v>
                </c:pt>
                <c:pt idx="109">
                  <c:v>671.86546924103743</c:v>
                </c:pt>
                <c:pt idx="110">
                  <c:v>686.97586709375025</c:v>
                </c:pt>
                <c:pt idx="111">
                  <c:v>702.07945144031191</c:v>
                </c:pt>
                <c:pt idx="112">
                  <c:v>717.17638940053257</c:v>
                </c:pt>
                <c:pt idx="113">
                  <c:v>732.26684048997402</c:v>
                </c:pt>
                <c:pt idx="114">
                  <c:v>747.35095711875499</c:v>
                </c:pt>
                <c:pt idx="115">
                  <c:v>655.85624900138566</c:v>
                </c:pt>
                <c:pt idx="116">
                  <c:v>671.08262465023415</c:v>
                </c:pt>
                <c:pt idx="117">
                  <c:v>686.30190130011806</c:v>
                </c:pt>
                <c:pt idx="118">
                  <c:v>701.51425844303503</c:v>
                </c:pt>
                <c:pt idx="119">
                  <c:v>716.71986715745197</c:v>
                </c:pt>
                <c:pt idx="120">
                  <c:v>731.9188906764839</c:v>
                </c:pt>
                <c:pt idx="121">
                  <c:v>747.11148490646144</c:v>
                </c:pt>
                <c:pt idx="122">
                  <c:v>762.29779890116197</c:v>
                </c:pt>
                <c:pt idx="123">
                  <c:v>777.4779752963168</c:v>
                </c:pt>
                <c:pt idx="124">
                  <c:v>792.65215070845068</c:v>
                </c:pt>
                <c:pt idx="125">
                  <c:v>708.15897088118447</c:v>
                </c:pt>
                <c:pt idx="126">
                  <c:v>723.51002509571629</c:v>
                </c:pt>
                <c:pt idx="127">
                  <c:v>738.85443683817709</c:v>
                </c:pt>
                <c:pt idx="128">
                  <c:v>754.19236338172016</c:v>
                </c:pt>
                <c:pt idx="129">
                  <c:v>769.52395508640473</c:v>
                </c:pt>
                <c:pt idx="130">
                  <c:v>784.84935583757169</c:v>
                </c:pt>
                <c:pt idx="131">
                  <c:v>800.16870344823099</c:v>
                </c:pt>
                <c:pt idx="132">
                  <c:v>815.48213002906016</c:v>
                </c:pt>
                <c:pt idx="133">
                  <c:v>830.78976232919547</c:v>
                </c:pt>
                <c:pt idx="134">
                  <c:v>846.09172205062214</c:v>
                </c:pt>
                <c:pt idx="135">
                  <c:v>757.28768467884549</c:v>
                </c:pt>
                <c:pt idx="136">
                  <c:v>772.78705124330099</c:v>
                </c:pt>
                <c:pt idx="137">
                  <c:v>788.28012003213962</c:v>
                </c:pt>
                <c:pt idx="138">
                  <c:v>803.76703215089447</c:v>
                </c:pt>
                <c:pt idx="139">
                  <c:v>819.24792282918395</c:v>
                </c:pt>
                <c:pt idx="140">
                  <c:v>834.72292177407928</c:v>
                </c:pt>
                <c:pt idx="141">
                  <c:v>850.19215349593026</c:v>
                </c:pt>
                <c:pt idx="142">
                  <c:v>865.655737609271</c:v>
                </c:pt>
                <c:pt idx="143">
                  <c:v>881.11378911112968</c:v>
                </c:pt>
                <c:pt idx="144">
                  <c:v>896.56641863881293</c:v>
                </c:pt>
                <c:pt idx="145">
                  <c:v>806.17522547859323</c:v>
                </c:pt>
                <c:pt idx="146">
                  <c:v>821.97007970060247</c:v>
                </c:pt>
                <c:pt idx="147">
                  <c:v>837.75882317181595</c:v>
                </c:pt>
                <c:pt idx="148">
                  <c:v>853.54158716852999</c:v>
                </c:pt>
                <c:pt idx="149">
                  <c:v>869.31849772135058</c:v>
                </c:pt>
                <c:pt idx="150">
                  <c:v>885.0896759181478</c:v>
                </c:pt>
                <c:pt idx="151">
                  <c:v>900.85523818431557</c:v>
                </c:pt>
                <c:pt idx="152">
                  <c:v>916.61529654241701</c:v>
                </c:pt>
                <c:pt idx="153">
                  <c:v>932.36995885306271</c:v>
                </c:pt>
                <c:pt idx="154">
                  <c:v>948.11932903868717</c:v>
                </c:pt>
                <c:pt idx="155">
                  <c:v>859.72606876661303</c:v>
                </c:pt>
                <c:pt idx="156">
                  <c:v>875.72426983086791</c:v>
                </c:pt>
                <c:pt idx="157">
                  <c:v>891.71662406952885</c:v>
                </c:pt>
                <c:pt idx="158">
                  <c:v>907.70325100068385</c:v>
                </c:pt>
                <c:pt idx="159">
                  <c:v>923.68426559393322</c:v>
                </c:pt>
                <c:pt idx="160">
                  <c:v>939.65977852079175</c:v>
                </c:pt>
                <c:pt idx="161">
                  <c:v>955.62989638719603</c:v>
                </c:pt>
                <c:pt idx="162">
                  <c:v>971.59472194968396</c:v>
                </c:pt>
                <c:pt idx="163">
                  <c:v>987.5543543166408</c:v>
                </c:pt>
                <c:pt idx="164">
                  <c:v>1003.5088891358791</c:v>
                </c:pt>
                <c:pt idx="165">
                  <c:v>906.99142386114011</c:v>
                </c:pt>
                <c:pt idx="166">
                  <c:v>923.16761448039449</c:v>
                </c:pt>
                <c:pt idx="167">
                  <c:v>939.33816477131688</c:v>
                </c:pt>
                <c:pt idx="168">
                  <c:v>955.50318539760417</c:v>
                </c:pt>
                <c:pt idx="169">
                  <c:v>971.66278297777069</c:v>
                </c:pt>
                <c:pt idx="170">
                  <c:v>987.81706029919678</c:v>
                </c:pt>
                <c:pt idx="171">
                  <c:v>1003.9661165174626</c:v>
                </c:pt>
                <c:pt idx="172">
                  <c:v>1020.110047342211</c:v>
                </c:pt>
                <c:pt idx="173">
                  <c:v>1036.2489452106438</c:v>
                </c:pt>
                <c:pt idx="174">
                  <c:v>1052.3828994496685</c:v>
                </c:pt>
                <c:pt idx="175">
                  <c:v>655.42683872404962</c:v>
                </c:pt>
                <c:pt idx="176">
                  <c:v>665.6904538499931</c:v>
                </c:pt>
                <c:pt idx="177">
                  <c:v>675.95081434243241</c:v>
                </c:pt>
                <c:pt idx="178">
                  <c:v>461.98583471884461</c:v>
                </c:pt>
                <c:pt idx="179">
                  <c:v>468.23678805666754</c:v>
                </c:pt>
                <c:pt idx="180">
                  <c:v>474.48596332749122</c:v>
                </c:pt>
                <c:pt idx="181">
                  <c:v>328.57803905562486</c:v>
                </c:pt>
                <c:pt idx="182">
                  <c:v>332.35523417935661</c:v>
                </c:pt>
                <c:pt idx="183">
                  <c:v>336.13148279796388</c:v>
                </c:pt>
                <c:pt idx="184">
                  <c:v>1.039519189921296E-11</c:v>
                </c:pt>
                <c:pt idx="185">
                  <c:v>1.039519189921296E-11</c:v>
                </c:pt>
                <c:pt idx="186">
                  <c:v>1.039519189921296E-11</c:v>
                </c:pt>
                <c:pt idx="187">
                  <c:v>1.039519189921296E-11</c:v>
                </c:pt>
                <c:pt idx="188">
                  <c:v>1.039519189921296E-11</c:v>
                </c:pt>
                <c:pt idx="189">
                  <c:v>1.039519189921296E-11</c:v>
                </c:pt>
                <c:pt idx="190">
                  <c:v>1.039519189921296E-11</c:v>
                </c:pt>
                <c:pt idx="191">
                  <c:v>1.039519189921296E-11</c:v>
                </c:pt>
                <c:pt idx="192">
                  <c:v>1.039519189921296E-11</c:v>
                </c:pt>
                <c:pt idx="193">
                  <c:v>1.039519189921296E-11</c:v>
                </c:pt>
                <c:pt idx="194">
                  <c:v>1.039519189921296E-11</c:v>
                </c:pt>
                <c:pt idx="195">
                  <c:v>1.039519189921296E-11</c:v>
                </c:pt>
                <c:pt idx="196">
                  <c:v>1.039519189921296E-11</c:v>
                </c:pt>
                <c:pt idx="197">
                  <c:v>1.039519189921296E-11</c:v>
                </c:pt>
                <c:pt idx="198">
                  <c:v>1.039519189921296E-11</c:v>
                </c:pt>
                <c:pt idx="199">
                  <c:v>1.039519189921296E-11</c:v>
                </c:pt>
                <c:pt idx="200">
                  <c:v>1.039519189921296E-11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9.5616949382660383</c:v>
                </c:pt>
                <c:pt idx="2">
                  <c:v>18.705313109464633</c:v>
                </c:pt>
                <c:pt idx="3">
                  <c:v>27.713913471041348</c:v>
                </c:pt>
                <c:pt idx="4">
                  <c:v>36.63928571324923</c:v>
                </c:pt>
                <c:pt idx="5">
                  <c:v>45.504902621489315</c:v>
                </c:pt>
                <c:pt idx="6">
                  <c:v>54.324154052570456</c:v>
                </c:pt>
                <c:pt idx="7">
                  <c:v>63.105671929451027</c:v>
                </c:pt>
                <c:pt idx="8">
                  <c:v>71.855468727259591</c:v>
                </c:pt>
                <c:pt idx="9">
                  <c:v>80.577963691700518</c:v>
                </c:pt>
                <c:pt idx="10">
                  <c:v>89.276536401515969</c:v>
                </c:pt>
                <c:pt idx="11">
                  <c:v>97.953851406261848</c:v>
                </c:pt>
                <c:pt idx="12">
                  <c:v>106.6120610047026</c:v>
                </c:pt>
                <c:pt idx="13">
                  <c:v>115.25293832361577</c:v>
                </c:pt>
                <c:pt idx="14">
                  <c:v>123.87796820488852</c:v>
                </c:pt>
                <c:pt idx="15">
                  <c:v>132.4884113504034</c:v>
                </c:pt>
                <c:pt idx="16">
                  <c:v>141.08535085862869</c:v>
                </c:pt>
                <c:pt idx="17">
                  <c:v>149.66972678860873</c:v>
                </c:pt>
                <c:pt idx="18">
                  <c:v>158.24236235660359</c:v>
                </c:pt>
                <c:pt idx="19">
                  <c:v>166.80398414435732</c:v>
                </c:pt>
                <c:pt idx="20">
                  <c:v>175.35523793162534</c:v>
                </c:pt>
                <c:pt idx="21">
                  <c:v>183.89670127221041</c:v>
                </c:pt>
                <c:pt idx="22">
                  <c:v>192.42889360669196</c:v>
                </c:pt>
                <c:pt idx="23">
                  <c:v>200.95228448450212</c:v>
                </c:pt>
                <c:pt idx="24">
                  <c:v>209.4673003157277</c:v>
                </c:pt>
                <c:pt idx="25">
                  <c:v>217.97432996590248</c:v>
                </c:pt>
                <c:pt idx="26">
                  <c:v>226.47372943043516</c:v>
                </c:pt>
                <c:pt idx="27">
                  <c:v>234.96582576966659</c:v>
                </c:pt>
                <c:pt idx="28">
                  <c:v>243.45092044456825</c:v>
                </c:pt>
                <c:pt idx="29">
                  <c:v>251.92929216251972</c:v>
                </c:pt>
                <c:pt idx="30">
                  <c:v>260.40119931953944</c:v>
                </c:pt>
                <c:pt idx="31">
                  <c:v>268.86688210773553</c:v>
                </c:pt>
                <c:pt idx="32">
                  <c:v>277.32656434318966</c:v>
                </c:pt>
                <c:pt idx="33">
                  <c:v>285.78045505893664</c:v>
                </c:pt>
                <c:pt idx="34">
                  <c:v>294.2287498994304</c:v>
                </c:pt>
                <c:pt idx="35">
                  <c:v>302.67163234634512</c:v>
                </c:pt>
                <c:pt idx="36">
                  <c:v>311.10927480034724</c:v>
                </c:pt>
                <c:pt idx="37">
                  <c:v>319.5418395392914</c:v>
                </c:pt>
                <c:pt idx="38">
                  <c:v>327.96947956991511</c:v>
                </c:pt>
                <c:pt idx="39">
                  <c:v>336.39233938735816</c:v>
                </c:pt>
                <c:pt idx="40">
                  <c:v>344.81055565459184</c:v>
                </c:pt>
                <c:pt idx="41">
                  <c:v>353.2242578119924</c:v>
                </c:pt>
                <c:pt idx="42">
                  <c:v>361.6335686257687</c:v>
                </c:pt>
                <c:pt idx="43">
                  <c:v>288.27072916376034</c:v>
                </c:pt>
                <c:pt idx="44">
                  <c:v>308.62518568141826</c:v>
                </c:pt>
                <c:pt idx="45">
                  <c:v>328.94983583510964</c:v>
                </c:pt>
                <c:pt idx="46">
                  <c:v>349.24677945570858</c:v>
                </c:pt>
                <c:pt idx="47">
                  <c:v>369.51785243596299</c:v>
                </c:pt>
                <c:pt idx="48">
                  <c:v>389.76467286577935</c:v>
                </c:pt>
                <c:pt idx="49">
                  <c:v>409.98867707683922</c:v>
                </c:pt>
                <c:pt idx="50">
                  <c:v>430.19114820235546</c:v>
                </c:pt>
                <c:pt idx="51">
                  <c:v>374.0299946718726</c:v>
                </c:pt>
                <c:pt idx="52">
                  <c:v>394.66558084481431</c:v>
                </c:pt>
                <c:pt idx="53">
                  <c:v>415.27778963859856</c:v>
                </c:pt>
                <c:pt idx="54">
                  <c:v>435.8679438632073</c:v>
                </c:pt>
                <c:pt idx="55">
                  <c:v>456.43723122622731</c:v>
                </c:pt>
                <c:pt idx="56">
                  <c:v>476.98672372207147</c:v>
                </c:pt>
                <c:pt idx="57">
                  <c:v>497.51739350639696</c:v>
                </c:pt>
                <c:pt idx="58">
                  <c:v>518.0301260144621</c:v>
                </c:pt>
                <c:pt idx="59">
                  <c:v>441.33318735024449</c:v>
                </c:pt>
                <c:pt idx="60">
                  <c:v>461.24899603079712</c:v>
                </c:pt>
                <c:pt idx="61">
                  <c:v>481.14646030941248</c:v>
                </c:pt>
                <c:pt idx="62">
                  <c:v>501.02644502286307</c:v>
                </c:pt>
                <c:pt idx="63">
                  <c:v>520.88974082713423</c:v>
                </c:pt>
                <c:pt idx="64">
                  <c:v>540.73707320387359</c:v>
                </c:pt>
                <c:pt idx="65">
                  <c:v>560.56911007631913</c:v>
                </c:pt>
                <c:pt idx="66">
                  <c:v>580.38646829195295</c:v>
                </c:pt>
                <c:pt idx="67">
                  <c:v>492.36159904668904</c:v>
                </c:pt>
                <c:pt idx="68">
                  <c:v>511.40290568116535</c:v>
                </c:pt>
                <c:pt idx="69">
                  <c:v>530.42924301057599</c:v>
                </c:pt>
                <c:pt idx="70">
                  <c:v>549.44122317119627</c:v>
                </c:pt>
                <c:pt idx="71">
                  <c:v>568.43941251314141</c:v>
                </c:pt>
                <c:pt idx="72">
                  <c:v>587.42433647196356</c:v>
                </c:pt>
                <c:pt idx="73">
                  <c:v>606.39648377808339</c:v>
                </c:pt>
                <c:pt idx="74">
                  <c:v>625.35631011236683</c:v>
                </c:pt>
                <c:pt idx="75">
                  <c:v>542.45669606323679</c:v>
                </c:pt>
                <c:pt idx="76">
                  <c:v>561.05440928576149</c:v>
                </c:pt>
                <c:pt idx="77">
                  <c:v>579.63922623081567</c:v>
                </c:pt>
                <c:pt idx="78">
                  <c:v>598.21161828301217</c:v>
                </c:pt>
                <c:pt idx="79">
                  <c:v>616.77202519388391</c:v>
                </c:pt>
                <c:pt idx="80">
                  <c:v>635.3208581120781</c:v>
                </c:pt>
                <c:pt idx="81">
                  <c:v>653.85850224152387</c:v>
                </c:pt>
                <c:pt idx="82">
                  <c:v>672.38531918270314</c:v>
                </c:pt>
                <c:pt idx="83">
                  <c:v>690.90164900267018</c:v>
                </c:pt>
                <c:pt idx="84">
                  <c:v>709.40781207181215</c:v>
                </c:pt>
                <c:pt idx="85">
                  <c:v>595.82145440707143</c:v>
                </c:pt>
                <c:pt idx="86">
                  <c:v>613.55789548994426</c:v>
                </c:pt>
                <c:pt idx="87">
                  <c:v>631.2837063358362</c:v>
                </c:pt>
                <c:pt idx="88">
                  <c:v>648.99922722644521</c:v>
                </c:pt>
                <c:pt idx="89">
                  <c:v>666.70477836698205</c:v>
                </c:pt>
                <c:pt idx="90">
                  <c:v>684.40066158324714</c:v>
                </c:pt>
                <c:pt idx="91">
                  <c:v>702.08716183420108</c:v>
                </c:pt>
                <c:pt idx="92">
                  <c:v>719.76454856432804</c:v>
                </c:pt>
                <c:pt idx="93">
                  <c:v>737.43307691635209</c:v>
                </c:pt>
                <c:pt idx="94">
                  <c:v>755.09298882179371</c:v>
                </c:pt>
                <c:pt idx="95">
                  <c:v>640.33183130100645</c:v>
                </c:pt>
                <c:pt idx="96">
                  <c:v>657.52115573561741</c:v>
                </c:pt>
                <c:pt idx="97">
                  <c:v>674.70122757316892</c:v>
                </c:pt>
                <c:pt idx="98">
                  <c:v>691.87231540164976</c:v>
                </c:pt>
                <c:pt idx="99">
                  <c:v>709.0346734017312</c:v>
                </c:pt>
                <c:pt idx="100">
                  <c:v>726.18854245672571</c:v>
                </c:pt>
                <c:pt idx="101">
                  <c:v>743.33415115230719</c:v>
                </c:pt>
                <c:pt idx="102">
                  <c:v>760.4717166792833</c:v>
                </c:pt>
                <c:pt idx="103">
                  <c:v>777.60144565083658</c:v>
                </c:pt>
                <c:pt idx="104">
                  <c:v>794.72353484408177</c:v>
                </c:pt>
                <c:pt idx="105">
                  <c:v>683.39563744279849</c:v>
                </c:pt>
                <c:pt idx="106">
                  <c:v>700.32340506833361</c:v>
                </c:pt>
                <c:pt idx="107">
                  <c:v>717.24280108580388</c:v>
                </c:pt>
                <c:pt idx="108">
                  <c:v>734.15405061955198</c:v>
                </c:pt>
                <c:pt idx="109">
                  <c:v>751.05736758627074</c:v>
                </c:pt>
                <c:pt idx="110">
                  <c:v>767.95295549779041</c:v>
                </c:pt>
                <c:pt idx="111">
                  <c:v>784.84100818961235</c:v>
                </c:pt>
                <c:pt idx="112">
                  <c:v>801.7217104835396</c:v>
                </c:pt>
                <c:pt idx="113">
                  <c:v>818.59523879165329</c:v>
                </c:pt>
                <c:pt idx="114">
                  <c:v>835.46176166795476</c:v>
                </c:pt>
                <c:pt idx="115">
                  <c:v>733.15686072460585</c:v>
                </c:pt>
                <c:pt idx="116">
                  <c:v>750.18203757377194</c:v>
                </c:pt>
                <c:pt idx="117">
                  <c:v>767.199363469898</c:v>
                </c:pt>
                <c:pt idx="118">
                  <c:v>784.20903691748515</c:v>
                </c:pt>
                <c:pt idx="119">
                  <c:v>801.21124711630875</c:v>
                </c:pt>
                <c:pt idx="120">
                  <c:v>818.20617458978086</c:v>
                </c:pt>
                <c:pt idx="121">
                  <c:v>835.19399175844899</c:v>
                </c:pt>
                <c:pt idx="122">
                  <c:v>852.17486346445639</c:v>
                </c:pt>
                <c:pt idx="123">
                  <c:v>869.14894745207482</c:v>
                </c:pt>
                <c:pt idx="124">
                  <c:v>886.1163948087933</c:v>
                </c:pt>
                <c:pt idx="125">
                  <c:v>791.63883779902199</c:v>
                </c:pt>
                <c:pt idx="126">
                  <c:v>808.80371461740867</c:v>
                </c:pt>
                <c:pt idx="127">
                  <c:v>825.96124536678508</c:v>
                </c:pt>
                <c:pt idx="128">
                  <c:v>843.1116039792995</c:v>
                </c:pt>
                <c:pt idx="129">
                  <c:v>860.25495674174408</c:v>
                </c:pt>
                <c:pt idx="130">
                  <c:v>877.39146278036435</c:v>
                </c:pt>
                <c:pt idx="131">
                  <c:v>894.52127450587011</c:v>
                </c:pt>
                <c:pt idx="132">
                  <c:v>911.64453802262517</c:v>
                </c:pt>
                <c:pt idx="133">
                  <c:v>928.76139350553524</c:v>
                </c:pt>
                <c:pt idx="134">
                  <c:v>945.87197554774275</c:v>
                </c:pt>
                <c:pt idx="135">
                  <c:v>846.57269862596866</c:v>
                </c:pt>
                <c:pt idx="136">
                  <c:v>863.90366853717831</c:v>
                </c:pt>
                <c:pt idx="137">
                  <c:v>881.22767358744534</c:v>
                </c:pt>
                <c:pt idx="138">
                  <c:v>898.54486982875926</c:v>
                </c:pt>
                <c:pt idx="139">
                  <c:v>915.85540681479506</c:v>
                </c:pt>
                <c:pt idx="140">
                  <c:v>933.15942799170989</c:v>
                </c:pt>
                <c:pt idx="141">
                  <c:v>950.45707105848317</c:v>
                </c:pt>
                <c:pt idx="142">
                  <c:v>967.74846829969408</c:v>
                </c:pt>
                <c:pt idx="143">
                  <c:v>985.03374689331122</c:v>
                </c:pt>
                <c:pt idx="144">
                  <c:v>1002.3130291957826</c:v>
                </c:pt>
                <c:pt idx="145">
                  <c:v>901.23767646995248</c:v>
                </c:pt>
                <c:pt idx="146">
                  <c:v>918.89929586045457</c:v>
                </c:pt>
                <c:pt idx="147">
                  <c:v>936.55415722524458</c:v>
                </c:pt>
                <c:pt idx="148">
                  <c:v>954.20240574592299</c:v>
                </c:pt>
                <c:pt idx="149">
                  <c:v>971.84418080275736</c:v>
                </c:pt>
                <c:pt idx="150">
                  <c:v>989.47961630972395</c:v>
                </c:pt>
                <c:pt idx="151">
                  <c:v>1007.108841024456</c:v>
                </c:pt>
                <c:pt idx="152">
                  <c:v>1024.7319788353882</c:v>
                </c:pt>
                <c:pt idx="153">
                  <c:v>1042.349149028156</c:v>
                </c:pt>
                <c:pt idx="154">
                  <c:v>1059.9604665330687</c:v>
                </c:pt>
                <c:pt idx="155">
                  <c:v>961.1178977893378</c:v>
                </c:pt>
                <c:pt idx="156">
                  <c:v>979.00714902772279</c:v>
                </c:pt>
                <c:pt idx="157">
                  <c:v>996.88993412159937</c:v>
                </c:pt>
                <c:pt idx="158">
                  <c:v>1014.7663852488846</c:v>
                </c:pt>
                <c:pt idx="159">
                  <c:v>1032.6366295572141</c:v>
                </c:pt>
                <c:pt idx="160">
                  <c:v>1050.5007894408673</c:v>
                </c:pt>
                <c:pt idx="161">
                  <c:v>1068.3589827979044</c:v>
                </c:pt>
                <c:pt idx="162">
                  <c:v>1086.211323269242</c:v>
                </c:pt>
                <c:pt idx="163">
                  <c:v>1104.0579204612179</c:v>
                </c:pt>
                <c:pt idx="164">
                  <c:v>1121.8988801530404</c:v>
                </c:pt>
                <c:pt idx="165">
                  <c:v>1013.9704095406892</c:v>
                </c:pt>
                <c:pt idx="166">
                  <c:v>1032.0589003654065</c:v>
                </c:pt>
                <c:pt idx="167">
                  <c:v>1050.1411534158851</c:v>
                </c:pt>
                <c:pt idx="168">
                  <c:v>1068.2172910777583</c:v>
                </c:pt>
                <c:pt idx="169">
                  <c:v>1086.2874312629961</c:v>
                </c:pt>
                <c:pt idx="170">
                  <c:v>1104.3516876466244</c:v>
                </c:pt>
                <c:pt idx="171">
                  <c:v>1122.4101698871759</c:v>
                </c:pt>
                <c:pt idx="172">
                  <c:v>1140.4629838322371</c:v>
                </c:pt>
                <c:pt idx="173">
                  <c:v>1158.510231710324</c:v>
                </c:pt>
                <c:pt idx="174">
                  <c:v>1176.5520123102044</c:v>
                </c:pt>
                <c:pt idx="175">
                  <c:v>732.67672240369313</c:v>
                </c:pt>
                <c:pt idx="176">
                  <c:v>744.15284084631367</c:v>
                </c:pt>
                <c:pt idx="177">
                  <c:v>755.62535991176446</c:v>
                </c:pt>
                <c:pt idx="178">
                  <c:v>516.39182276754491</c:v>
                </c:pt>
                <c:pt idx="179">
                  <c:v>523.38068013229065</c:v>
                </c:pt>
                <c:pt idx="180">
                  <c:v>530.36757109014115</c:v>
                </c:pt>
                <c:pt idx="181">
                  <c:v>367.24151226883578</c:v>
                </c:pt>
                <c:pt idx="182">
                  <c:v>371.46425432265534</c:v>
                </c:pt>
                <c:pt idx="183">
                  <c:v>375.68594961378062</c:v>
                </c:pt>
                <c:pt idx="184">
                  <c:v>1.1507534481029384E-11</c:v>
                </c:pt>
                <c:pt idx="185">
                  <c:v>1.1507534481029384E-11</c:v>
                </c:pt>
                <c:pt idx="186">
                  <c:v>1.1507534481029384E-11</c:v>
                </c:pt>
                <c:pt idx="187">
                  <c:v>1.1507534481029384E-11</c:v>
                </c:pt>
                <c:pt idx="188">
                  <c:v>1.1507534481029384E-11</c:v>
                </c:pt>
                <c:pt idx="189">
                  <c:v>1.1507534481029384E-11</c:v>
                </c:pt>
                <c:pt idx="190">
                  <c:v>1.1507534481029384E-11</c:v>
                </c:pt>
                <c:pt idx="191">
                  <c:v>1.1507534481029384E-11</c:v>
                </c:pt>
                <c:pt idx="192">
                  <c:v>1.1507534481029384E-11</c:v>
                </c:pt>
                <c:pt idx="193">
                  <c:v>1.1507534481029384E-11</c:v>
                </c:pt>
                <c:pt idx="194">
                  <c:v>1.1507534481029384E-11</c:v>
                </c:pt>
                <c:pt idx="195">
                  <c:v>1.1507534481029384E-11</c:v>
                </c:pt>
                <c:pt idx="196">
                  <c:v>1.1507534481029384E-11</c:v>
                </c:pt>
                <c:pt idx="197">
                  <c:v>1.1507534481029384E-11</c:v>
                </c:pt>
                <c:pt idx="198">
                  <c:v>1.1507534481029384E-11</c:v>
                </c:pt>
                <c:pt idx="199">
                  <c:v>1.1507534481029384E-11</c:v>
                </c:pt>
                <c:pt idx="200">
                  <c:v>1.1507534481029384E-11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9.1345733897721697</c:v>
                </c:pt>
                <c:pt idx="2">
                  <c:v>17.868166431040844</c:v>
                </c:pt>
                <c:pt idx="3">
                  <c:v>26.472262947697264</c:v>
                </c:pt>
                <c:pt idx="4">
                  <c:v>34.996534793530941</c:v>
                </c:pt>
                <c:pt idx="5">
                  <c:v>43.4634948810303</c:v>
                </c:pt>
                <c:pt idx="6">
                  <c:v>51.885985515419122</c:v>
                </c:pt>
                <c:pt idx="7">
                  <c:v>60.272285634320177</c:v>
                </c:pt>
                <c:pt idx="8">
                  <c:v>68.62816184463999</c:v>
                </c:pt>
                <c:pt idx="9">
                  <c:v>76.957852675812049</c:v>
                </c:pt>
                <c:pt idx="10">
                  <c:v>85.264599505421899</c:v>
                </c:pt>
                <c:pt idx="11">
                  <c:v>93.550957921566507</c:v>
                </c:pt>
                <c:pt idx="12">
                  <c:v>101.81899220902953</c:v>
                </c:pt>
                <c:pt idx="13">
                  <c:v>110.07040298609256</c:v>
                </c:pt>
                <c:pt idx="14">
                  <c:v>118.30661437498453</c:v>
                </c:pt>
                <c:pt idx="15">
                  <c:v>126.52883552368996</c:v>
                </c:pt>
                <c:pt idx="16">
                  <c:v>134.73810523951758</c:v>
                </c:pt>
                <c:pt idx="17">
                  <c:v>142.9353251396652</c:v>
                </c:pt>
                <c:pt idx="18">
                  <c:v>151.12128477659996</c:v>
                </c:pt>
                <c:pt idx="19">
                  <c:v>159.2966810199494</c:v>
                </c:pt>
                <c:pt idx="20">
                  <c:v>167.46213324158907</c:v>
                </c:pt>
                <c:pt idx="21">
                  <c:v>175.61819537740678</c:v>
                </c:pt>
                <c:pt idx="22">
                  <c:v>183.76536562649167</c:v>
                </c:pt>
                <c:pt idx="23">
                  <c:v>191.90409433698508</c:v>
                </c:pt>
                <c:pt idx="24">
                  <c:v>200.03479048178065</c:v>
                </c:pt>
                <c:pt idx="25">
                  <c:v>208.15782702452887</c:v>
                </c:pt>
                <c:pt idx="26">
                  <c:v>216.2735454029137</c:v>
                </c:pt>
                <c:pt idx="27">
                  <c:v>224.38225930279336</c:v>
                </c:pt>
                <c:pt idx="28">
                  <c:v>232.48425785749177</c:v>
                </c:pt>
                <c:pt idx="29">
                  <c:v>240.57980837720436</c:v>
                </c:pt>
                <c:pt idx="30">
                  <c:v>248.66915869135769</c:v>
                </c:pt>
                <c:pt idx="31">
                  <c:v>256.75253916988112</c:v>
                </c:pt>
                <c:pt idx="32">
                  <c:v>264.8301644763423</c:v>
                </c:pt>
                <c:pt idx="33">
                  <c:v>272.9022350957855</c:v>
                </c:pt>
                <c:pt idx="34">
                  <c:v>280.96893867217358</c:v>
                </c:pt>
                <c:pt idx="35">
                  <c:v>289.0304511840622</c:v>
                </c:pt>
                <c:pt idx="36">
                  <c:v>297.08693798213511</c:v>
                </c:pt>
                <c:pt idx="37">
                  <c:v>305.13855470821676</c:v>
                </c:pt>
                <c:pt idx="38">
                  <c:v>313.18544811213798</c:v>
                </c:pt>
                <c:pt idx="39">
                  <c:v>321.22775678019707</c:v>
                </c:pt>
                <c:pt idx="40">
                  <c:v>329.26561178680475</c:v>
                </c:pt>
                <c:pt idx="41">
                  <c:v>337.29913727913015</c:v>
                </c:pt>
                <c:pt idx="42">
                  <c:v>345.32845100310215</c:v>
                </c:pt>
                <c:pt idx="43">
                  <c:v>275.28003133804344</c:v>
                </c:pt>
                <c:pt idx="44">
                  <c:v>294.71506550762314</c:v>
                </c:pt>
                <c:pt idx="45">
                  <c:v>314.12151218525787</c:v>
                </c:pt>
                <c:pt idx="46">
                  <c:v>333.50138533341101</c:v>
                </c:pt>
                <c:pt idx="47">
                  <c:v>352.85644576964478</c:v>
                </c:pt>
                <c:pt idx="48">
                  <c:v>372.18824541529494</c:v>
                </c:pt>
                <c:pt idx="49">
                  <c:v>391.49816186611287</c:v>
                </c:pt>
                <c:pt idx="50">
                  <c:v>410.78742578412863</c:v>
                </c:pt>
                <c:pt idx="51">
                  <c:v>357.16467817261235</c:v>
                </c:pt>
                <c:pt idx="52">
                  <c:v>376.86765017059088</c:v>
                </c:pt>
                <c:pt idx="53">
                  <c:v>396.54820076087543</c:v>
                </c:pt>
                <c:pt idx="54">
                  <c:v>416.20759865976305</c:v>
                </c:pt>
                <c:pt idx="55">
                  <c:v>435.84698300589872</c:v>
                </c:pt>
                <c:pt idx="56">
                  <c:v>455.46738195661436</c:v>
                </c:pt>
                <c:pt idx="57">
                  <c:v>475.06972791319322</c:v>
                </c:pt>
                <c:pt idx="58">
                  <c:v>494.6548701027786</c:v>
                </c:pt>
                <c:pt idx="59">
                  <c:v>421.42577622956969</c:v>
                </c:pt>
                <c:pt idx="60">
                  <c:v>440.44120348739995</c:v>
                </c:pt>
                <c:pt idx="61">
                  <c:v>459.43903650115499</c:v>
                </c:pt>
                <c:pt idx="62">
                  <c:v>478.42010474182621</c:v>
                </c:pt>
                <c:pt idx="63">
                  <c:v>497.38516653309392</c:v>
                </c:pt>
                <c:pt idx="64">
                  <c:v>516.33491768947522</c:v>
                </c:pt>
                <c:pt idx="65">
                  <c:v>535.26999882081486</c:v>
                </c:pt>
                <c:pt idx="66">
                  <c:v>554.19100154984289</c:v>
                </c:pt>
                <c:pt idx="67">
                  <c:v>470.14706756965666</c:v>
                </c:pt>
                <c:pt idx="68">
                  <c:v>488.32734241285874</c:v>
                </c:pt>
                <c:pt idx="69">
                  <c:v>506.49326009097769</c:v>
                </c:pt>
                <c:pt idx="70">
                  <c:v>524.64540770819303</c:v>
                </c:pt>
                <c:pt idx="71">
                  <c:v>542.78432845485679</c:v>
                </c:pt>
                <c:pt idx="72">
                  <c:v>560.91052627987881</c:v>
                </c:pt>
                <c:pt idx="73">
                  <c:v>579.02446992802072</c:v>
                </c:pt>
                <c:pt idx="74">
                  <c:v>597.12659644598352</c:v>
                </c:pt>
                <c:pt idx="75">
                  <c:v>517.97676869167117</c:v>
                </c:pt>
                <c:pt idx="76">
                  <c:v>535.73334829581881</c:v>
                </c:pt>
                <c:pt idx="77">
                  <c:v>553.47755899013487</c:v>
                </c:pt>
                <c:pt idx="78">
                  <c:v>571.20985288289546</c:v>
                </c:pt>
                <c:pt idx="79">
                  <c:v>588.93065174286789</c:v>
                </c:pt>
                <c:pt idx="80">
                  <c:v>606.64034990559333</c:v>
                </c:pt>
                <c:pt idx="81">
                  <c:v>624.33931682285095</c:v>
                </c:pt>
                <c:pt idx="82">
                  <c:v>642.02789930818994</c:v>
                </c:pt>
                <c:pt idx="83">
                  <c:v>659.70642352229788</c:v>
                </c:pt>
                <c:pt idx="84">
                  <c:v>677.37519673465192</c:v>
                </c:pt>
                <c:pt idx="85">
                  <c:v>568.92780793833413</c:v>
                </c:pt>
                <c:pt idx="86">
                  <c:v>585.86192170082245</c:v>
                </c:pt>
                <c:pt idx="87">
                  <c:v>602.78583992874633</c:v>
                </c:pt>
                <c:pt idx="88">
                  <c:v>619.69988898865984</c:v>
                </c:pt>
                <c:pt idx="89">
                  <c:v>636.60437599161821</c:v>
                </c:pt>
                <c:pt idx="90">
                  <c:v>653.4995904208547</c:v>
                </c:pt>
                <c:pt idx="91">
                  <c:v>670.38580558250044</c:v>
                </c:pt>
                <c:pt idx="92">
                  <c:v>687.26327990264235</c:v>
                </c:pt>
                <c:pt idx="93">
                  <c:v>704.13225809045025</c:v>
                </c:pt>
                <c:pt idx="94">
                  <c:v>720.9929721841354</c:v>
                </c:pt>
                <c:pt idx="95">
                  <c:v>611.42462215563842</c:v>
                </c:pt>
                <c:pt idx="96">
                  <c:v>627.83625949627674</c:v>
                </c:pt>
                <c:pt idx="97">
                  <c:v>644.23902260642501</c:v>
                </c:pt>
                <c:pt idx="98">
                  <c:v>660.63316909069977</c:v>
                </c:pt>
                <c:pt idx="99">
                  <c:v>677.01894273555968</c:v>
                </c:pt>
                <c:pt idx="100">
                  <c:v>693.39657457387193</c:v>
                </c:pt>
                <c:pt idx="101">
                  <c:v>709.76628384375397</c:v>
                </c:pt>
                <c:pt idx="102">
                  <c:v>726.12827885442675</c:v>
                </c:pt>
                <c:pt idx="103">
                  <c:v>742.48275777003767</c:v>
                </c:pt>
                <c:pt idx="104">
                  <c:v>758.8299093208924</c:v>
                </c:pt>
                <c:pt idx="105">
                  <c:v>652.54004075686078</c:v>
                </c:pt>
                <c:pt idx="106">
                  <c:v>668.70185771457261</c:v>
                </c:pt>
                <c:pt idx="107">
                  <c:v>684.85564540449479</c:v>
                </c:pt>
                <c:pt idx="108">
                  <c:v>701.00161974495734</c:v>
                </c:pt>
                <c:pt idx="109">
                  <c:v>717.13998590495532</c:v>
                </c:pt>
                <c:pt idx="110">
                  <c:v>733.2709390741071</c:v>
                </c:pt>
                <c:pt idx="111">
                  <c:v>749.39466516139635</c:v>
                </c:pt>
                <c:pt idx="112">
                  <c:v>765.51134143070556</c:v>
                </c:pt>
                <c:pt idx="113">
                  <c:v>781.62113708009417</c:v>
                </c:pt>
                <c:pt idx="114">
                  <c:v>797.72421377088347</c:v>
                </c:pt>
                <c:pt idx="115">
                  <c:v>700.04955608788043</c:v>
                </c:pt>
                <c:pt idx="116">
                  <c:v>716.30426933159345</c:v>
                </c:pt>
                <c:pt idx="117">
                  <c:v>732.55145267138971</c:v>
                </c:pt>
                <c:pt idx="118">
                  <c:v>748.79129649432252</c:v>
                </c:pt>
                <c:pt idx="119">
                  <c:v>765.02398226321839</c:v>
                </c:pt>
                <c:pt idx="120">
                  <c:v>781.24968311934356</c:v>
                </c:pt>
                <c:pt idx="121">
                  <c:v>797.46856443244951</c:v>
                </c:pt>
                <c:pt idx="122">
                  <c:v>813.68078430378785</c:v>
                </c:pt>
                <c:pt idx="123">
                  <c:v>829.8864940269923</c:v>
                </c:pt>
                <c:pt idx="124">
                  <c:v>846.08583851112826</c:v>
                </c:pt>
                <c:pt idx="125">
                  <c:v>755.88482662893102</c:v>
                </c:pt>
                <c:pt idx="126">
                  <c:v>772.27280239944514</c:v>
                </c:pt>
                <c:pt idx="127">
                  <c:v>788.65373250384312</c:v>
                </c:pt>
                <c:pt idx="128">
                  <c:v>805.02778376166316</c:v>
                </c:pt>
                <c:pt idx="129">
                  <c:v>821.39511565972941</c:v>
                </c:pt>
                <c:pt idx="130">
                  <c:v>837.75588081713613</c:v>
                </c:pt>
                <c:pt idx="131">
                  <c:v>854.11022541205978</c:v>
                </c:pt>
                <c:pt idx="132">
                  <c:v>870.45828957421656</c:v>
                </c:pt>
                <c:pt idx="133">
                  <c:v>886.80020774633806</c:v>
                </c:pt>
                <c:pt idx="134">
                  <c:v>903.13610901764775</c:v>
                </c:pt>
                <c:pt idx="135">
                  <c:v>808.33220895313741</c:v>
                </c:pt>
                <c:pt idx="136">
                  <c:v>824.87865887987221</c:v>
                </c:pt>
                <c:pt idx="137">
                  <c:v>841.41842875981195</c:v>
                </c:pt>
                <c:pt idx="138">
                  <c:v>857.95166826350953</c:v>
                </c:pt>
                <c:pt idx="139">
                  <c:v>874.47852082893996</c:v>
                </c:pt>
                <c:pt idx="140">
                  <c:v>890.99912403631481</c:v>
                </c:pt>
                <c:pt idx="141">
                  <c:v>907.51360995368759</c:v>
                </c:pt>
                <c:pt idx="142">
                  <c:v>924.02210545612218</c:v>
                </c:pt>
                <c:pt idx="143">
                  <c:v>940.52473252089715</c:v>
                </c:pt>
                <c:pt idx="144">
                  <c:v>957.02160850093696</c:v>
                </c:pt>
                <c:pt idx="145">
                  <c:v>860.52256778285062</c:v>
                </c:pt>
                <c:pt idx="146">
                  <c:v>877.38460364696311</c:v>
                </c:pt>
                <c:pt idx="147">
                  <c:v>894.24015784139544</c:v>
                </c:pt>
                <c:pt idx="148">
                  <c:v>911.08936961083464</c:v>
                </c:pt>
                <c:pt idx="149">
                  <c:v>927.93237263586946</c:v>
                </c:pt>
                <c:pt idx="150">
                  <c:v>944.76929535432998</c:v>
                </c:pt>
                <c:pt idx="151">
                  <c:v>961.6002612585612</c:v>
                </c:pt>
                <c:pt idx="152">
                  <c:v>978.42538917082777</c:v>
                </c:pt>
                <c:pt idx="153">
                  <c:v>995.24479349881619</c:v>
                </c:pt>
                <c:pt idx="154">
                  <c:v>1012.0585844729879</c:v>
                </c:pt>
                <c:pt idx="155">
                  <c:v>917.69175016011229</c:v>
                </c:pt>
                <c:pt idx="156">
                  <c:v>934.77101299445985</c:v>
                </c:pt>
                <c:pt idx="157">
                  <c:v>951.84407410442907</c:v>
                </c:pt>
                <c:pt idx="158">
                  <c:v>968.91106026278305</c:v>
                </c:pt>
                <c:pt idx="159">
                  <c:v>985.97209341770815</c:v>
                </c:pt>
                <c:pt idx="160">
                  <c:v>1003.0272909584129</c:v>
                </c:pt>
                <c:pt idx="161">
                  <c:v>1020.0767659617509</c:v>
                </c:pt>
                <c:pt idx="162">
                  <c:v>1037.1206274215183</c:v>
                </c:pt>
                <c:pt idx="163">
                  <c:v>1054.1589804619205</c:v>
                </c:pt>
                <c:pt idx="164">
                  <c:v>1071.1919265365345</c:v>
                </c:pt>
                <c:pt idx="165">
                  <c:v>968.15112777582817</c:v>
                </c:pt>
                <c:pt idx="166">
                  <c:v>985.42052572739613</c:v>
                </c:pt>
                <c:pt idx="167">
                  <c:v>1002.6839409861069</c:v>
                </c:pt>
                <c:pt idx="168">
                  <c:v>1019.9414909328767</c:v>
                </c:pt>
                <c:pt idx="169">
                  <c:v>1037.1932886578995</c:v>
                </c:pt>
                <c:pt idx="170">
                  <c:v>1054.4394431876869</c:v>
                </c:pt>
                <c:pt idx="171">
                  <c:v>1071.6800596965038</c:v>
                </c:pt>
                <c:pt idx="172">
                  <c:v>1088.9152397035102</c:v>
                </c:pt>
                <c:pt idx="173">
                  <c:v>1106.1450812567903</c:v>
                </c:pt>
                <c:pt idx="174">
                  <c:v>1123.369679105341</c:v>
                </c:pt>
                <c:pt idx="175">
                  <c:v>699.59114561774857</c:v>
                </c:pt>
                <c:pt idx="176">
                  <c:v>710.54792404908528</c:v>
                </c:pt>
                <c:pt idx="177">
                  <c:v>721.50125029262847</c:v>
                </c:pt>
                <c:pt idx="178">
                  <c:v>493.09065406114672</c:v>
                </c:pt>
                <c:pt idx="179">
                  <c:v>499.76345864506885</c:v>
                </c:pt>
                <c:pt idx="180">
                  <c:v>506.43437723439791</c:v>
                </c:pt>
                <c:pt idx="181">
                  <c:v>350.68297454801086</c:v>
                </c:pt>
                <c:pt idx="182">
                  <c:v>354.71488774261428</c:v>
                </c:pt>
                <c:pt idx="183">
                  <c:v>358.7457969798034</c:v>
                </c:pt>
                <c:pt idx="184">
                  <c:v>1.1032467653906121E-11</c:v>
                </c:pt>
                <c:pt idx="185">
                  <c:v>1.1032467653906121E-11</c:v>
                </c:pt>
                <c:pt idx="186">
                  <c:v>1.1032467653906121E-11</c:v>
                </c:pt>
                <c:pt idx="187">
                  <c:v>1.1032467653906121E-11</c:v>
                </c:pt>
                <c:pt idx="188">
                  <c:v>1.1032467653906121E-11</c:v>
                </c:pt>
                <c:pt idx="189">
                  <c:v>1.1032467653906121E-11</c:v>
                </c:pt>
                <c:pt idx="190">
                  <c:v>1.1032467653906121E-11</c:v>
                </c:pt>
                <c:pt idx="191">
                  <c:v>1.1032467653906121E-11</c:v>
                </c:pt>
                <c:pt idx="192">
                  <c:v>1.1032467653906121E-11</c:v>
                </c:pt>
                <c:pt idx="193">
                  <c:v>1.1032467653906121E-11</c:v>
                </c:pt>
                <c:pt idx="194">
                  <c:v>1.1032467653906121E-11</c:v>
                </c:pt>
                <c:pt idx="195">
                  <c:v>1.1032467653906121E-11</c:v>
                </c:pt>
                <c:pt idx="196">
                  <c:v>1.1032467653906121E-11</c:v>
                </c:pt>
                <c:pt idx="197">
                  <c:v>1.1032467653906121E-11</c:v>
                </c:pt>
                <c:pt idx="198">
                  <c:v>1.1032467653906121E-11</c:v>
                </c:pt>
                <c:pt idx="199">
                  <c:v>1.1032467653906121E-11</c:v>
                </c:pt>
                <c:pt idx="200">
                  <c:v>1.1032467653906121E-11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4.18529780963524</c:v>
                </c:pt>
                <c:pt idx="2">
                  <c:v>7.5893010457294139</c:v>
                </c:pt>
                <c:pt idx="3">
                  <c:v>13.776383450091409</c:v>
                </c:pt>
                <c:pt idx="4">
                  <c:v>25.032976667841115</c:v>
                </c:pt>
                <c:pt idx="5">
                  <c:v>45.532234259981038</c:v>
                </c:pt>
                <c:pt idx="6">
                  <c:v>56.16870589664348</c:v>
                </c:pt>
                <c:pt idx="7">
                  <c:v>74.468333512075816</c:v>
                </c:pt>
                <c:pt idx="8">
                  <c:v>92.652435891434152</c:v>
                </c:pt>
                <c:pt idx="9">
                  <c:v>110.74704956568966</c:v>
                </c:pt>
                <c:pt idx="10">
                  <c:v>128.76891432181574</c:v>
                </c:pt>
                <c:pt idx="11">
                  <c:v>110.74704956568966</c:v>
                </c:pt>
                <c:pt idx="12">
                  <c:v>128.26213874787356</c:v>
                </c:pt>
                <c:pt idx="13">
                  <c:v>145.71926228124565</c:v>
                </c:pt>
                <c:pt idx="14">
                  <c:v>163.12635139623515</c:v>
                </c:pt>
                <c:pt idx="15">
                  <c:v>180.48950124316343</c:v>
                </c:pt>
                <c:pt idx="16">
                  <c:v>167.40810379843893</c:v>
                </c:pt>
                <c:pt idx="17">
                  <c:v>183.25381400984153</c:v>
                </c:pt>
                <c:pt idx="18">
                  <c:v>199.06749046538289</c:v>
                </c:pt>
                <c:pt idx="19">
                  <c:v>214.85203699852073</c:v>
                </c:pt>
                <c:pt idx="20">
                  <c:v>230.60989549487991</c:v>
                </c:pt>
                <c:pt idx="21">
                  <c:v>221.10822629005824</c:v>
                </c:pt>
                <c:pt idx="22">
                  <c:v>234.1082328875921</c:v>
                </c:pt>
                <c:pt idx="23">
                  <c:v>247.09176680361827</c:v>
                </c:pt>
                <c:pt idx="24">
                  <c:v>260.05981586561887</c:v>
                </c:pt>
                <c:pt idx="25">
                  <c:v>273.0132612832611</c:v>
                </c:pt>
                <c:pt idx="26">
                  <c:v>266.28920594303941</c:v>
                </c:pt>
                <c:pt idx="27">
                  <c:v>276.9961233336083</c:v>
                </c:pt>
                <c:pt idx="28">
                  <c:v>287.69375209778929</c:v>
                </c:pt>
                <c:pt idx="29">
                  <c:v>298.38248650885009</c:v>
                </c:pt>
                <c:pt idx="30">
                  <c:v>309.06269026929118</c:v>
                </c:pt>
                <c:pt idx="31">
                  <c:v>304.09619276409364</c:v>
                </c:pt>
                <c:pt idx="32">
                  <c:v>312.78639854098674</c:v>
                </c:pt>
                <c:pt idx="33">
                  <c:v>321.47124985205761</c:v>
                </c:pt>
                <c:pt idx="34">
                  <c:v>330.15091186557009</c:v>
                </c:pt>
                <c:pt idx="35">
                  <c:v>338.82554034980132</c:v>
                </c:pt>
                <c:pt idx="36">
                  <c:v>335.3562833779236</c:v>
                </c:pt>
                <c:pt idx="37">
                  <c:v>343.03715944917593</c:v>
                </c:pt>
                <c:pt idx="38">
                  <c:v>350.71425608573821</c:v>
                </c:pt>
                <c:pt idx="39">
                  <c:v>358.38766775746268</c:v>
                </c:pt>
                <c:pt idx="40">
                  <c:v>366.05748455541499</c:v>
                </c:pt>
                <c:pt idx="41">
                  <c:v>364.82065686690544</c:v>
                </c:pt>
                <c:pt idx="42">
                  <c:v>372.24026088105029</c:v>
                </c:pt>
                <c:pt idx="43">
                  <c:v>379.6566411112496</c:v>
                </c:pt>
                <c:pt idx="44">
                  <c:v>387.06986946410581</c:v>
                </c:pt>
                <c:pt idx="45">
                  <c:v>394.4800148650682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urélien Blond" id="{5997DB15-2137-4720-9056-4C6CAFDB89E8}" userId="S::ablond@neosylva.fr::c795548a-de0d-4e00-b0df-a7f250496ac4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8" dT="2024-11-27T17:07:34.75" personId="{5997DB15-2137-4720-9056-4C6CAFDB89E8}" id="{AD29CC88-2234-4EC1-8A16-87E6FDA37C56}">
    <text>A recopier sur toutes les essences.
Correspond aux frais fixes d’entretien mécanique + répulsif gibier</text>
  </threadedComment>
  <threadedComment ref="E19" dT="2024-11-27T17:08:05.48" personId="{5997DB15-2137-4720-9056-4C6CAFDB89E8}" id="{B78C7043-68E1-4534-A9CB-7CAE3C1310AA}">
    <text xml:space="preserve">A recopier sur toutes les essences
Correspond aux frais fixes entretien manuel + répulsif gibier + regarnis
</text>
  </threadedComment>
  <threadedComment ref="I19" dT="2024-12-11T11:55:34.51" personId="{5997DB15-2137-4720-9056-4C6CAFDB89E8}" id="{9AD5FF7B-F2A3-4D95-B9F9-A8D858B95E57}">
    <text>Toutes les ans pendant la durée du contrat : frais de gardiennage 20€/ha/an</text>
  </threadedComment>
  <threadedComment ref="E20" dT="2024-11-27T17:07:34.75" personId="{5997DB15-2137-4720-9056-4C6CAFDB89E8}" id="{F36744A5-ECED-4D99-BFEF-AA25CA96FD5D}">
    <text>A recopier sur toutes les essences.
Correspond aux frais fixes d’entretien mécanique + répulsif gibier</text>
  </threadedComment>
  <threadedComment ref="I20" dT="2024-11-27T17:08:22.16" personId="{5997DB15-2137-4720-9056-4C6CAFDB89E8}" id="{8C4AB574-5B9A-426A-ADE1-8DDA545EB364}">
    <text>Année 1 : demande cas par cas + diagnostic gestionnaire</text>
  </threadedComment>
  <threadedComment ref="I22" dT="2024-11-27T17:08:31.44" personId="{5997DB15-2137-4720-9056-4C6CAFDB89E8}" id="{348C3438-161A-4395-B4E7-637BD1883F52}">
    <text>Année 3 : rédaction DGD</text>
  </threadedComment>
  <threadedComment ref="I24" dT="2024-11-27T17:08:41.71" personId="{5997DB15-2137-4720-9056-4C6CAFDB89E8}" id="{1CA53D21-A6CA-437D-B7C2-0BE1BA55436A}">
    <text>Année 5 : facturation maitrise d'œuvre</text>
  </threadedComment>
  <threadedComment ref="E49" dT="2024-11-27T17:07:34.75" personId="{5997DB15-2137-4720-9056-4C6CAFDB89E8}" id="{EB2F6386-5725-4506-BB4A-8FAFDB5F2689}">
    <text>A recopier sur toutes les essences.
Correspond aux frais fixes d’entretien mécanique + répulsif gibier</text>
  </threadedComment>
  <threadedComment ref="E50" dT="2024-11-27T17:08:05.48" personId="{5997DB15-2137-4720-9056-4C6CAFDB89E8}" id="{EC20837B-3914-47A6-97DB-63ACC6214C97}">
    <text xml:space="preserve">A recopier sur toutes les essences
Correspond aux frais fixes entretien manuel + répulsif gibier + regarnis
</text>
  </threadedComment>
  <threadedComment ref="E51" dT="2024-11-27T17:07:34.75" personId="{5997DB15-2137-4720-9056-4C6CAFDB89E8}" id="{9FF82A0C-C41C-4431-8415-233C27CE0797}">
    <text>A recopier sur toutes les essences.
Correspond aux frais fixes d’entretien mécanique + répulsif gibier</text>
  </threadedComment>
  <threadedComment ref="E80" dT="2024-11-27T17:07:34.75" personId="{5997DB15-2137-4720-9056-4C6CAFDB89E8}" id="{F9F3D578-76F2-4FAC-96C7-0077361A14E7}">
    <text>A recopier sur toutes les essences.
Correspond aux frais fixes d’entretien mécanique + répulsif gibier</text>
  </threadedComment>
  <threadedComment ref="E81" dT="2024-11-27T17:08:05.48" personId="{5997DB15-2137-4720-9056-4C6CAFDB89E8}" id="{D5DA1096-D739-412A-BFFA-E4C894D611CB}">
    <text xml:space="preserve">A recopier sur toutes les essences
Correspond aux frais fixes entretien manuel + répulsif gibier + regarnis
</text>
  </threadedComment>
  <threadedComment ref="E82" dT="2024-11-27T17:07:34.75" personId="{5997DB15-2137-4720-9056-4C6CAFDB89E8}" id="{79ABA2FF-0BE6-4ABD-8760-E9AB6D5222F3}">
    <text>A recopier sur toutes les essences.
Correspond aux frais fixes d’entretien mécanique + répulsif gibier</text>
  </threadedComment>
  <threadedComment ref="E111" dT="2024-11-27T17:07:34.75" personId="{5997DB15-2137-4720-9056-4C6CAFDB89E8}" id="{8A0CF601-4C37-48D6-AC3C-58351BDE3DCB}">
    <text>A recopier sur toutes les essences.
Correspond aux frais fixes d’entretien mécanique + répulsif gibier</text>
  </threadedComment>
  <threadedComment ref="E112" dT="2024-11-27T17:08:05.48" personId="{5997DB15-2137-4720-9056-4C6CAFDB89E8}" id="{3FB6C07F-BD2F-430C-8177-0878DB47847A}">
    <text xml:space="preserve">A recopier sur toutes les essences
Correspond aux frais fixes entretien manuel + répulsif gibier + regarnis
</text>
  </threadedComment>
  <threadedComment ref="E113" dT="2024-11-27T17:07:34.75" personId="{5997DB15-2137-4720-9056-4C6CAFDB89E8}" id="{9DB14985-E7F0-4F13-B8C8-CEAE41A19BBD}">
    <text>A recopier sur toutes les essences.
Correspond aux frais fixes d’entretien mécanique + répulsif gibier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G33" sqref="G33"/>
    </sheetView>
  </sheetViews>
  <sheetFormatPr baseColWidth="10" defaultColWidth="11.44140625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7" t="s">
        <v>0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">
      <c r="B18" s="257" t="s">
        <v>1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115" zoomScale="80" zoomScaleNormal="80" workbookViewId="0">
      <selection activeCell="D114" sqref="D114:D122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2" t="s">
        <v>2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3" t="s">
        <v>4</v>
      </c>
      <c r="C3" s="264"/>
      <c r="D3" s="264"/>
      <c r="E3" s="264"/>
      <c r="F3" s="265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8" t="s">
        <v>7</v>
      </c>
      <c r="B5" s="268"/>
      <c r="C5" s="24">
        <v>1.35</v>
      </c>
      <c r="D5" s="269" t="s">
        <v>8</v>
      </c>
      <c r="E5" s="270"/>
      <c r="F5" s="90"/>
      <c r="G5" s="218"/>
      <c r="H5" s="218"/>
      <c r="I5" s="218" t="s">
        <v>9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7" t="s">
        <v>10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11</v>
      </c>
      <c r="C8" s="26" t="s">
        <v>12</v>
      </c>
      <c r="D8" s="27" t="s">
        <v>13</v>
      </c>
      <c r="E8" s="28" t="s">
        <v>14</v>
      </c>
      <c r="F8" s="29" t="s">
        <v>15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</v>
      </c>
      <c r="B9" s="31" t="s">
        <v>144</v>
      </c>
      <c r="C9" s="32">
        <v>0.93</v>
      </c>
      <c r="D9" s="33">
        <f t="shared" ref="D9:D18" si="0">C9*$C$5</f>
        <v>1.2555000000000001</v>
      </c>
      <c r="E9" s="34">
        <v>183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17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18</v>
      </c>
      <c r="B10" s="31" t="s">
        <v>140</v>
      </c>
      <c r="C10" s="32">
        <v>2.5070955534531689E-2</v>
      </c>
      <c r="D10" s="33">
        <f t="shared" si="0"/>
        <v>3.384578997161778E-2</v>
      </c>
      <c r="E10" s="34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19</v>
      </c>
      <c r="B11" s="31" t="s">
        <v>106</v>
      </c>
      <c r="C11" s="32">
        <v>0.02</v>
      </c>
      <c r="D11" s="33">
        <f t="shared" si="0"/>
        <v>2.7000000000000003E-2</v>
      </c>
      <c r="E11" s="34">
        <v>183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20</v>
      </c>
      <c r="B12" s="31" t="s">
        <v>251</v>
      </c>
      <c r="C12" s="32">
        <v>0.02</v>
      </c>
      <c r="D12" s="33">
        <f t="shared" si="0"/>
        <v>2.7000000000000003E-2</v>
      </c>
      <c r="E12" s="34">
        <v>45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21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22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23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24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25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26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27</v>
      </c>
      <c r="C19" s="37">
        <f>SUM(C9:C18)</f>
        <v>0.99507095553453173</v>
      </c>
      <c r="D19" s="38">
        <f>SUM(D9:D18)</f>
        <v>1.3433457899716177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15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6" t="s">
        <v>28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29</v>
      </c>
      <c r="B24" s="42" t="s">
        <v>30</v>
      </c>
      <c r="C24" s="43">
        <v>0</v>
      </c>
      <c r="D24" s="44" t="s">
        <v>31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32</v>
      </c>
      <c r="B25" s="42" t="s">
        <v>33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34</v>
      </c>
      <c r="B26" s="42" t="s">
        <v>35</v>
      </c>
      <c r="C26" s="43">
        <v>0.15</v>
      </c>
      <c r="D26" s="44" t="s">
        <v>36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37</v>
      </c>
      <c r="B27" s="42" t="s">
        <v>38</v>
      </c>
      <c r="C27" s="43">
        <v>0</v>
      </c>
      <c r="D27" s="44" t="s">
        <v>39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7" t="s">
        <v>40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</v>
      </c>
      <c r="B32" s="47" t="str">
        <f>IF(B9="","",B9)</f>
        <v>Chêne sessile</v>
      </c>
      <c r="D32" s="229" t="s">
        <v>41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42</v>
      </c>
      <c r="C34" s="258" t="s">
        <v>43</v>
      </c>
      <c r="D34" s="258"/>
      <c r="E34" s="259" t="s">
        <v>44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45</v>
      </c>
      <c r="B35" s="36" t="s">
        <v>46</v>
      </c>
      <c r="C35" s="48" t="s">
        <v>47</v>
      </c>
      <c r="D35" s="48" t="s">
        <v>48</v>
      </c>
      <c r="E35" s="36" t="s">
        <v>49</v>
      </c>
      <c r="F35" s="36" t="s">
        <v>50</v>
      </c>
      <c r="G35" s="36" t="s">
        <v>51</v>
      </c>
      <c r="H35" s="36" t="s">
        <v>52</v>
      </c>
      <c r="I35" s="48" t="s">
        <v>53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42</v>
      </c>
      <c r="B36" s="60">
        <v>163.26</v>
      </c>
      <c r="C36" s="60">
        <v>1</v>
      </c>
      <c r="D36" s="60">
        <v>43.21</v>
      </c>
      <c r="E36" s="51">
        <v>0.3</v>
      </c>
      <c r="F36" s="51">
        <v>0</v>
      </c>
      <c r="G36" s="51">
        <v>0</v>
      </c>
      <c r="H36" s="51">
        <v>0.7</v>
      </c>
      <c r="I36" s="49">
        <f>IFERROR(B36/A36,"")</f>
        <v>3.887142857142857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50</v>
      </c>
      <c r="B37" s="60">
        <v>195.02</v>
      </c>
      <c r="C37" s="60">
        <v>2</v>
      </c>
      <c r="D37" s="60">
        <v>35.58</v>
      </c>
      <c r="E37" s="51">
        <v>0.3</v>
      </c>
      <c r="F37" s="51">
        <v>0</v>
      </c>
      <c r="G37" s="51">
        <v>0</v>
      </c>
      <c r="H37" s="51">
        <v>0.7</v>
      </c>
      <c r="I37" s="53">
        <f t="shared" ref="I37:I55" si="1">IF(A37&lt;&gt;0,(B37-(B36-D36))/(A37-A36),"")</f>
        <v>9.3712500000000034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58</v>
      </c>
      <c r="B38" s="60">
        <v>235.87</v>
      </c>
      <c r="C38" s="60">
        <v>3</v>
      </c>
      <c r="D38" s="60">
        <v>44.93</v>
      </c>
      <c r="E38" s="51">
        <v>0.3</v>
      </c>
      <c r="F38" s="51">
        <v>0</v>
      </c>
      <c r="G38" s="51">
        <v>0</v>
      </c>
      <c r="H38" s="51">
        <v>0.7</v>
      </c>
      <c r="I38" s="53">
        <f t="shared" si="1"/>
        <v>9.5537500000000009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66</v>
      </c>
      <c r="B39" s="60">
        <v>264.95999999999998</v>
      </c>
      <c r="C39" s="60">
        <v>4</v>
      </c>
      <c r="D39" s="60">
        <v>49.91</v>
      </c>
      <c r="E39" s="51">
        <v>0.6</v>
      </c>
      <c r="F39" s="51">
        <v>0</v>
      </c>
      <c r="G39" s="51">
        <v>0</v>
      </c>
      <c r="H39" s="51">
        <v>0.4</v>
      </c>
      <c r="I39" s="49">
        <f t="shared" si="1"/>
        <v>9.2524999999999977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74</v>
      </c>
      <c r="B40" s="60">
        <v>285.98</v>
      </c>
      <c r="C40" s="60">
        <v>5</v>
      </c>
      <c r="D40" s="60">
        <v>47.4</v>
      </c>
      <c r="E40" s="51">
        <v>0.6</v>
      </c>
      <c r="F40" s="51">
        <v>0</v>
      </c>
      <c r="G40" s="51">
        <v>0</v>
      </c>
      <c r="H40" s="51">
        <v>0.4</v>
      </c>
      <c r="I40" s="49">
        <f t="shared" si="1"/>
        <v>8.8662500000000044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84</v>
      </c>
      <c r="B41" s="60">
        <v>325.35000000000002</v>
      </c>
      <c r="C41" s="60">
        <v>6</v>
      </c>
      <c r="D41" s="60">
        <v>61.47</v>
      </c>
      <c r="E41" s="51">
        <v>0.6</v>
      </c>
      <c r="F41" s="51">
        <v>0</v>
      </c>
      <c r="G41" s="51">
        <v>0</v>
      </c>
      <c r="H41" s="51">
        <v>0.4</v>
      </c>
      <c r="I41" s="53">
        <f t="shared" si="1"/>
        <v>8.6770000000000014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94</v>
      </c>
      <c r="B42" s="60">
        <v>346.79</v>
      </c>
      <c r="C42" s="60">
        <v>7</v>
      </c>
      <c r="D42" s="60">
        <v>61.85</v>
      </c>
      <c r="E42" s="51">
        <v>0.6</v>
      </c>
      <c r="F42" s="51">
        <v>0</v>
      </c>
      <c r="G42" s="51">
        <v>0</v>
      </c>
      <c r="H42" s="51">
        <v>0.4</v>
      </c>
      <c r="I42" s="53">
        <f t="shared" si="1"/>
        <v>8.2910000000000021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104</v>
      </c>
      <c r="B43" s="60">
        <v>365.41</v>
      </c>
      <c r="C43" s="60">
        <v>8</v>
      </c>
      <c r="D43" s="60">
        <v>60.19</v>
      </c>
      <c r="E43" s="51">
        <v>0.6</v>
      </c>
      <c r="F43" s="51">
        <v>0</v>
      </c>
      <c r="G43" s="51">
        <v>0</v>
      </c>
      <c r="H43" s="51">
        <v>0.4</v>
      </c>
      <c r="I43" s="49">
        <f t="shared" si="1"/>
        <v>8.0470000000000024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114</v>
      </c>
      <c r="B44" s="60">
        <v>384.57</v>
      </c>
      <c r="C44" s="60">
        <v>9</v>
      </c>
      <c r="D44" s="60">
        <v>56.07</v>
      </c>
      <c r="E44" s="51">
        <v>0.6</v>
      </c>
      <c r="F44" s="51">
        <v>0</v>
      </c>
      <c r="G44" s="51">
        <v>0</v>
      </c>
      <c r="H44" s="51">
        <v>0.4</v>
      </c>
      <c r="I44" s="49">
        <f t="shared" si="1"/>
        <v>7.9349999999999969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>
        <v>124</v>
      </c>
      <c r="B45" s="60">
        <v>408.42</v>
      </c>
      <c r="C45" s="60">
        <v>10</v>
      </c>
      <c r="D45" s="60">
        <v>52.53</v>
      </c>
      <c r="E45" s="51">
        <v>0.6</v>
      </c>
      <c r="F45" s="51">
        <v>0</v>
      </c>
      <c r="G45" s="51">
        <v>0</v>
      </c>
      <c r="H45" s="51">
        <v>0.4</v>
      </c>
      <c r="I45" s="49">
        <f t="shared" si="1"/>
        <v>7.9920000000000018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>
        <v>134</v>
      </c>
      <c r="B46" s="60">
        <v>436.59</v>
      </c>
      <c r="C46" s="60">
        <v>11</v>
      </c>
      <c r="D46" s="60">
        <v>54.95</v>
      </c>
      <c r="E46" s="51">
        <v>0.6</v>
      </c>
      <c r="F46" s="51">
        <v>0</v>
      </c>
      <c r="G46" s="51">
        <v>0</v>
      </c>
      <c r="H46" s="51">
        <v>0.4</v>
      </c>
      <c r="I46" s="49">
        <f t="shared" si="1"/>
        <v>8.0699999999999985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>
        <v>144</v>
      </c>
      <c r="B47" s="60">
        <v>463.23</v>
      </c>
      <c r="C47" s="60">
        <v>12</v>
      </c>
      <c r="D47" s="60">
        <v>56.01</v>
      </c>
      <c r="E47" s="51">
        <v>0.6</v>
      </c>
      <c r="F47" s="51">
        <v>0</v>
      </c>
      <c r="G47" s="51">
        <v>0</v>
      </c>
      <c r="H47" s="51">
        <v>0.4</v>
      </c>
      <c r="I47" s="49">
        <f t="shared" si="1"/>
        <v>8.1590000000000025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>
        <v>154</v>
      </c>
      <c r="B48" s="60">
        <v>490.47</v>
      </c>
      <c r="C48" s="60">
        <v>13</v>
      </c>
      <c r="D48" s="60">
        <v>55.13</v>
      </c>
      <c r="E48" s="51">
        <v>0.6</v>
      </c>
      <c r="F48" s="51">
        <v>0</v>
      </c>
      <c r="G48" s="51">
        <v>0</v>
      </c>
      <c r="H48" s="51">
        <v>0.4</v>
      </c>
      <c r="I48" s="49">
        <f t="shared" si="1"/>
        <v>8.3249999999999993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>
        <v>164</v>
      </c>
      <c r="B49" s="60">
        <v>519.77</v>
      </c>
      <c r="C49" s="60">
        <v>14</v>
      </c>
      <c r="D49" s="60">
        <v>59.58</v>
      </c>
      <c r="E49" s="51">
        <v>0.6</v>
      </c>
      <c r="F49" s="51">
        <v>0</v>
      </c>
      <c r="G49" s="51">
        <v>0</v>
      </c>
      <c r="H49" s="51">
        <v>0.4</v>
      </c>
      <c r="I49" s="49">
        <f t="shared" si="1"/>
        <v>8.4429999999999943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>
        <v>174</v>
      </c>
      <c r="B50" s="50">
        <v>545.65</v>
      </c>
      <c r="C50" s="50">
        <v>15</v>
      </c>
      <c r="D50" s="50">
        <v>214.77</v>
      </c>
      <c r="E50" s="51">
        <v>0.6</v>
      </c>
      <c r="F50" s="51">
        <v>0</v>
      </c>
      <c r="G50" s="51">
        <v>0</v>
      </c>
      <c r="H50" s="51">
        <v>0.4</v>
      </c>
      <c r="I50" s="49">
        <f t="shared" si="1"/>
        <v>8.5459999999999976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>
        <v>177</v>
      </c>
      <c r="B51" s="50">
        <v>347.04</v>
      </c>
      <c r="C51" s="50">
        <v>16</v>
      </c>
      <c r="D51" s="50">
        <v>115.19</v>
      </c>
      <c r="E51" s="51">
        <v>0.6</v>
      </c>
      <c r="F51" s="51">
        <v>0</v>
      </c>
      <c r="G51" s="51">
        <v>0</v>
      </c>
      <c r="H51" s="51">
        <v>0.4</v>
      </c>
      <c r="I51" s="49">
        <f t="shared" si="1"/>
        <v>5.3866666666666747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>
        <v>180</v>
      </c>
      <c r="B52" s="50">
        <v>241.62</v>
      </c>
      <c r="C52" s="50">
        <v>17</v>
      </c>
      <c r="D52" s="50">
        <v>77.72</v>
      </c>
      <c r="E52" s="51">
        <v>0.6</v>
      </c>
      <c r="F52" s="51">
        <v>0</v>
      </c>
      <c r="G52" s="51">
        <v>0</v>
      </c>
      <c r="H52" s="51">
        <v>0.4</v>
      </c>
      <c r="I52" s="49">
        <f t="shared" si="1"/>
        <v>3.2566666666666606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>
        <v>183</v>
      </c>
      <c r="B53" s="50">
        <v>169.76</v>
      </c>
      <c r="C53" s="50">
        <v>18</v>
      </c>
      <c r="D53" s="50">
        <v>169.76</v>
      </c>
      <c r="E53" s="51">
        <v>0.6</v>
      </c>
      <c r="F53" s="51">
        <v>0</v>
      </c>
      <c r="G53" s="51">
        <v>0</v>
      </c>
      <c r="H53" s="51">
        <v>0.4</v>
      </c>
      <c r="I53" s="49">
        <f t="shared" si="1"/>
        <v>1.9533333333333285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18</v>
      </c>
      <c r="B58" s="52" t="str">
        <f>IF(B10="","",B10)</f>
        <v>Chêne pubescent</v>
      </c>
      <c r="D58" s="229" t="s">
        <v>41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42</v>
      </c>
      <c r="C60" s="258" t="s">
        <v>43</v>
      </c>
      <c r="D60" s="258"/>
      <c r="E60" s="259" t="s">
        <v>44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45</v>
      </c>
      <c r="B61" s="36" t="s">
        <v>46</v>
      </c>
      <c r="C61" s="48" t="s">
        <v>47</v>
      </c>
      <c r="D61" s="48" t="s">
        <v>48</v>
      </c>
      <c r="E61" s="36" t="s">
        <v>49</v>
      </c>
      <c r="F61" s="36" t="s">
        <v>50</v>
      </c>
      <c r="G61" s="36" t="s">
        <v>51</v>
      </c>
      <c r="H61" s="36" t="s">
        <v>52</v>
      </c>
      <c r="I61" s="48" t="s">
        <v>53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42</v>
      </c>
      <c r="B62" s="60">
        <v>163.26</v>
      </c>
      <c r="C62" s="60">
        <v>1</v>
      </c>
      <c r="D62" s="60">
        <v>43.21</v>
      </c>
      <c r="E62" s="51">
        <v>0.3</v>
      </c>
      <c r="F62" s="51">
        <v>0</v>
      </c>
      <c r="G62" s="51">
        <v>0</v>
      </c>
      <c r="H62" s="51">
        <v>0.7</v>
      </c>
      <c r="I62" s="53">
        <f>IFERROR(B62/A62,"")</f>
        <v>3.887142857142857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50</v>
      </c>
      <c r="B63" s="60">
        <v>195.02</v>
      </c>
      <c r="C63" s="60">
        <v>2</v>
      </c>
      <c r="D63" s="60">
        <v>35.58</v>
      </c>
      <c r="E63" s="51">
        <v>0.3</v>
      </c>
      <c r="F63" s="51">
        <v>0</v>
      </c>
      <c r="G63" s="51">
        <v>0</v>
      </c>
      <c r="H63" s="51">
        <v>0.7</v>
      </c>
      <c r="I63" s="49">
        <f>IF(A63&lt;&gt;0,(B63-(B62-D62))/(A63-A62),"")</f>
        <v>9.3712500000000034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58</v>
      </c>
      <c r="B64" s="60">
        <v>235.87</v>
      </c>
      <c r="C64" s="60">
        <v>3</v>
      </c>
      <c r="D64" s="60">
        <v>44.93</v>
      </c>
      <c r="E64" s="51">
        <v>0.3</v>
      </c>
      <c r="F64" s="51">
        <v>0</v>
      </c>
      <c r="G64" s="51">
        <v>0</v>
      </c>
      <c r="H64" s="51">
        <v>0.7</v>
      </c>
      <c r="I64" s="49">
        <f>IF(A64&lt;&gt;0,(B64-(B63-D63))/(A64-A63),"")</f>
        <v>9.5537500000000009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66</v>
      </c>
      <c r="B65" s="60">
        <v>264.95999999999998</v>
      </c>
      <c r="C65" s="60">
        <v>4</v>
      </c>
      <c r="D65" s="60">
        <v>49.91</v>
      </c>
      <c r="E65" s="51">
        <v>0.6</v>
      </c>
      <c r="F65" s="51">
        <v>0</v>
      </c>
      <c r="G65" s="51">
        <v>0</v>
      </c>
      <c r="H65" s="51">
        <v>0.4</v>
      </c>
      <c r="I65" s="49">
        <f>IF(A65&lt;&gt;0,(B65-(B64-D64))/(A65-A64),"")</f>
        <v>9.2524999999999977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74</v>
      </c>
      <c r="B66" s="60">
        <v>285.98</v>
      </c>
      <c r="C66" s="60">
        <v>5</v>
      </c>
      <c r="D66" s="60">
        <v>47.4</v>
      </c>
      <c r="E66" s="51">
        <v>0.6</v>
      </c>
      <c r="F66" s="51">
        <v>0</v>
      </c>
      <c r="G66" s="51">
        <v>0</v>
      </c>
      <c r="H66" s="51">
        <v>0.4</v>
      </c>
      <c r="I66" s="49">
        <f t="shared" ref="I66:I81" si="2">IF(A66&lt;&gt;0,(B66-(B65-D65))/(A66-A65),"")</f>
        <v>8.8662500000000044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84</v>
      </c>
      <c r="B67" s="60">
        <v>325.35000000000002</v>
      </c>
      <c r="C67" s="60">
        <v>6</v>
      </c>
      <c r="D67" s="60">
        <v>61.47</v>
      </c>
      <c r="E67" s="51">
        <v>0.6</v>
      </c>
      <c r="F67" s="51">
        <v>0</v>
      </c>
      <c r="G67" s="51">
        <v>0</v>
      </c>
      <c r="H67" s="51">
        <v>0.4</v>
      </c>
      <c r="I67" s="49">
        <f t="shared" si="2"/>
        <v>8.6770000000000014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94</v>
      </c>
      <c r="B68" s="60">
        <v>346.79</v>
      </c>
      <c r="C68" s="60">
        <v>7</v>
      </c>
      <c r="D68" s="60">
        <v>61.85</v>
      </c>
      <c r="E68" s="51">
        <v>0.6</v>
      </c>
      <c r="F68" s="51">
        <v>0</v>
      </c>
      <c r="G68" s="51">
        <v>0</v>
      </c>
      <c r="H68" s="51">
        <v>0.4</v>
      </c>
      <c r="I68" s="49">
        <f t="shared" si="2"/>
        <v>8.2910000000000021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104</v>
      </c>
      <c r="B69" s="50">
        <v>365.41</v>
      </c>
      <c r="C69" s="50">
        <v>8</v>
      </c>
      <c r="D69" s="50">
        <v>60.19</v>
      </c>
      <c r="E69" s="51">
        <v>0.6</v>
      </c>
      <c r="F69" s="51">
        <v>0</v>
      </c>
      <c r="G69" s="51">
        <v>0</v>
      </c>
      <c r="H69" s="51">
        <v>0.4</v>
      </c>
      <c r="I69" s="49">
        <f t="shared" si="2"/>
        <v>8.0470000000000024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114</v>
      </c>
      <c r="B70" s="50">
        <v>384.57</v>
      </c>
      <c r="C70" s="50">
        <v>9</v>
      </c>
      <c r="D70" s="50">
        <v>56.07</v>
      </c>
      <c r="E70" s="51">
        <v>0.6</v>
      </c>
      <c r="F70" s="51">
        <v>0</v>
      </c>
      <c r="G70" s="51">
        <v>0</v>
      </c>
      <c r="H70" s="51">
        <v>0.4</v>
      </c>
      <c r="I70" s="49">
        <f t="shared" si="2"/>
        <v>7.9349999999999969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124</v>
      </c>
      <c r="B71" s="50">
        <v>408.42</v>
      </c>
      <c r="C71" s="50">
        <v>10</v>
      </c>
      <c r="D71" s="50">
        <v>52.53</v>
      </c>
      <c r="E71" s="51">
        <v>0.6</v>
      </c>
      <c r="F71" s="51">
        <v>0</v>
      </c>
      <c r="G71" s="51">
        <v>0</v>
      </c>
      <c r="H71" s="51">
        <v>0.4</v>
      </c>
      <c r="I71" s="49">
        <f t="shared" si="2"/>
        <v>7.9920000000000018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>
        <v>134</v>
      </c>
      <c r="B72" s="50">
        <v>436.59</v>
      </c>
      <c r="C72" s="50">
        <v>11</v>
      </c>
      <c r="D72" s="50">
        <v>54.95</v>
      </c>
      <c r="E72" s="51">
        <v>0.6</v>
      </c>
      <c r="F72" s="51">
        <v>0</v>
      </c>
      <c r="G72" s="51">
        <v>0</v>
      </c>
      <c r="H72" s="51">
        <v>0.4</v>
      </c>
      <c r="I72" s="49">
        <f t="shared" si="2"/>
        <v>8.0699999999999985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>
        <v>144</v>
      </c>
      <c r="B73" s="50">
        <v>463.23</v>
      </c>
      <c r="C73" s="50">
        <v>12</v>
      </c>
      <c r="D73" s="50">
        <v>56.01</v>
      </c>
      <c r="E73" s="51">
        <v>0.6</v>
      </c>
      <c r="F73" s="51">
        <v>0</v>
      </c>
      <c r="G73" s="51">
        <v>0</v>
      </c>
      <c r="H73" s="51">
        <v>0.4</v>
      </c>
      <c r="I73" s="49">
        <f t="shared" si="2"/>
        <v>8.1590000000000025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>
        <v>154</v>
      </c>
      <c r="B74" s="50">
        <v>490.47</v>
      </c>
      <c r="C74" s="50">
        <v>13</v>
      </c>
      <c r="D74" s="50">
        <v>55.13</v>
      </c>
      <c r="E74" s="51">
        <v>0.6</v>
      </c>
      <c r="F74" s="51">
        <v>0</v>
      </c>
      <c r="G74" s="51">
        <v>0</v>
      </c>
      <c r="H74" s="51">
        <v>0.4</v>
      </c>
      <c r="I74" s="49">
        <f t="shared" si="2"/>
        <v>8.3249999999999993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>
        <v>164</v>
      </c>
      <c r="B75" s="50">
        <v>519.77</v>
      </c>
      <c r="C75" s="50">
        <v>14</v>
      </c>
      <c r="D75" s="50">
        <v>59.58</v>
      </c>
      <c r="E75" s="51">
        <v>0.6</v>
      </c>
      <c r="F75" s="51">
        <v>0</v>
      </c>
      <c r="G75" s="51">
        <v>0</v>
      </c>
      <c r="H75" s="51">
        <v>0.4</v>
      </c>
      <c r="I75" s="49">
        <f t="shared" si="2"/>
        <v>8.4429999999999943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>
        <v>174</v>
      </c>
      <c r="B76" s="50">
        <v>545.65</v>
      </c>
      <c r="C76" s="50">
        <v>15</v>
      </c>
      <c r="D76" s="50">
        <v>214.77</v>
      </c>
      <c r="E76" s="51">
        <v>0.6</v>
      </c>
      <c r="F76" s="51">
        <v>0</v>
      </c>
      <c r="G76" s="51">
        <v>0</v>
      </c>
      <c r="H76" s="51">
        <v>0.4</v>
      </c>
      <c r="I76" s="49">
        <f t="shared" si="2"/>
        <v>8.5459999999999976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>
        <v>177</v>
      </c>
      <c r="B77" s="50">
        <v>347.04</v>
      </c>
      <c r="C77" s="50">
        <v>16</v>
      </c>
      <c r="D77" s="50">
        <v>115.19</v>
      </c>
      <c r="E77" s="51">
        <v>0.6</v>
      </c>
      <c r="F77" s="51">
        <v>0</v>
      </c>
      <c r="G77" s="51">
        <v>0</v>
      </c>
      <c r="H77" s="51">
        <v>0.4</v>
      </c>
      <c r="I77" s="49">
        <f t="shared" si="2"/>
        <v>5.3866666666666747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>
        <v>180</v>
      </c>
      <c r="B78" s="50">
        <v>241.62</v>
      </c>
      <c r="C78" s="50">
        <v>17</v>
      </c>
      <c r="D78" s="50">
        <v>77.72</v>
      </c>
      <c r="E78" s="51">
        <v>0.6</v>
      </c>
      <c r="F78" s="51">
        <v>0</v>
      </c>
      <c r="G78" s="51">
        <v>0</v>
      </c>
      <c r="H78" s="51">
        <v>0.4</v>
      </c>
      <c r="I78" s="49">
        <f t="shared" si="2"/>
        <v>3.2566666666666606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>
        <v>183</v>
      </c>
      <c r="B79" s="50">
        <v>169.76</v>
      </c>
      <c r="C79" s="50">
        <v>18</v>
      </c>
      <c r="D79" s="50">
        <v>169.76</v>
      </c>
      <c r="E79" s="51">
        <v>0.6</v>
      </c>
      <c r="F79" s="51">
        <v>0</v>
      </c>
      <c r="G79" s="51">
        <v>0</v>
      </c>
      <c r="H79" s="51">
        <v>0.4</v>
      </c>
      <c r="I79" s="49">
        <f t="shared" si="2"/>
        <v>1.9533333333333285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19</v>
      </c>
      <c r="B84" s="52" t="str">
        <f>IF(B11="","",B11)</f>
        <v>Alisier torminal</v>
      </c>
      <c r="D84" s="229" t="s">
        <v>41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42</v>
      </c>
      <c r="C86" s="258" t="s">
        <v>43</v>
      </c>
      <c r="D86" s="258"/>
      <c r="E86" s="259" t="s">
        <v>44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45</v>
      </c>
      <c r="B87" s="36" t="s">
        <v>46</v>
      </c>
      <c r="C87" s="48" t="s">
        <v>47</v>
      </c>
      <c r="D87" s="48" t="s">
        <v>48</v>
      </c>
      <c r="E87" s="36" t="s">
        <v>49</v>
      </c>
      <c r="F87" s="36" t="s">
        <v>50</v>
      </c>
      <c r="G87" s="36" t="s">
        <v>51</v>
      </c>
      <c r="H87" s="36" t="s">
        <v>52</v>
      </c>
      <c r="I87" s="48" t="s">
        <v>53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42</v>
      </c>
      <c r="B88" s="60">
        <v>163.26</v>
      </c>
      <c r="C88" s="60">
        <v>1</v>
      </c>
      <c r="D88" s="60">
        <v>43.21</v>
      </c>
      <c r="E88" s="51">
        <v>0.3</v>
      </c>
      <c r="F88" s="51">
        <v>0</v>
      </c>
      <c r="G88" s="51">
        <v>0</v>
      </c>
      <c r="H88" s="87">
        <v>0.7</v>
      </c>
      <c r="I88" s="53">
        <f>IFERROR(B88/A88,"")</f>
        <v>3.887142857142857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50</v>
      </c>
      <c r="B89" s="60">
        <v>195.02</v>
      </c>
      <c r="C89" s="60">
        <v>2</v>
      </c>
      <c r="D89" s="60">
        <v>35.58</v>
      </c>
      <c r="E89" s="51">
        <v>0.3</v>
      </c>
      <c r="F89" s="51">
        <v>0</v>
      </c>
      <c r="G89" s="51">
        <v>0</v>
      </c>
      <c r="H89" s="87">
        <v>0.7</v>
      </c>
      <c r="I89" s="53">
        <f t="shared" ref="I89:I107" si="3">IF(A89&lt;&gt;0,(B89-(B88-D88))/(A89-A88),"")</f>
        <v>9.3712500000000034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58</v>
      </c>
      <c r="B90" s="60">
        <v>235.87</v>
      </c>
      <c r="C90" s="60">
        <v>3</v>
      </c>
      <c r="D90" s="60">
        <v>44.93</v>
      </c>
      <c r="E90" s="87">
        <v>0.3</v>
      </c>
      <c r="F90" s="87">
        <v>0</v>
      </c>
      <c r="G90" s="87">
        <v>0</v>
      </c>
      <c r="H90" s="87">
        <v>0.7</v>
      </c>
      <c r="I90" s="53">
        <f t="shared" si="3"/>
        <v>9.5537500000000009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66</v>
      </c>
      <c r="B91" s="60">
        <v>264.95999999999998</v>
      </c>
      <c r="C91" s="60">
        <v>4</v>
      </c>
      <c r="D91" s="60">
        <v>49.91</v>
      </c>
      <c r="E91" s="87">
        <v>0.6</v>
      </c>
      <c r="F91" s="87">
        <v>0</v>
      </c>
      <c r="G91" s="87">
        <v>0</v>
      </c>
      <c r="H91" s="87">
        <v>0.4</v>
      </c>
      <c r="I91" s="53">
        <f t="shared" si="3"/>
        <v>9.2524999999999977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74</v>
      </c>
      <c r="B92" s="60">
        <v>285.98</v>
      </c>
      <c r="C92" s="60">
        <v>5</v>
      </c>
      <c r="D92" s="60">
        <v>47.4</v>
      </c>
      <c r="E92" s="87">
        <v>0.6</v>
      </c>
      <c r="F92" s="87">
        <v>0</v>
      </c>
      <c r="G92" s="87">
        <v>0</v>
      </c>
      <c r="H92" s="87">
        <v>0.4</v>
      </c>
      <c r="I92" s="53">
        <f t="shared" si="3"/>
        <v>8.8662500000000044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84</v>
      </c>
      <c r="B93" s="60">
        <v>325.35000000000002</v>
      </c>
      <c r="C93" s="60">
        <v>6</v>
      </c>
      <c r="D93" s="60">
        <v>61.47</v>
      </c>
      <c r="E93" s="87">
        <v>0.6</v>
      </c>
      <c r="F93" s="87">
        <v>0</v>
      </c>
      <c r="G93" s="87">
        <v>0</v>
      </c>
      <c r="H93" s="87">
        <v>0.4</v>
      </c>
      <c r="I93" s="53">
        <f t="shared" si="3"/>
        <v>8.6770000000000014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94</v>
      </c>
      <c r="B94" s="60">
        <v>346.79</v>
      </c>
      <c r="C94" s="60">
        <v>7</v>
      </c>
      <c r="D94" s="60">
        <v>61.85</v>
      </c>
      <c r="E94" s="87">
        <v>0.6</v>
      </c>
      <c r="F94" s="87">
        <v>0</v>
      </c>
      <c r="G94" s="87">
        <v>0</v>
      </c>
      <c r="H94" s="87">
        <v>0.4</v>
      </c>
      <c r="I94" s="53">
        <f t="shared" si="3"/>
        <v>8.2910000000000021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>
        <v>104</v>
      </c>
      <c r="B95" s="60">
        <v>365.41</v>
      </c>
      <c r="C95" s="60">
        <v>8</v>
      </c>
      <c r="D95" s="60">
        <v>60.19</v>
      </c>
      <c r="E95" s="87">
        <v>0.6</v>
      </c>
      <c r="F95" s="87">
        <v>0</v>
      </c>
      <c r="G95" s="87">
        <v>0</v>
      </c>
      <c r="H95" s="87">
        <v>0.4</v>
      </c>
      <c r="I95" s="53">
        <f t="shared" si="3"/>
        <v>8.0470000000000024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>
        <v>114</v>
      </c>
      <c r="B96" s="60">
        <v>384.57</v>
      </c>
      <c r="C96" s="60">
        <v>9</v>
      </c>
      <c r="D96" s="60">
        <v>56.07</v>
      </c>
      <c r="E96" s="87">
        <v>0.6</v>
      </c>
      <c r="F96" s="87">
        <v>0</v>
      </c>
      <c r="G96" s="87">
        <v>0</v>
      </c>
      <c r="H96" s="87">
        <v>0.4</v>
      </c>
      <c r="I96" s="53">
        <f t="shared" si="3"/>
        <v>7.9349999999999969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>
        <v>124</v>
      </c>
      <c r="B97" s="60">
        <v>408.42</v>
      </c>
      <c r="C97" s="60">
        <v>10</v>
      </c>
      <c r="D97" s="60">
        <v>52.53</v>
      </c>
      <c r="E97" s="87">
        <v>0.6</v>
      </c>
      <c r="F97" s="87">
        <v>0</v>
      </c>
      <c r="G97" s="87">
        <v>0</v>
      </c>
      <c r="H97" s="87">
        <v>0.4</v>
      </c>
      <c r="I97" s="53">
        <f t="shared" si="3"/>
        <v>7.9920000000000018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>
        <v>134</v>
      </c>
      <c r="B98" s="60">
        <v>436.59</v>
      </c>
      <c r="C98" s="60">
        <v>11</v>
      </c>
      <c r="D98" s="60">
        <v>54.95</v>
      </c>
      <c r="E98" s="87">
        <v>0.6</v>
      </c>
      <c r="F98" s="87">
        <v>0</v>
      </c>
      <c r="G98" s="87">
        <v>0</v>
      </c>
      <c r="H98" s="87">
        <v>0.4</v>
      </c>
      <c r="I98" s="53">
        <f t="shared" si="3"/>
        <v>8.0699999999999985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>
        <v>144</v>
      </c>
      <c r="B99" s="60">
        <v>463.23</v>
      </c>
      <c r="C99" s="60">
        <v>12</v>
      </c>
      <c r="D99" s="60">
        <v>56.01</v>
      </c>
      <c r="E99" s="87">
        <v>0.6</v>
      </c>
      <c r="F99" s="87">
        <v>0</v>
      </c>
      <c r="G99" s="87">
        <v>0</v>
      </c>
      <c r="H99" s="87">
        <v>0.4</v>
      </c>
      <c r="I99" s="53">
        <f t="shared" si="3"/>
        <v>8.1590000000000025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>
        <v>154</v>
      </c>
      <c r="B100" s="60">
        <v>490.47</v>
      </c>
      <c r="C100" s="60">
        <v>13</v>
      </c>
      <c r="D100" s="60">
        <v>55.13</v>
      </c>
      <c r="E100" s="65">
        <v>0.6</v>
      </c>
      <c r="F100" s="65">
        <v>0</v>
      </c>
      <c r="G100" s="65">
        <v>0</v>
      </c>
      <c r="H100" s="65">
        <v>0.4</v>
      </c>
      <c r="I100" s="53">
        <f t="shared" si="3"/>
        <v>8.3249999999999993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>
        <v>164</v>
      </c>
      <c r="B101" s="60">
        <v>519.77</v>
      </c>
      <c r="C101" s="60">
        <v>14</v>
      </c>
      <c r="D101" s="60">
        <v>59.58</v>
      </c>
      <c r="E101" s="65">
        <v>0.6</v>
      </c>
      <c r="F101" s="65">
        <v>0</v>
      </c>
      <c r="G101" s="65">
        <v>0</v>
      </c>
      <c r="H101" s="65">
        <v>0.4</v>
      </c>
      <c r="I101" s="53">
        <f t="shared" si="3"/>
        <v>8.4429999999999943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>
        <v>174</v>
      </c>
      <c r="B102" s="50">
        <v>545.65</v>
      </c>
      <c r="C102" s="60">
        <v>15</v>
      </c>
      <c r="D102" s="50">
        <v>214.77</v>
      </c>
      <c r="E102" s="54">
        <v>0.6</v>
      </c>
      <c r="F102" s="54">
        <v>0</v>
      </c>
      <c r="G102" s="54">
        <v>0</v>
      </c>
      <c r="H102" s="54">
        <v>0.4</v>
      </c>
      <c r="I102" s="53">
        <f t="shared" si="3"/>
        <v>8.5459999999999976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>
        <v>177</v>
      </c>
      <c r="B103" s="50">
        <v>347.04</v>
      </c>
      <c r="C103" s="60">
        <v>16</v>
      </c>
      <c r="D103" s="50">
        <v>115.19</v>
      </c>
      <c r="E103" s="54">
        <v>0.6</v>
      </c>
      <c r="F103" s="54">
        <v>0</v>
      </c>
      <c r="G103" s="54">
        <v>0</v>
      </c>
      <c r="H103" s="54">
        <v>0.4</v>
      </c>
      <c r="I103" s="53">
        <f t="shared" si="3"/>
        <v>5.3866666666666747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>
        <v>180</v>
      </c>
      <c r="B104" s="50">
        <v>241.62</v>
      </c>
      <c r="C104" s="60">
        <v>17</v>
      </c>
      <c r="D104" s="50">
        <v>77.72</v>
      </c>
      <c r="E104" s="54">
        <v>0.6</v>
      </c>
      <c r="F104" s="54">
        <v>0</v>
      </c>
      <c r="G104" s="54">
        <v>0</v>
      </c>
      <c r="H104" s="54">
        <v>0.4</v>
      </c>
      <c r="I104" s="53">
        <f t="shared" si="3"/>
        <v>3.2566666666666606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>
        <v>183</v>
      </c>
      <c r="B105" s="50">
        <v>169.76</v>
      </c>
      <c r="C105" s="50">
        <v>18</v>
      </c>
      <c r="D105" s="50">
        <v>169.76</v>
      </c>
      <c r="E105" s="54">
        <v>0.6</v>
      </c>
      <c r="F105" s="54">
        <v>0</v>
      </c>
      <c r="G105" s="54">
        <v>0</v>
      </c>
      <c r="H105" s="54">
        <v>0.4</v>
      </c>
      <c r="I105" s="53">
        <f t="shared" si="3"/>
        <v>1.9533333333333285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20</v>
      </c>
      <c r="B110" s="52" t="str">
        <f>IF(B12="","",B12)</f>
        <v>Robinier faux-acacia</v>
      </c>
      <c r="D110" s="229" t="s">
        <v>41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42</v>
      </c>
      <c r="C112" s="258" t="s">
        <v>43</v>
      </c>
      <c r="D112" s="258"/>
      <c r="E112" s="259" t="s">
        <v>44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45</v>
      </c>
      <c r="B113" s="36" t="s">
        <v>46</v>
      </c>
      <c r="C113" s="48" t="s">
        <v>47</v>
      </c>
      <c r="D113" s="48" t="s">
        <v>48</v>
      </c>
      <c r="E113" s="36" t="s">
        <v>49</v>
      </c>
      <c r="F113" s="36" t="s">
        <v>50</v>
      </c>
      <c r="G113" s="36" t="s">
        <v>51</v>
      </c>
      <c r="H113" s="36" t="s">
        <v>52</v>
      </c>
      <c r="I113" s="48" t="s">
        <v>53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>
        <v>5</v>
      </c>
      <c r="B114" s="60">
        <v>21.794871794871796</v>
      </c>
      <c r="C114" s="50">
        <v>1</v>
      </c>
      <c r="D114" s="60">
        <v>3.8461538461538458</v>
      </c>
      <c r="E114" s="51">
        <v>0</v>
      </c>
      <c r="F114" s="51">
        <v>0.5</v>
      </c>
      <c r="G114" s="51">
        <v>0</v>
      </c>
      <c r="H114" s="51">
        <v>0.5</v>
      </c>
      <c r="I114" s="53">
        <f>IFERROR(B114/A114,"")</f>
        <v>4.3589743589743595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>
        <v>10</v>
      </c>
      <c r="B115" s="60">
        <v>63.46153846153846</v>
      </c>
      <c r="C115" s="50">
        <v>2</v>
      </c>
      <c r="D115" s="60">
        <v>17.948717948717949</v>
      </c>
      <c r="E115" s="51">
        <v>0</v>
      </c>
      <c r="F115" s="51">
        <v>0.5</v>
      </c>
      <c r="G115" s="51">
        <v>0</v>
      </c>
      <c r="H115" s="51">
        <v>0.5</v>
      </c>
      <c r="I115" s="53">
        <f t="shared" ref="I115:I133" si="4">IF(A115&lt;&gt;0,(B115-(B114-D114))/(A115-A114),"")</f>
        <v>9.1025641025641022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>
        <v>15</v>
      </c>
      <c r="B116" s="60">
        <v>89.743589743589737</v>
      </c>
      <c r="C116" s="50">
        <v>3</v>
      </c>
      <c r="D116" s="60">
        <v>14.743589743589743</v>
      </c>
      <c r="E116" s="51">
        <v>0</v>
      </c>
      <c r="F116" s="51">
        <v>0.5</v>
      </c>
      <c r="G116" s="51">
        <v>0</v>
      </c>
      <c r="H116" s="51">
        <v>0.5</v>
      </c>
      <c r="I116" s="53">
        <f t="shared" si="4"/>
        <v>8.8461538461538449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>
        <v>20</v>
      </c>
      <c r="B117" s="60">
        <v>115.38461538461539</v>
      </c>
      <c r="C117" s="50">
        <v>4</v>
      </c>
      <c r="D117" s="60">
        <v>11.538461538461538</v>
      </c>
      <c r="E117" s="51">
        <v>0</v>
      </c>
      <c r="F117" s="51">
        <v>0.5</v>
      </c>
      <c r="G117" s="51">
        <v>0</v>
      </c>
      <c r="H117" s="51">
        <v>0.5</v>
      </c>
      <c r="I117" s="53">
        <f t="shared" si="4"/>
        <v>8.0769230769230766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>
        <v>25</v>
      </c>
      <c r="B118" s="60">
        <v>137.17948717948718</v>
      </c>
      <c r="C118" s="50">
        <v>5</v>
      </c>
      <c r="D118" s="60">
        <v>8.9743589743589745</v>
      </c>
      <c r="E118" s="51">
        <v>0</v>
      </c>
      <c r="F118" s="51">
        <v>0.5</v>
      </c>
      <c r="G118" s="51">
        <v>0</v>
      </c>
      <c r="H118" s="51">
        <v>0.5</v>
      </c>
      <c r="I118" s="53">
        <f t="shared" si="4"/>
        <v>6.6666666666666661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>
        <v>30</v>
      </c>
      <c r="B119" s="60">
        <v>155.76923076923077</v>
      </c>
      <c r="C119" s="50">
        <v>6</v>
      </c>
      <c r="D119" s="60">
        <v>7.0512820512820511</v>
      </c>
      <c r="E119" s="51">
        <v>0</v>
      </c>
      <c r="F119" s="51">
        <v>0.5</v>
      </c>
      <c r="G119" s="51">
        <v>0</v>
      </c>
      <c r="H119" s="51">
        <v>0.5</v>
      </c>
      <c r="I119" s="53">
        <f t="shared" si="4"/>
        <v>5.5128205128205137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>
        <v>35</v>
      </c>
      <c r="B120" s="60">
        <v>171.15384615384616</v>
      </c>
      <c r="C120" s="60">
        <v>7</v>
      </c>
      <c r="D120" s="60">
        <v>5.7692307692307692</v>
      </c>
      <c r="E120" s="87">
        <v>0.6</v>
      </c>
      <c r="F120" s="87">
        <v>0.2</v>
      </c>
      <c r="G120" s="87">
        <v>0</v>
      </c>
      <c r="H120" s="87">
        <v>0.2</v>
      </c>
      <c r="I120" s="53">
        <f t="shared" si="4"/>
        <v>4.4871794871794863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>
        <v>40</v>
      </c>
      <c r="B121" s="60">
        <v>185.25641025641025</v>
      </c>
      <c r="C121" s="60">
        <v>8</v>
      </c>
      <c r="D121" s="60">
        <v>4.4871794871794872</v>
      </c>
      <c r="E121" s="87">
        <v>0.6</v>
      </c>
      <c r="F121" s="87">
        <v>0.2</v>
      </c>
      <c r="G121" s="87">
        <v>0</v>
      </c>
      <c r="H121" s="87">
        <v>0.2</v>
      </c>
      <c r="I121" s="53">
        <f t="shared" si="4"/>
        <v>3.9743589743589722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>
        <v>45</v>
      </c>
      <c r="B122" s="60">
        <v>200</v>
      </c>
      <c r="C122" s="60">
        <v>9</v>
      </c>
      <c r="D122" s="60">
        <v>200</v>
      </c>
      <c r="E122" s="87">
        <v>0.6</v>
      </c>
      <c r="F122" s="87">
        <v>0.3</v>
      </c>
      <c r="G122" s="87">
        <v>0</v>
      </c>
      <c r="H122" s="87">
        <v>0.1</v>
      </c>
      <c r="I122" s="53">
        <f t="shared" si="4"/>
        <v>3.8461538461538454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21</v>
      </c>
      <c r="B136" s="52" t="str">
        <f>IF(B13="","",B13)</f>
        <v/>
      </c>
      <c r="D136" s="229" t="s">
        <v>41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42</v>
      </c>
      <c r="C138" s="258" t="s">
        <v>43</v>
      </c>
      <c r="D138" s="258"/>
      <c r="E138" s="259" t="s">
        <v>44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45</v>
      </c>
      <c r="B139" s="36" t="s">
        <v>46</v>
      </c>
      <c r="C139" s="48" t="s">
        <v>47</v>
      </c>
      <c r="D139" s="48" t="s">
        <v>48</v>
      </c>
      <c r="E139" s="36" t="s">
        <v>49</v>
      </c>
      <c r="F139" s="36" t="s">
        <v>50</v>
      </c>
      <c r="G139" s="36" t="s">
        <v>51</v>
      </c>
      <c r="H139" s="36" t="s">
        <v>52</v>
      </c>
      <c r="I139" s="48" t="s">
        <v>53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22</v>
      </c>
      <c r="B162" s="52" t="str">
        <f>IF(B14="","",B14)</f>
        <v/>
      </c>
      <c r="D162" s="229" t="s">
        <v>41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42</v>
      </c>
      <c r="C164" s="258" t="s">
        <v>43</v>
      </c>
      <c r="D164" s="258"/>
      <c r="E164" s="259" t="s">
        <v>44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45</v>
      </c>
      <c r="B165" s="36" t="s">
        <v>46</v>
      </c>
      <c r="C165" s="48" t="s">
        <v>47</v>
      </c>
      <c r="D165" s="48" t="s">
        <v>48</v>
      </c>
      <c r="E165" s="36" t="s">
        <v>49</v>
      </c>
      <c r="F165" s="36" t="s">
        <v>50</v>
      </c>
      <c r="G165" s="36" t="s">
        <v>51</v>
      </c>
      <c r="H165" s="36" t="s">
        <v>52</v>
      </c>
      <c r="I165" s="48" t="s">
        <v>53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23</v>
      </c>
      <c r="B188" s="52" t="str">
        <f>IF(B15="","",B15)</f>
        <v/>
      </c>
      <c r="D188" s="229" t="s">
        <v>41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42</v>
      </c>
      <c r="C190" s="258" t="s">
        <v>43</v>
      </c>
      <c r="D190" s="258"/>
      <c r="E190" s="259" t="s">
        <v>44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45</v>
      </c>
      <c r="B191" s="36" t="s">
        <v>46</v>
      </c>
      <c r="C191" s="48" t="s">
        <v>47</v>
      </c>
      <c r="D191" s="48" t="s">
        <v>48</v>
      </c>
      <c r="E191" s="36" t="s">
        <v>49</v>
      </c>
      <c r="F191" s="36" t="s">
        <v>50</v>
      </c>
      <c r="G191" s="36" t="s">
        <v>51</v>
      </c>
      <c r="H191" s="36" t="s">
        <v>52</v>
      </c>
      <c r="I191" s="48" t="s">
        <v>53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24</v>
      </c>
      <c r="B214" s="52" t="str">
        <f>IF(B16="","",B16)</f>
        <v/>
      </c>
      <c r="D214" s="229" t="s">
        <v>41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42</v>
      </c>
      <c r="C216" s="258" t="s">
        <v>43</v>
      </c>
      <c r="D216" s="258"/>
      <c r="E216" s="259" t="s">
        <v>44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45</v>
      </c>
      <c r="B217" s="36" t="s">
        <v>46</v>
      </c>
      <c r="C217" s="48" t="s">
        <v>47</v>
      </c>
      <c r="D217" s="48" t="s">
        <v>48</v>
      </c>
      <c r="E217" s="36" t="s">
        <v>49</v>
      </c>
      <c r="F217" s="36" t="s">
        <v>50</v>
      </c>
      <c r="G217" s="36" t="s">
        <v>51</v>
      </c>
      <c r="H217" s="36" t="s">
        <v>52</v>
      </c>
      <c r="I217" s="48" t="s">
        <v>53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25</v>
      </c>
      <c r="B240" s="52" t="str">
        <f>IF(B17="","",B17)</f>
        <v/>
      </c>
      <c r="D240" s="229" t="s">
        <v>41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42</v>
      </c>
      <c r="C242" s="258" t="s">
        <v>43</v>
      </c>
      <c r="D242" s="258"/>
      <c r="E242" s="259" t="s">
        <v>44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45</v>
      </c>
      <c r="B243" s="36" t="s">
        <v>46</v>
      </c>
      <c r="C243" s="48" t="s">
        <v>47</v>
      </c>
      <c r="D243" s="48" t="s">
        <v>48</v>
      </c>
      <c r="E243" s="36" t="s">
        <v>49</v>
      </c>
      <c r="F243" s="36" t="s">
        <v>50</v>
      </c>
      <c r="G243" s="36" t="s">
        <v>51</v>
      </c>
      <c r="H243" s="36" t="s">
        <v>52</v>
      </c>
      <c r="I243" s="48" t="s">
        <v>53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26</v>
      </c>
      <c r="B266" s="52" t="str">
        <f>IF(B18="","",B18)</f>
        <v/>
      </c>
      <c r="D266" s="229" t="s">
        <v>41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42</v>
      </c>
      <c r="C268" s="258" t="s">
        <v>43</v>
      </c>
      <c r="D268" s="258"/>
      <c r="E268" s="259" t="s">
        <v>44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45</v>
      </c>
      <c r="B269" s="36" t="s">
        <v>46</v>
      </c>
      <c r="C269" s="48" t="s">
        <v>47</v>
      </c>
      <c r="D269" s="48" t="s">
        <v>48</v>
      </c>
      <c r="E269" s="36" t="s">
        <v>49</v>
      </c>
      <c r="F269" s="36" t="s">
        <v>50</v>
      </c>
      <c r="G269" s="36" t="s">
        <v>51</v>
      </c>
      <c r="H269" s="36" t="s">
        <v>52</v>
      </c>
      <c r="I269" s="48" t="s">
        <v>53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20" sqref="G20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2" t="s">
        <v>54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55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56</v>
      </c>
      <c r="C7" s="100" t="s">
        <v>57</v>
      </c>
      <c r="D7" s="215"/>
      <c r="E7" s="101"/>
      <c r="F7" s="26" t="s">
        <v>56</v>
      </c>
      <c r="G7" s="100" t="s">
        <v>58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59</v>
      </c>
      <c r="D8" s="23"/>
      <c r="E8" s="105">
        <v>4</v>
      </c>
      <c r="F8" s="61">
        <v>1</v>
      </c>
      <c r="G8" s="102" t="s">
        <v>60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61</v>
      </c>
      <c r="D9" s="23"/>
      <c r="E9" s="105">
        <v>5</v>
      </c>
      <c r="F9" s="61">
        <v>0</v>
      </c>
      <c r="G9" s="103" t="s">
        <v>62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63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64</v>
      </c>
      <c r="D13" s="216"/>
      <c r="E13" s="99"/>
      <c r="F13" s="107"/>
      <c r="G13" s="98" t="s">
        <v>65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66</v>
      </c>
      <c r="D14" s="216"/>
      <c r="E14" s="99"/>
      <c r="F14" s="107"/>
      <c r="G14" s="98" t="s">
        <v>67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56</v>
      </c>
      <c r="C15" s="4"/>
      <c r="D15" s="23"/>
      <c r="E15" s="4"/>
      <c r="F15" s="4"/>
      <c r="G15" s="2" t="s">
        <v>131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69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70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71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8" t="s">
        <v>72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Chêne sessile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Chêne pubescent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Alisier torminal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Robinier faux-acacia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2" thickBot="1" x14ac:dyDescent="0.35">
      <c r="A2" s="71" t="s">
        <v>73</v>
      </c>
      <c r="B2" s="72" t="s">
        <v>74</v>
      </c>
      <c r="C2" s="5" t="s">
        <v>75</v>
      </c>
      <c r="D2" s="5" t="s">
        <v>76</v>
      </c>
      <c r="E2" s="5" t="s">
        <v>77</v>
      </c>
      <c r="F2" s="5" t="s">
        <v>78</v>
      </c>
      <c r="G2" s="5" t="s">
        <v>79</v>
      </c>
      <c r="H2" s="66" t="s">
        <v>80</v>
      </c>
      <c r="I2" s="68" t="s">
        <v>77</v>
      </c>
      <c r="J2" s="69" t="s">
        <v>78</v>
      </c>
      <c r="K2" s="6" t="s">
        <v>81</v>
      </c>
      <c r="L2" s="6" t="s">
        <v>82</v>
      </c>
      <c r="M2" s="6" t="s">
        <v>82</v>
      </c>
      <c r="N2" s="6" t="s">
        <v>83</v>
      </c>
      <c r="O2" s="6" t="s">
        <v>84</v>
      </c>
      <c r="P2" s="6" t="s">
        <v>85</v>
      </c>
      <c r="Q2" s="6" t="s">
        <v>79</v>
      </c>
      <c r="R2" s="6" t="s">
        <v>86</v>
      </c>
      <c r="S2" s="6" t="s">
        <v>87</v>
      </c>
      <c r="T2" s="6" t="s">
        <v>88</v>
      </c>
      <c r="U2" s="7" t="s">
        <v>89</v>
      </c>
      <c r="V2" s="8" t="s">
        <v>90</v>
      </c>
      <c r="W2" s="7" t="s">
        <v>49</v>
      </c>
      <c r="X2" s="7" t="s">
        <v>50</v>
      </c>
      <c r="Y2" s="7" t="s">
        <v>91</v>
      </c>
      <c r="Z2" s="8" t="s">
        <v>92</v>
      </c>
      <c r="AA2" s="8" t="s">
        <v>93</v>
      </c>
      <c r="AB2" s="8" t="s">
        <v>94</v>
      </c>
      <c r="AC2" s="9" t="s">
        <v>95</v>
      </c>
      <c r="AD2" s="69" t="s">
        <v>77</v>
      </c>
      <c r="AE2" s="69" t="s">
        <v>78</v>
      </c>
      <c r="AF2" s="6" t="s">
        <v>81</v>
      </c>
      <c r="AG2" s="6" t="s">
        <v>82</v>
      </c>
      <c r="AH2" s="6" t="s">
        <v>82</v>
      </c>
      <c r="AI2" s="6" t="s">
        <v>83</v>
      </c>
      <c r="AJ2" s="6" t="s">
        <v>84</v>
      </c>
      <c r="AK2" s="6" t="s">
        <v>85</v>
      </c>
      <c r="AL2" s="6" t="s">
        <v>79</v>
      </c>
      <c r="AM2" s="6" t="s">
        <v>86</v>
      </c>
      <c r="AN2" s="6" t="s">
        <v>87</v>
      </c>
      <c r="AO2" s="6" t="s">
        <v>88</v>
      </c>
      <c r="AP2" s="7" t="s">
        <v>89</v>
      </c>
      <c r="AQ2" s="8" t="s">
        <v>90</v>
      </c>
      <c r="AR2" s="7" t="s">
        <v>49</v>
      </c>
      <c r="AS2" s="7" t="s">
        <v>50</v>
      </c>
      <c r="AT2" s="8" t="s">
        <v>96</v>
      </c>
      <c r="AU2" s="8" t="s">
        <v>92</v>
      </c>
      <c r="AV2" s="8" t="s">
        <v>93</v>
      </c>
      <c r="AW2" s="8" t="s">
        <v>94</v>
      </c>
      <c r="AX2" s="8" t="s">
        <v>95</v>
      </c>
      <c r="AY2" s="68" t="s">
        <v>77</v>
      </c>
      <c r="AZ2" s="69" t="s">
        <v>78</v>
      </c>
      <c r="BA2" s="6" t="s">
        <v>81</v>
      </c>
      <c r="BB2" s="6" t="s">
        <v>82</v>
      </c>
      <c r="BC2" s="6" t="s">
        <v>82</v>
      </c>
      <c r="BD2" s="6" t="s">
        <v>83</v>
      </c>
      <c r="BE2" s="6" t="s">
        <v>84</v>
      </c>
      <c r="BF2" s="6" t="s">
        <v>85</v>
      </c>
      <c r="BG2" s="6" t="s">
        <v>79</v>
      </c>
      <c r="BH2" s="6" t="s">
        <v>86</v>
      </c>
      <c r="BI2" s="6" t="s">
        <v>87</v>
      </c>
      <c r="BJ2" s="6" t="s">
        <v>88</v>
      </c>
      <c r="BK2" s="7" t="s">
        <v>89</v>
      </c>
      <c r="BL2" s="8" t="s">
        <v>90</v>
      </c>
      <c r="BM2" s="7" t="s">
        <v>49</v>
      </c>
      <c r="BN2" s="7" t="s">
        <v>50</v>
      </c>
      <c r="BO2" s="8" t="s">
        <v>96</v>
      </c>
      <c r="BP2" s="8" t="s">
        <v>92</v>
      </c>
      <c r="BQ2" s="8" t="s">
        <v>93</v>
      </c>
      <c r="BR2" s="8" t="s">
        <v>94</v>
      </c>
      <c r="BS2" s="9" t="s">
        <v>95</v>
      </c>
      <c r="BT2" s="68" t="s">
        <v>77</v>
      </c>
      <c r="BU2" s="69" t="s">
        <v>78</v>
      </c>
      <c r="BV2" s="6" t="s">
        <v>81</v>
      </c>
      <c r="BW2" s="6" t="s">
        <v>82</v>
      </c>
      <c r="BX2" s="6" t="s">
        <v>82</v>
      </c>
      <c r="BY2" s="6" t="s">
        <v>83</v>
      </c>
      <c r="BZ2" s="6" t="s">
        <v>84</v>
      </c>
      <c r="CA2" s="6" t="s">
        <v>85</v>
      </c>
      <c r="CB2" s="6" t="s">
        <v>79</v>
      </c>
      <c r="CC2" s="6" t="s">
        <v>86</v>
      </c>
      <c r="CD2" s="6" t="s">
        <v>87</v>
      </c>
      <c r="CE2" s="6" t="s">
        <v>88</v>
      </c>
      <c r="CF2" s="7" t="s">
        <v>89</v>
      </c>
      <c r="CG2" s="8" t="s">
        <v>90</v>
      </c>
      <c r="CH2" s="7" t="s">
        <v>49</v>
      </c>
      <c r="CI2" s="7" t="s">
        <v>50</v>
      </c>
      <c r="CJ2" s="8" t="s">
        <v>96</v>
      </c>
      <c r="CK2" s="8" t="s">
        <v>92</v>
      </c>
      <c r="CL2" s="8" t="s">
        <v>93</v>
      </c>
      <c r="CM2" s="8" t="s">
        <v>94</v>
      </c>
      <c r="CN2" s="9" t="s">
        <v>95</v>
      </c>
      <c r="CO2" s="68" t="s">
        <v>77</v>
      </c>
      <c r="CP2" s="69" t="s">
        <v>78</v>
      </c>
      <c r="CQ2" s="6" t="s">
        <v>81</v>
      </c>
      <c r="CR2" s="6" t="s">
        <v>82</v>
      </c>
      <c r="CS2" s="6" t="s">
        <v>82</v>
      </c>
      <c r="CT2" s="6" t="s">
        <v>83</v>
      </c>
      <c r="CU2" s="6" t="s">
        <v>84</v>
      </c>
      <c r="CV2" s="6" t="s">
        <v>85</v>
      </c>
      <c r="CW2" s="6" t="s">
        <v>79</v>
      </c>
      <c r="CX2" s="6" t="s">
        <v>86</v>
      </c>
      <c r="CY2" s="6" t="s">
        <v>87</v>
      </c>
      <c r="CZ2" s="6" t="s">
        <v>88</v>
      </c>
      <c r="DA2" s="7" t="s">
        <v>89</v>
      </c>
      <c r="DB2" s="8" t="s">
        <v>90</v>
      </c>
      <c r="DC2" s="7" t="s">
        <v>49</v>
      </c>
      <c r="DD2" s="7" t="s">
        <v>50</v>
      </c>
      <c r="DE2" s="8" t="s">
        <v>96</v>
      </c>
      <c r="DF2" s="8" t="s">
        <v>92</v>
      </c>
      <c r="DG2" s="8" t="s">
        <v>93</v>
      </c>
      <c r="DH2" s="8" t="s">
        <v>94</v>
      </c>
      <c r="DI2" s="9" t="s">
        <v>95</v>
      </c>
      <c r="DJ2" s="68" t="s">
        <v>77</v>
      </c>
      <c r="DK2" s="69" t="s">
        <v>78</v>
      </c>
      <c r="DL2" s="6" t="s">
        <v>81</v>
      </c>
      <c r="DM2" s="6" t="s">
        <v>82</v>
      </c>
      <c r="DN2" s="6" t="s">
        <v>82</v>
      </c>
      <c r="DO2" s="6" t="s">
        <v>83</v>
      </c>
      <c r="DP2" s="6" t="s">
        <v>84</v>
      </c>
      <c r="DQ2" s="6" t="s">
        <v>85</v>
      </c>
      <c r="DR2" s="6" t="s">
        <v>79</v>
      </c>
      <c r="DS2" s="6" t="s">
        <v>86</v>
      </c>
      <c r="DT2" s="6" t="s">
        <v>87</v>
      </c>
      <c r="DU2" s="6" t="s">
        <v>88</v>
      </c>
      <c r="DV2" s="7" t="s">
        <v>89</v>
      </c>
      <c r="DW2" s="8" t="s">
        <v>90</v>
      </c>
      <c r="DX2" s="7" t="s">
        <v>49</v>
      </c>
      <c r="DY2" s="7" t="s">
        <v>50</v>
      </c>
      <c r="DZ2" s="8" t="s">
        <v>96</v>
      </c>
      <c r="EA2" s="8" t="s">
        <v>92</v>
      </c>
      <c r="EB2" s="8" t="s">
        <v>93</v>
      </c>
      <c r="EC2" s="8" t="s">
        <v>94</v>
      </c>
      <c r="ED2" s="9" t="s">
        <v>95</v>
      </c>
      <c r="EE2" s="68" t="s">
        <v>77</v>
      </c>
      <c r="EF2" s="69" t="s">
        <v>78</v>
      </c>
      <c r="EG2" s="6" t="s">
        <v>81</v>
      </c>
      <c r="EH2" s="6" t="s">
        <v>82</v>
      </c>
      <c r="EI2" s="6" t="s">
        <v>82</v>
      </c>
      <c r="EJ2" s="6" t="s">
        <v>83</v>
      </c>
      <c r="EK2" s="6" t="s">
        <v>84</v>
      </c>
      <c r="EL2" s="6" t="s">
        <v>85</v>
      </c>
      <c r="EM2" s="6" t="s">
        <v>79</v>
      </c>
      <c r="EN2" s="6" t="s">
        <v>86</v>
      </c>
      <c r="EO2" s="6" t="s">
        <v>87</v>
      </c>
      <c r="EP2" s="6" t="s">
        <v>88</v>
      </c>
      <c r="EQ2" s="7" t="s">
        <v>89</v>
      </c>
      <c r="ER2" s="8" t="s">
        <v>90</v>
      </c>
      <c r="ES2" s="7" t="s">
        <v>49</v>
      </c>
      <c r="ET2" s="7" t="s">
        <v>50</v>
      </c>
      <c r="EU2" s="8" t="s">
        <v>96</v>
      </c>
      <c r="EV2" s="8" t="s">
        <v>92</v>
      </c>
      <c r="EW2" s="8" t="s">
        <v>93</v>
      </c>
      <c r="EX2" s="8" t="s">
        <v>94</v>
      </c>
      <c r="EY2" s="9" t="s">
        <v>95</v>
      </c>
      <c r="EZ2" s="68" t="s">
        <v>77</v>
      </c>
      <c r="FA2" s="69" t="s">
        <v>78</v>
      </c>
      <c r="FB2" s="6" t="s">
        <v>81</v>
      </c>
      <c r="FC2" s="6" t="s">
        <v>82</v>
      </c>
      <c r="FD2" s="6" t="s">
        <v>82</v>
      </c>
      <c r="FE2" s="6" t="s">
        <v>83</v>
      </c>
      <c r="FF2" s="6" t="s">
        <v>84</v>
      </c>
      <c r="FG2" s="6" t="s">
        <v>85</v>
      </c>
      <c r="FH2" s="6" t="s">
        <v>79</v>
      </c>
      <c r="FI2" s="6" t="s">
        <v>86</v>
      </c>
      <c r="FJ2" s="6" t="s">
        <v>87</v>
      </c>
      <c r="FK2" s="6" t="s">
        <v>88</v>
      </c>
      <c r="FL2" s="7" t="s">
        <v>89</v>
      </c>
      <c r="FM2" s="8" t="s">
        <v>90</v>
      </c>
      <c r="FN2" s="7" t="s">
        <v>49</v>
      </c>
      <c r="FO2" s="7" t="s">
        <v>50</v>
      </c>
      <c r="FP2" s="8" t="s">
        <v>97</v>
      </c>
      <c r="FQ2" s="8" t="s">
        <v>92</v>
      </c>
      <c r="FR2" s="8" t="s">
        <v>93</v>
      </c>
      <c r="FS2" s="8" t="s">
        <v>94</v>
      </c>
      <c r="FT2" s="9" t="s">
        <v>95</v>
      </c>
      <c r="FU2" s="68" t="s">
        <v>77</v>
      </c>
      <c r="FV2" s="69" t="s">
        <v>78</v>
      </c>
      <c r="FW2" s="6" t="s">
        <v>81</v>
      </c>
      <c r="FX2" s="6" t="s">
        <v>82</v>
      </c>
      <c r="FY2" s="6" t="s">
        <v>82</v>
      </c>
      <c r="FZ2" s="6" t="s">
        <v>83</v>
      </c>
      <c r="GA2" s="6" t="s">
        <v>84</v>
      </c>
      <c r="GB2" s="6" t="s">
        <v>85</v>
      </c>
      <c r="GC2" s="6" t="s">
        <v>79</v>
      </c>
      <c r="GD2" s="6" t="s">
        <v>86</v>
      </c>
      <c r="GE2" s="6" t="s">
        <v>87</v>
      </c>
      <c r="GF2" s="6" t="s">
        <v>88</v>
      </c>
      <c r="GG2" s="7" t="s">
        <v>89</v>
      </c>
      <c r="GH2" s="8" t="s">
        <v>90</v>
      </c>
      <c r="GI2" s="7" t="s">
        <v>49</v>
      </c>
      <c r="GJ2" s="7" t="s">
        <v>50</v>
      </c>
      <c r="GK2" s="8" t="s">
        <v>96</v>
      </c>
      <c r="GL2" s="8" t="s">
        <v>92</v>
      </c>
      <c r="GM2" s="8" t="s">
        <v>93</v>
      </c>
      <c r="GN2" s="8" t="s">
        <v>94</v>
      </c>
      <c r="GO2" s="8" t="s">
        <v>95</v>
      </c>
      <c r="GP2" s="68" t="s">
        <v>77</v>
      </c>
      <c r="GQ2" s="69" t="s">
        <v>78</v>
      </c>
      <c r="GR2" s="6" t="s">
        <v>81</v>
      </c>
      <c r="GS2" s="6" t="s">
        <v>82</v>
      </c>
      <c r="GT2" s="6" t="s">
        <v>82</v>
      </c>
      <c r="GU2" s="6" t="s">
        <v>83</v>
      </c>
      <c r="GV2" s="6" t="s">
        <v>84</v>
      </c>
      <c r="GW2" s="6" t="s">
        <v>85</v>
      </c>
      <c r="GX2" s="6" t="s">
        <v>79</v>
      </c>
      <c r="GY2" s="6" t="s">
        <v>86</v>
      </c>
      <c r="GZ2" s="6" t="s">
        <v>87</v>
      </c>
      <c r="HA2" s="6" t="s">
        <v>88</v>
      </c>
      <c r="HB2" s="7" t="s">
        <v>89</v>
      </c>
      <c r="HC2" s="8" t="s">
        <v>90</v>
      </c>
      <c r="HD2" s="7" t="s">
        <v>49</v>
      </c>
      <c r="HE2" s="7" t="s">
        <v>50</v>
      </c>
      <c r="HF2" s="8" t="s">
        <v>96</v>
      </c>
      <c r="HG2" s="8" t="s">
        <v>92</v>
      </c>
      <c r="HH2" s="8" t="s">
        <v>93</v>
      </c>
      <c r="HI2" s="8" t="s">
        <v>94</v>
      </c>
      <c r="HJ2" s="9" t="s">
        <v>95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399.15057697410413</v>
      </c>
      <c r="T3" s="59">
        <f>IF('Données projet'!E9&gt;30,$R$33-$H$33,LOOKUP('Données projet'!$E$9,$A$3:$A$203,R3:R203)-LOOKUP('Données projet'!$E$9,$A$3:$A$203,$H$3:$H$203))</f>
        <v>182.37700638847298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463.77045964052894</v>
      </c>
      <c r="AO3" s="59">
        <f>IF('Données projet'!E10&gt;30,$AM$33-$H$33,LOOKUP('Données projet'!$E$10,$A$3:$A$203,AM3:AM203)-LOOKUP('Données projet'!$E$10,$A$3:$A$203,$H$3:$H$203))</f>
        <v>209.77146243694483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436.0942819360734</v>
      </c>
      <c r="BJ3" s="59">
        <f>IF('Données projet'!E11&gt;30,$BH$33-$H$33,LOOKUP('Données projet'!$E$11,$A$3:$A$203,BH3:BH203)-LOOKUP('Données projet'!$E$11,$A$3:$A$203,$H$3:$H$203))</f>
        <v>198.03942180876311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183.99578440773581</v>
      </c>
      <c r="CE3" s="59">
        <f>IF('Données projet'!E12&gt;30,$CC$33-$H$33,LOOKUP('Données projet'!$E$12,$A$3:$A$203,CC3:CC203)-LOOKUP('Données projet'!$E$12,$A$3:$A$203,$H$3:$H$203))</f>
        <v>258.43295338669657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0.73319999999999996</v>
      </c>
      <c r="D4" s="11">
        <f>IFERROR(EXP(-1.0587+0.8836*LN(C4)+0.284),0)</f>
        <v>0.35031814074723205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8.3639996829610901</v>
      </c>
      <c r="H4" s="67">
        <f t="shared" ref="H4:H67" si="1">(B4+E4+F4)*44/12+(C4+D4)*0.475*44/12</f>
        <v>295.22046076180141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3.887142857142857</v>
      </c>
      <c r="N4" s="13">
        <f>IF('Données projet'!$A$36&gt;35,N3+M4-V3,IF(A4&lt;'Données projet'!$A$36,$K$205^A4,IF(A4='Données projet'!$A$36,'Données projet'!$B$36,N3+M4-V3)))</f>
        <v>3.887142857142857</v>
      </c>
      <c r="O4" s="13">
        <f>N4*VLOOKUP('Données projet'!$B$9,Paramètres!$A$1:$I$89,3,0)*VLOOKUP('Données projet'!$B$9,Paramètres!$A$1:$I$89,5,0)</f>
        <v>3.5170868571428571</v>
      </c>
      <c r="P4" s="13">
        <f>EXP(-1.0587+0.8836*LN(O4)+0.284)</f>
        <v>1.400101260019349</v>
      </c>
      <c r="Q4" s="20">
        <f t="shared" ref="Q4:Q34" si="2">(O4+P4)*0.475*44/12</f>
        <v>8.5641026373908407</v>
      </c>
      <c r="R4" s="59">
        <f t="shared" si="0"/>
        <v>301.89743597072413</v>
      </c>
      <c r="S4" s="59">
        <f ca="1">AVERAGE(OFFSET($R$3,0,0,'Données projet'!$E$9+1,1))-AVERAGE(OFFSET($H$3,0,0,'Données projet'!$E$9+1,1))</f>
        <v>399.15057697410413</v>
      </c>
      <c r="T4" s="59">
        <f>$T$3</f>
        <v>182.37700638847298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3.887142857142857</v>
      </c>
      <c r="AI4" s="13">
        <f>IF('Données projet'!$A$62&gt;35,AI3+AH4-AQ3,IF(A4&lt;'Données projet'!$A$62,$AF$205^A4,IF(A4='Données projet'!$A$62,'Données projet'!$B$62,AI3+AH4-AQ3)))</f>
        <v>3.887142857142857</v>
      </c>
      <c r="AJ4" s="13">
        <f>AI4*VLOOKUP('Données projet'!$B$10,Paramètres!$A$1:$I$89,3,0)*VLOOKUP('Données projet'!$B$10,Paramètres!$A$1:$I$89,5,0)</f>
        <v>3.9415628571428569</v>
      </c>
      <c r="AK4" s="13">
        <f>EXP(-1.0587+0.8836*LN(AJ4)+0.284)</f>
        <v>1.5484055284644385</v>
      </c>
      <c r="AL4" s="20">
        <f t="shared" ref="AL4:AL67" si="4">(AJ4+AK4)*0.475*44/12</f>
        <v>9.5616949382660383</v>
      </c>
      <c r="AM4" s="59">
        <f t="shared" ref="AM4:AM67" si="5">AL4+(AD4+AE4)*44/12</f>
        <v>302.89502827159936</v>
      </c>
      <c r="AN4" s="59">
        <f ca="1">AVERAGE(OFFSET($AM$3,0,0,'Données projet'!$E$10+1,1))-AVERAGE(OFFSET($H$3,0,0,'Données projet'!$E$10+1,1))</f>
        <v>463.77045964052894</v>
      </c>
      <c r="AO4" s="59">
        <f>$AO$3</f>
        <v>209.77146243694483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3.887142857142857</v>
      </c>
      <c r="BD4" s="12">
        <f>IF('Données projet'!$A$88&gt;35,BD3+BC4-BL3,IF(A4&lt;'Données projet'!$A$88,$BA$205^A4,IF(A4='Données projet'!$A$88,'Données projet'!$B$88,BD3+BC4-BL3)))</f>
        <v>3.887142857142857</v>
      </c>
      <c r="BE4" s="13">
        <f>BD4*VLOOKUP('Données projet'!$B$11,Paramètres!$A$1:$I$89,3,0)*VLOOKUP('Données projet'!$B$11,Paramètres!$A$1:$I$89,5,0)</f>
        <v>3.7596445714285713</v>
      </c>
      <c r="BF4" s="13">
        <f>EXP(-1.0587+0.8836*LN(BE4)+0.284)</f>
        <v>1.4850865614549704</v>
      </c>
      <c r="BG4" s="20">
        <f t="shared" ref="BG4:BG67" si="7">(BE4+BF4)*0.475*44/12</f>
        <v>9.1345733897721697</v>
      </c>
      <c r="BH4" s="59">
        <f t="shared" ref="BH4:BH67" si="8">BG4+(AY4+AZ4)*44/12</f>
        <v>302.4679067231055</v>
      </c>
      <c r="BI4" s="59">
        <f ca="1">AVERAGE(OFFSET($BH$3,0,0,'Données projet'!$E$11+1,1))-AVERAGE(OFFSET($H$3,0,0,'Données projet'!$E$11+1,1))</f>
        <v>436.0942819360734</v>
      </c>
      <c r="BJ4" s="59">
        <f>$BJ$3</f>
        <v>198.03942180876311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4.3589743589743595</v>
      </c>
      <c r="BY4" s="12">
        <f>IF('Données projet'!$A$114&gt;35,BY3+BX4-CG3,IF(A4&lt;'Données projet'!$A$114,$BV$205^A4,IF(A4='Données projet'!$A$114,'Données projet'!$B$114,BY3+BX4-CG3)))</f>
        <v>1.8521274302195943</v>
      </c>
      <c r="BZ4" s="13">
        <f>BY4*VLOOKUP('Données projet'!$B$12,Paramètres!$A$1:$I$89,3,0)*VLOOKUP('Données projet'!$B$12,Paramètres!$A$1:$I$89,5,0)</f>
        <v>1.6758048988626888</v>
      </c>
      <c r="CA4" s="13">
        <f>EXP(-1.0587+0.8836*LN(BZ4)+0.284)</f>
        <v>0.7272369057125686</v>
      </c>
      <c r="CB4" s="20">
        <f t="shared" ref="CB4:CB67" si="10">(BZ4+CA4)*0.475*44/12</f>
        <v>4.18529780963524</v>
      </c>
      <c r="CC4" s="59">
        <f t="shared" ref="CC4:CC67" si="11">CB4+(BT4+BU4)*44/12</f>
        <v>297.51863114296856</v>
      </c>
      <c r="CD4" s="59">
        <f ca="1">AVERAGE(OFFSET($CC$3,0,0,'Données projet'!$E$12+1,1))-AVERAGE(OFFSET($H$3,0,0,'Données projet'!$E$12+1,1))</f>
        <v>183.99578440773581</v>
      </c>
      <c r="CE4" s="59">
        <f>$CE$3</f>
        <v>258.43295338669657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1.4663999999999999</v>
      </c>
      <c r="D5" s="11">
        <f t="shared" ref="D5:D68" si="32">IFERROR(EXP(-1.0587+0.8836*LN(C5)+0.284),0)</f>
        <v>0.64632764391155073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16.308774795106711</v>
      </c>
      <c r="H5" s="67">
        <f t="shared" si="1"/>
        <v>297.01300064647927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3.887142857142857</v>
      </c>
      <c r="N5" s="13">
        <f>IF('Données projet'!$A$36&gt;35,N4+M5-V4,IF(A5&lt;'Données projet'!$A$36,$K$205^A5,IF(A5='Données projet'!$A$36,'Données projet'!$B$36,N4+M5-V4)))</f>
        <v>7.774285714285714</v>
      </c>
      <c r="O5" s="13">
        <f>N5*VLOOKUP('Données projet'!$B$9,Paramètres!$A$1:$I$89,3,0)*VLOOKUP('Données projet'!$B$9,Paramètres!$A$1:$I$89,5,0)</f>
        <v>7.0341737142857141</v>
      </c>
      <c r="P5" s="13">
        <f t="shared" ref="P5:P68" si="33">EXP(-1.0587+0.8836*LN(O5)+0.284)</f>
        <v>2.5831495528484112</v>
      </c>
      <c r="Q5" s="20">
        <f t="shared" si="2"/>
        <v>16.750171356925268</v>
      </c>
      <c r="R5" s="59">
        <f t="shared" si="0"/>
        <v>310.08350469025856</v>
      </c>
      <c r="S5" s="59">
        <f ca="1">AVERAGE(OFFSET($R$3,0,0,'Données projet'!$E$9+1,1))-AVERAGE(OFFSET($H$3,0,0,'Données projet'!$E$9+1,1))</f>
        <v>399.15057697410413</v>
      </c>
      <c r="T5" s="59">
        <f t="shared" ref="T5:T68" si="34">$T$3</f>
        <v>182.37700638847298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3.887142857142857</v>
      </c>
      <c r="AI5" s="13">
        <f>IF('Données projet'!$A$62&gt;35,AI4+AH5-AQ4,IF(A5&lt;'Données projet'!$A$62,$AF$205^A5,IF(A5='Données projet'!$A$62,'Données projet'!$B$62,AI4+AH5-AQ4)))</f>
        <v>7.774285714285714</v>
      </c>
      <c r="AJ5" s="13">
        <f>AI5*VLOOKUP('Données projet'!$B$10,Paramètres!$A$1:$I$89,3,0)*VLOOKUP('Données projet'!$B$10,Paramètres!$A$1:$I$89,5,0)</f>
        <v>7.8831257142857138</v>
      </c>
      <c r="AK5" s="13">
        <f t="shared" ref="AK5:AK68" si="35">EXP(-1.0587+0.8836*LN(AJ5)+0.284)</f>
        <v>2.8567669801437421</v>
      </c>
      <c r="AL5" s="20">
        <f t="shared" si="4"/>
        <v>18.705313109464633</v>
      </c>
      <c r="AM5" s="59">
        <f t="shared" si="5"/>
        <v>312.03864644279793</v>
      </c>
      <c r="AN5" s="59">
        <f ca="1">AVERAGE(OFFSET($AM$3,0,0,'Données projet'!$E$10+1,1))-AVERAGE(OFFSET($H$3,0,0,'Données projet'!$E$10+1,1))</f>
        <v>463.77045964052894</v>
      </c>
      <c r="AO5" s="59">
        <f t="shared" ref="AO5:AO68" si="36">$AO$3</f>
        <v>209.77146243694483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3.887142857142857</v>
      </c>
      <c r="BD5" s="12">
        <f>IF('Données projet'!$A$88&gt;35,BD4+BC5-BL4,IF(A5&lt;'Données projet'!$A$88,$BA$205^A5,IF(A5='Données projet'!$A$88,'Données projet'!$B$88,BD4+BC5-BL4)))</f>
        <v>7.774285714285714</v>
      </c>
      <c r="BE5" s="13">
        <f>BD5*VLOOKUP('Données projet'!$B$11,Paramètres!$A$1:$I$89,3,0)*VLOOKUP('Données projet'!$B$11,Paramètres!$A$1:$I$89,5,0)</f>
        <v>7.5192891428571427</v>
      </c>
      <c r="BF5" s="13">
        <f t="shared" ref="BF5:BF68" si="37">EXP(-1.0587+0.8836*LN(BE5)+0.284)</f>
        <v>2.7399451716160708</v>
      </c>
      <c r="BG5" s="20">
        <f t="shared" si="7"/>
        <v>17.868166431040844</v>
      </c>
      <c r="BH5" s="59">
        <f t="shared" si="8"/>
        <v>311.20149976437415</v>
      </c>
      <c r="BI5" s="59">
        <f ca="1">AVERAGE(OFFSET($BH$3,0,0,'Données projet'!$E$11+1,1))-AVERAGE(OFFSET($H$3,0,0,'Données projet'!$E$11+1,1))</f>
        <v>436.0942819360734</v>
      </c>
      <c r="BJ5" s="59">
        <f t="shared" ref="BJ5:BJ68" si="38">$BJ$3</f>
        <v>198.03942180876311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4.3589743589743595</v>
      </c>
      <c r="BY5" s="12">
        <f>IF('Données projet'!$A$114&gt;35,BY4+BX5-CG4,IF(A5&lt;'Données projet'!$A$114,$BV$205^A5,IF(A5='Données projet'!$A$114,'Données projet'!$B$114,BY4+BX5-CG4)))</f>
        <v>3.4303760177718381</v>
      </c>
      <c r="BZ5" s="13">
        <f>BY5*VLOOKUP('Données projet'!$B$12,Paramètres!$A$1:$I$89,3,0)*VLOOKUP('Données projet'!$B$12,Paramètres!$A$1:$I$89,5,0)</f>
        <v>3.103804220879959</v>
      </c>
      <c r="CA5" s="13">
        <f t="shared" ref="CA5:CA68" si="39">EXP(-1.0587+0.8836*LN(BZ5)+0.284)</f>
        <v>1.2536892025053505</v>
      </c>
      <c r="CB5" s="20">
        <f t="shared" si="10"/>
        <v>7.5893010457294139</v>
      </c>
      <c r="CC5" s="59">
        <f t="shared" si="11"/>
        <v>300.92263437906274</v>
      </c>
      <c r="CD5" s="59">
        <f ca="1">AVERAGE(OFFSET($CC$3,0,0,'Données projet'!$E$12+1,1))-AVERAGE(OFFSET($H$3,0,0,'Données projet'!$E$12+1,1))</f>
        <v>183.99578440773581</v>
      </c>
      <c r="CE5" s="59">
        <f t="shared" ref="CE5:CE68" si="40">$CE$3</f>
        <v>258.43295338669657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2.1995999999999998</v>
      </c>
      <c r="D6" s="11">
        <f t="shared" si="32"/>
        <v>0.92479818325965968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24.118161414635967</v>
      </c>
      <c r="H6" s="67">
        <f t="shared" si="1"/>
        <v>298.77499350251054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3.887142857142857</v>
      </c>
      <c r="N6" s="13">
        <f>IF('Données projet'!$A$36&gt;35,N5+M6-V5,IF(A6&lt;'Données projet'!$A$36,$K$205^A6,IF(A6='Données projet'!$A$36,'Données projet'!$B$36,N5+M6-V5)))</f>
        <v>11.661428571428571</v>
      </c>
      <c r="O6" s="13">
        <f>N6*VLOOKUP('Données projet'!$B$9,Paramètres!$A$1:$I$89,3,0)*VLOOKUP('Données projet'!$B$9,Paramètres!$A$1:$I$89,5,0)</f>
        <v>10.551260571428571</v>
      </c>
      <c r="P6" s="13">
        <f t="shared" si="33"/>
        <v>3.6961006326523931</v>
      </c>
      <c r="Q6" s="20">
        <f t="shared" si="2"/>
        <v>24.814154097107675</v>
      </c>
      <c r="R6" s="59">
        <f t="shared" si="0"/>
        <v>318.147487430441</v>
      </c>
      <c r="S6" s="59">
        <f ca="1">AVERAGE(OFFSET($R$3,0,0,'Données projet'!$E$9+1,1))-AVERAGE(OFFSET($H$3,0,0,'Données projet'!$E$9+1,1))</f>
        <v>399.15057697410413</v>
      </c>
      <c r="T6" s="59">
        <f t="shared" si="34"/>
        <v>182.37700638847298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3.887142857142857</v>
      </c>
      <c r="AI6" s="13">
        <f>IF('Données projet'!$A$62&gt;35,AI5+AH6-AQ5,IF(A6&lt;'Données projet'!$A$62,$AF$205^A6,IF(A6='Données projet'!$A$62,'Données projet'!$B$62,AI5+AH6-AQ5)))</f>
        <v>11.661428571428571</v>
      </c>
      <c r="AJ6" s="13">
        <f>AI6*VLOOKUP('Données projet'!$B$10,Paramètres!$A$1:$I$89,3,0)*VLOOKUP('Données projet'!$B$10,Paramètres!$A$1:$I$89,5,0)</f>
        <v>11.824688571428572</v>
      </c>
      <c r="AK6" s="13">
        <f t="shared" si="35"/>
        <v>4.0876062444803347</v>
      </c>
      <c r="AL6" s="20">
        <f t="shared" si="4"/>
        <v>27.713913471041348</v>
      </c>
      <c r="AM6" s="59">
        <f t="shared" si="5"/>
        <v>321.04724680437465</v>
      </c>
      <c r="AN6" s="59">
        <f ca="1">AVERAGE(OFFSET($AM$3,0,0,'Données projet'!$E$10+1,1))-AVERAGE(OFFSET($H$3,0,0,'Données projet'!$E$10+1,1))</f>
        <v>463.77045964052894</v>
      </c>
      <c r="AO6" s="59">
        <f t="shared" si="36"/>
        <v>209.77146243694483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3.887142857142857</v>
      </c>
      <c r="BD6" s="12">
        <f>IF('Données projet'!$A$88&gt;35,BD5+BC6-BL5,IF(A6&lt;'Données projet'!$A$88,$BA$205^A6,IF(A6='Données projet'!$A$88,'Données projet'!$B$88,BD5+BC6-BL5)))</f>
        <v>11.661428571428571</v>
      </c>
      <c r="BE6" s="13">
        <f>BD6*VLOOKUP('Données projet'!$B$11,Paramètres!$A$1:$I$89,3,0)*VLOOKUP('Données projet'!$B$11,Paramètres!$A$1:$I$89,5,0)</f>
        <v>11.278933714285714</v>
      </c>
      <c r="BF6" s="13">
        <f t="shared" si="37"/>
        <v>3.9204517102294627</v>
      </c>
      <c r="BG6" s="20">
        <f t="shared" si="7"/>
        <v>26.472262947697264</v>
      </c>
      <c r="BH6" s="59">
        <f t="shared" si="8"/>
        <v>319.8055962810306</v>
      </c>
      <c r="BI6" s="59">
        <f ca="1">AVERAGE(OFFSET($BH$3,0,0,'Données projet'!$E$11+1,1))-AVERAGE(OFFSET($H$3,0,0,'Données projet'!$E$11+1,1))</f>
        <v>436.0942819360734</v>
      </c>
      <c r="BJ6" s="59">
        <f t="shared" si="38"/>
        <v>198.03942180876311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4.3589743589743595</v>
      </c>
      <c r="BY6" s="12">
        <f>IF('Données projet'!$A$114&gt;35,BY5+BX6-CG5,IF(A6&lt;'Données projet'!$A$114,$BV$205^A6,IF(A6='Données projet'!$A$114,'Données projet'!$B$114,BY5+BX6-CG5)))</f>
        <v>6.3534935184826793</v>
      </c>
      <c r="BZ6" s="13">
        <f>BY6*VLOOKUP('Données projet'!$B$12,Paramètres!$A$1:$I$89,3,0)*VLOOKUP('Données projet'!$B$12,Paramètres!$A$1:$I$89,5,0)</f>
        <v>5.7486409355231283</v>
      </c>
      <c r="CA6" s="13">
        <f t="shared" si="39"/>
        <v>2.1612442989791156</v>
      </c>
      <c r="CB6" s="20">
        <f t="shared" si="10"/>
        <v>13.776383450091409</v>
      </c>
      <c r="CC6" s="59">
        <f t="shared" si="11"/>
        <v>307.10971678342474</v>
      </c>
      <c r="CD6" s="59">
        <f ca="1">AVERAGE(OFFSET($CC$3,0,0,'Données projet'!$E$12+1,1))-AVERAGE(OFFSET($H$3,0,0,'Données projet'!$E$12+1,1))</f>
        <v>183.99578440773581</v>
      </c>
      <c r="CE6" s="59">
        <f t="shared" si="40"/>
        <v>258.43295338669657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2.9327999999999999</v>
      </c>
      <c r="D7" s="11">
        <f t="shared" si="32"/>
        <v>1.1924572972247856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31.844091417173786</v>
      </c>
      <c r="H7" s="67">
        <f t="shared" si="1"/>
        <v>300.51815645933317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3.887142857142857</v>
      </c>
      <c r="N7" s="13">
        <f>IF('Données projet'!$A$36&gt;35,N6+M7-V6,IF(A7&lt;'Données projet'!$A$36,$K$205^A7,IF(A7='Données projet'!$A$36,'Données projet'!$B$36,N6+M7-V6)))</f>
        <v>15.548571428571428</v>
      </c>
      <c r="O7" s="13">
        <f>N7*VLOOKUP('Données projet'!$B$9,Paramètres!$A$1:$I$89,3,0)*VLOOKUP('Données projet'!$B$9,Paramètres!$A$1:$I$89,5,0)</f>
        <v>14.068347428571428</v>
      </c>
      <c r="P7" s="13">
        <f t="shared" si="33"/>
        <v>4.7658421593654818</v>
      </c>
      <c r="Q7" s="20">
        <f t="shared" si="2"/>
        <v>32.802880198990124</v>
      </c>
      <c r="R7" s="59">
        <f t="shared" si="0"/>
        <v>326.13621353232344</v>
      </c>
      <c r="S7" s="59">
        <f ca="1">AVERAGE(OFFSET($R$3,0,0,'Données projet'!$E$9+1,1))-AVERAGE(OFFSET($H$3,0,0,'Données projet'!$E$9+1,1))</f>
        <v>399.15057697410413</v>
      </c>
      <c r="T7" s="59">
        <f t="shared" si="34"/>
        <v>182.37700638847298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3.887142857142857</v>
      </c>
      <c r="AI7" s="13">
        <f>IF('Données projet'!$A$62&gt;35,AI6+AH7-AQ6,IF(A7&lt;'Données projet'!$A$62,$AF$205^A7,IF(A7='Données projet'!$A$62,'Données projet'!$B$62,AI6+AH7-AQ6)))</f>
        <v>15.548571428571428</v>
      </c>
      <c r="AJ7" s="13">
        <f>AI7*VLOOKUP('Données projet'!$B$10,Paramètres!$A$1:$I$89,3,0)*VLOOKUP('Données projet'!$B$10,Paramètres!$A$1:$I$89,5,0)</f>
        <v>15.766251428571428</v>
      </c>
      <c r="AK7" s="13">
        <f t="shared" si="35"/>
        <v>5.2706590287965538</v>
      </c>
      <c r="AL7" s="20">
        <f t="shared" si="4"/>
        <v>36.63928571324923</v>
      </c>
      <c r="AM7" s="59">
        <f t="shared" si="5"/>
        <v>329.97261904658257</v>
      </c>
      <c r="AN7" s="59">
        <f ca="1">AVERAGE(OFFSET($AM$3,0,0,'Données projet'!$E$10+1,1))-AVERAGE(OFFSET($H$3,0,0,'Données projet'!$E$10+1,1))</f>
        <v>463.77045964052894</v>
      </c>
      <c r="AO7" s="59">
        <f t="shared" si="36"/>
        <v>209.77146243694483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3.887142857142857</v>
      </c>
      <c r="BD7" s="12">
        <f>IF('Données projet'!$A$88&gt;35,BD6+BC7-BL6,IF(A7&lt;'Données projet'!$A$88,$BA$205^A7,IF(A7='Données projet'!$A$88,'Données projet'!$B$88,BD6+BC7-BL6)))</f>
        <v>15.548571428571428</v>
      </c>
      <c r="BE7" s="13">
        <f>BD7*VLOOKUP('Données projet'!$B$11,Paramètres!$A$1:$I$89,3,0)*VLOOKUP('Données projet'!$B$11,Paramètres!$A$1:$I$89,5,0)</f>
        <v>15.038578285714285</v>
      </c>
      <c r="BF7" s="13">
        <f t="shared" si="37"/>
        <v>5.0551259019589807</v>
      </c>
      <c r="BG7" s="20">
        <f t="shared" si="7"/>
        <v>34.996534793530941</v>
      </c>
      <c r="BH7" s="59">
        <f t="shared" si="8"/>
        <v>328.32986812686426</v>
      </c>
      <c r="BI7" s="59">
        <f ca="1">AVERAGE(OFFSET($BH$3,0,0,'Données projet'!$E$11+1,1))-AVERAGE(OFFSET($H$3,0,0,'Données projet'!$E$11+1,1))</f>
        <v>436.0942819360734</v>
      </c>
      <c r="BJ7" s="59">
        <f t="shared" si="38"/>
        <v>198.03942180876311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4.3589743589743595</v>
      </c>
      <c r="BY7" s="12">
        <f>IF('Données projet'!$A$114&gt;35,BY6+BX7-CG6,IF(A7&lt;'Données projet'!$A$114,$BV$205^A7,IF(A7='Données projet'!$A$114,'Données projet'!$B$114,BY6+BX7-CG6)))</f>
        <v>11.767479623304174</v>
      </c>
      <c r="BZ7" s="13">
        <f>BY7*VLOOKUP('Données projet'!$B$12,Paramètres!$A$1:$I$89,3,0)*VLOOKUP('Données projet'!$B$12,Paramètres!$A$1:$I$89,5,0)</f>
        <v>10.647215563165616</v>
      </c>
      <c r="CA7" s="13">
        <f t="shared" si="39"/>
        <v>3.7257853944465094</v>
      </c>
      <c r="CB7" s="20">
        <f t="shared" si="10"/>
        <v>25.032976667841115</v>
      </c>
      <c r="CC7" s="59">
        <f t="shared" si="11"/>
        <v>318.36631000117444</v>
      </c>
      <c r="CD7" s="59">
        <f ca="1">AVERAGE(OFFSET($CC$3,0,0,'Données projet'!$E$12+1,1))-AVERAGE(OFFSET($H$3,0,0,'Données projet'!$E$12+1,1))</f>
        <v>183.99578440773581</v>
      </c>
      <c r="CE7" s="59">
        <f t="shared" si="40"/>
        <v>258.43295338669657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3.6659999999999999</v>
      </c>
      <c r="D8" s="11">
        <f t="shared" si="32"/>
        <v>1.4523541267681601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39.510102031192822</v>
      </c>
      <c r="H8" s="67">
        <f t="shared" si="1"/>
        <v>302.24780010412121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3.887142857142857</v>
      </c>
      <c r="N8" s="13">
        <f>IF('Données projet'!$A$36&gt;35,N7+M8-V7,IF(A8&lt;'Données projet'!$A$36,$K$205^A8,IF(A8='Données projet'!$A$36,'Données projet'!$B$36,N7+M8-V7)))</f>
        <v>19.435714285714283</v>
      </c>
      <c r="O8" s="13">
        <f>N8*VLOOKUP('Données projet'!$B$9,Paramètres!$A$1:$I$89,3,0)*VLOOKUP('Données projet'!$B$9,Paramètres!$A$1:$I$89,5,0)</f>
        <v>17.585434285714282</v>
      </c>
      <c r="P8" s="13">
        <f t="shared" si="33"/>
        <v>5.804560501905633</v>
      </c>
      <c r="Q8" s="20">
        <f t="shared" si="2"/>
        <v>40.737574255104683</v>
      </c>
      <c r="R8" s="59">
        <f t="shared" si="0"/>
        <v>334.07090758843799</v>
      </c>
      <c r="S8" s="59">
        <f ca="1">AVERAGE(OFFSET($R$3,0,0,'Données projet'!$E$9+1,1))-AVERAGE(OFFSET($H$3,0,0,'Données projet'!$E$9+1,1))</f>
        <v>399.15057697410413</v>
      </c>
      <c r="T8" s="59">
        <f t="shared" si="34"/>
        <v>182.37700638847298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3.887142857142857</v>
      </c>
      <c r="AI8" s="13">
        <f>IF('Données projet'!$A$62&gt;35,AI7+AH8-AQ7,IF(A8&lt;'Données projet'!$A$62,$AF$205^A8,IF(A8='Données projet'!$A$62,'Données projet'!$B$62,AI7+AH8-AQ7)))</f>
        <v>19.435714285714283</v>
      </c>
      <c r="AJ8" s="13">
        <f>AI8*VLOOKUP('Données projet'!$B$10,Paramètres!$A$1:$I$89,3,0)*VLOOKUP('Données projet'!$B$10,Paramètres!$A$1:$I$89,5,0)</f>
        <v>19.707814285714285</v>
      </c>
      <c r="AK8" s="13">
        <f t="shared" si="35"/>
        <v>6.4194025304518281</v>
      </c>
      <c r="AL8" s="20">
        <f t="shared" si="4"/>
        <v>45.504902621489315</v>
      </c>
      <c r="AM8" s="59">
        <f t="shared" si="5"/>
        <v>338.83823595482261</v>
      </c>
      <c r="AN8" s="59">
        <f ca="1">AVERAGE(OFFSET($AM$3,0,0,'Données projet'!$E$10+1,1))-AVERAGE(OFFSET($H$3,0,0,'Données projet'!$E$10+1,1))</f>
        <v>463.77045964052894</v>
      </c>
      <c r="AO8" s="59">
        <f t="shared" si="36"/>
        <v>209.77146243694483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3.887142857142857</v>
      </c>
      <c r="BD8" s="12">
        <f>IF('Données projet'!$A$88&gt;35,BD7+BC8-BL7,IF(A8&lt;'Données projet'!$A$88,$BA$205^A8,IF(A8='Données projet'!$A$88,'Données projet'!$B$88,BD7+BC8-BL7)))</f>
        <v>19.435714285714283</v>
      </c>
      <c r="BE8" s="13">
        <f>BD8*VLOOKUP('Données projet'!$B$11,Paramètres!$A$1:$I$89,3,0)*VLOOKUP('Données projet'!$B$11,Paramètres!$A$1:$I$89,5,0)</f>
        <v>18.798222857142854</v>
      </c>
      <c r="BF8" s="13">
        <f t="shared" si="37"/>
        <v>6.1568938209606667</v>
      </c>
      <c r="BG8" s="20">
        <f t="shared" si="7"/>
        <v>43.4634948810303</v>
      </c>
      <c r="BH8" s="59">
        <f t="shared" si="8"/>
        <v>336.79682821436359</v>
      </c>
      <c r="BI8" s="59">
        <f ca="1">AVERAGE(OFFSET($BH$3,0,0,'Données projet'!$E$11+1,1))-AVERAGE(OFFSET($H$3,0,0,'Données projet'!$E$11+1,1))</f>
        <v>436.0942819360734</v>
      </c>
      <c r="BJ8" s="59">
        <f t="shared" si="38"/>
        <v>198.03942180876311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>
        <f>VLOOKUP(A8,'Données projet'!$A$113:$I$133,2,0)</f>
        <v>21.794871794871796</v>
      </c>
      <c r="BW8" s="12">
        <f>VLOOKUP(A8,'Données projet'!$A$113:$I$133,9,0)</f>
        <v>4.3589743589743595</v>
      </c>
      <c r="BX8" s="12">
        <f t="array" ref="BX8">INDEX(BW:BW,MIN(IF(ISNUMBER(BW8:BW204),ROW(BW8:BW204),"")))</f>
        <v>4.3589743589743595</v>
      </c>
      <c r="BY8" s="12">
        <f>IF('Données projet'!$A$114&gt;35,BY7+BX8-CG7,IF(A8&lt;'Données projet'!$A$114,$BV$205^A8,IF(A8='Données projet'!$A$114,'Données projet'!$B$114,BY7+BX8-CG7)))</f>
        <v>21.794871794871796</v>
      </c>
      <c r="BZ8" s="13">
        <f>BY8*VLOOKUP('Données projet'!$B$12,Paramètres!$A$1:$I$89,3,0)*VLOOKUP('Données projet'!$B$12,Paramètres!$A$1:$I$89,5,0)</f>
        <v>19.72</v>
      </c>
      <c r="CA8" s="13">
        <f t="shared" si="39"/>
        <v>6.4229096229556211</v>
      </c>
      <c r="CB8" s="20">
        <f t="shared" si="10"/>
        <v>45.532234259981038</v>
      </c>
      <c r="CC8" s="59">
        <f t="shared" si="11"/>
        <v>338.86556759331438</v>
      </c>
      <c r="CD8" s="59">
        <f ca="1">AVERAGE(OFFSET($CC$3,0,0,'Données projet'!$E$12+1,1))-AVERAGE(OFFSET($H$3,0,0,'Données projet'!$E$12+1,1))</f>
        <v>183.99578440773581</v>
      </c>
      <c r="CE8" s="59">
        <f t="shared" si="40"/>
        <v>258.43295338669657</v>
      </c>
      <c r="CF8" s="15">
        <f>IF(ISNA(VLOOKUP(A8,'Données projet'!$A$113:$I$133,3,0)),0,VLOOKUP(A8,'Données projet'!$A$113:$I$133,3,0))</f>
        <v>1</v>
      </c>
      <c r="CG8" s="15">
        <f>IF(ISNA(VLOOKUP(A8,'Données projet'!$A$113:$I$133,4,0)),0,VLOOKUP(A8,'Données projet'!$A$113:$I$133,4,0))</f>
        <v>3.8461538461538458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0.15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0.57478345058723834</v>
      </c>
      <c r="CM8" s="21">
        <f>EXP(-LN(2)/2)*CM7+(1-EXP(-LN(2)/2))/(LN(2)/2)*CG8*CJ8*VLOOKUP('Données projet'!$B$12,Paramètres!$A$1:$I$89,3,0)*0.475*44/12</f>
        <v>0</v>
      </c>
      <c r="CN8" s="22">
        <f t="shared" si="12"/>
        <v>0.57478345058723834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4.3991999999999996</v>
      </c>
      <c r="D9" s="11">
        <f t="shared" si="32"/>
        <v>1.7062280291992591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47.129619874520593</v>
      </c>
      <c r="H9" s="67">
        <f t="shared" si="1"/>
        <v>303.96695381752204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3.887142857142857</v>
      </c>
      <c r="N9" s="13">
        <f>IF('Données projet'!$A$36&gt;35,N8+M9-V8,IF(A9&lt;'Données projet'!$A$36,$K$205^A9,IF(A9='Données projet'!$A$36,'Données projet'!$B$36,N8+M9-V8)))</f>
        <v>23.322857142857139</v>
      </c>
      <c r="O9" s="13">
        <f>N9*VLOOKUP('Données projet'!$B$9,Paramètres!$A$1:$I$89,3,0)*VLOOKUP('Données projet'!$B$9,Paramètres!$A$1:$I$89,5,0)</f>
        <v>21.102521142857139</v>
      </c>
      <c r="P9" s="13">
        <f t="shared" si="33"/>
        <v>6.8192072738987575</v>
      </c>
      <c r="Q9" s="20">
        <f t="shared" si="2"/>
        <v>48.630343659183183</v>
      </c>
      <c r="R9" s="59">
        <f t="shared" si="0"/>
        <v>341.96367699251653</v>
      </c>
      <c r="S9" s="59">
        <f ca="1">AVERAGE(OFFSET($R$3,0,0,'Données projet'!$E$9+1,1))-AVERAGE(OFFSET($H$3,0,0,'Données projet'!$E$9+1,1))</f>
        <v>399.15057697410413</v>
      </c>
      <c r="T9" s="59">
        <f t="shared" si="34"/>
        <v>182.37700638847298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3.887142857142857</v>
      </c>
      <c r="AI9" s="13">
        <f>IF('Données projet'!$A$62&gt;35,AI8+AH9-AQ8,IF(A9&lt;'Données projet'!$A$62,$AF$205^A9,IF(A9='Données projet'!$A$62,'Données projet'!$B$62,AI8+AH9-AQ8)))</f>
        <v>23.322857142857139</v>
      </c>
      <c r="AJ9" s="13">
        <f>AI9*VLOOKUP('Données projet'!$B$10,Paramètres!$A$1:$I$89,3,0)*VLOOKUP('Données projet'!$B$10,Paramètres!$A$1:$I$89,5,0)</f>
        <v>23.649377142857141</v>
      </c>
      <c r="AK9" s="13">
        <f t="shared" si="35"/>
        <v>7.5415247055086745</v>
      </c>
      <c r="AL9" s="20">
        <f t="shared" si="4"/>
        <v>54.324154052570456</v>
      </c>
      <c r="AM9" s="59">
        <f t="shared" si="5"/>
        <v>347.65748738590378</v>
      </c>
      <c r="AN9" s="59">
        <f ca="1">AVERAGE(OFFSET($AM$3,0,0,'Données projet'!$E$10+1,1))-AVERAGE(OFFSET($H$3,0,0,'Données projet'!$E$10+1,1))</f>
        <v>463.77045964052894</v>
      </c>
      <c r="AO9" s="59">
        <f t="shared" si="36"/>
        <v>209.77146243694483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3.887142857142857</v>
      </c>
      <c r="BD9" s="12">
        <f>IF('Données projet'!$A$88&gt;35,BD8+BC9-BL8,IF(A9&lt;'Données projet'!$A$88,$BA$205^A9,IF(A9='Données projet'!$A$88,'Données projet'!$B$88,BD8+BC9-BL8)))</f>
        <v>23.322857142857139</v>
      </c>
      <c r="BE9" s="13">
        <f>BD9*VLOOKUP('Données projet'!$B$11,Paramètres!$A$1:$I$89,3,0)*VLOOKUP('Données projet'!$B$11,Paramètres!$A$1:$I$89,5,0)</f>
        <v>22.557867428571427</v>
      </c>
      <c r="BF9" s="13">
        <f t="shared" si="37"/>
        <v>7.2331290396118018</v>
      </c>
      <c r="BG9" s="20">
        <f t="shared" si="7"/>
        <v>51.885985515419122</v>
      </c>
      <c r="BH9" s="59">
        <f t="shared" si="8"/>
        <v>345.21931884875244</v>
      </c>
      <c r="BI9" s="59">
        <f ca="1">AVERAGE(OFFSET($BH$3,0,0,'Données projet'!$E$11+1,1))-AVERAGE(OFFSET($H$3,0,0,'Données projet'!$E$11+1,1))</f>
        <v>436.0942819360734</v>
      </c>
      <c r="BJ9" s="59">
        <f t="shared" si="38"/>
        <v>198.03942180876311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9.1025641025641022</v>
      </c>
      <c r="BY9" s="12">
        <f>IF('Données projet'!$A$114&gt;35,BY8+BX9-CG8,IF(A9&lt;'Données projet'!$A$114,$BV$205^A9,IF(A9='Données projet'!$A$114,'Données projet'!$B$114,BY8+BX9-CG8)))</f>
        <v>27.051282051282051</v>
      </c>
      <c r="BZ9" s="13">
        <f>BY9*VLOOKUP('Données projet'!$B$12,Paramètres!$A$1:$I$89,3,0)*VLOOKUP('Données projet'!$B$12,Paramètres!$A$1:$I$89,5,0)</f>
        <v>24.475999999999999</v>
      </c>
      <c r="CA9" s="13">
        <f t="shared" si="39"/>
        <v>7.7739746774986482</v>
      </c>
      <c r="CB9" s="20">
        <f t="shared" si="10"/>
        <v>56.16870589664348</v>
      </c>
      <c r="CC9" s="59">
        <f t="shared" si="11"/>
        <v>349.50203922997679</v>
      </c>
      <c r="CD9" s="59">
        <f ca="1">AVERAGE(OFFSET($CC$3,0,0,'Données projet'!$E$12+1,1))-AVERAGE(OFFSET($H$3,0,0,'Données projet'!$E$12+1,1))</f>
        <v>183.99578440773581</v>
      </c>
      <c r="CE9" s="59">
        <f t="shared" si="40"/>
        <v>258.43295338669657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0.55906596690438237</v>
      </c>
      <c r="CM9" s="21">
        <f>EXP(-LN(2)/2)*CM8+(1-EXP(-LN(2)/2))/(LN(2)/2)*CG9*CJ9*VLOOKUP('Données projet'!$B$12,Paramètres!$A$1:$I$89,3,0)*0.475*44/12</f>
        <v>0</v>
      </c>
      <c r="CN9" s="22">
        <f t="shared" si="12"/>
        <v>0.55906596690438237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5.1323999999999996</v>
      </c>
      <c r="D10" s="11">
        <f t="shared" si="32"/>
        <v>1.9552003009222731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54.711300568522809</v>
      </c>
      <c r="H10" s="67">
        <f t="shared" si="1"/>
        <v>305.67757052410627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3.887142857142857</v>
      </c>
      <c r="N10" s="13">
        <f>IF('Données projet'!$A$36&gt;35,N9+M10-V9,IF(A10&lt;'Données projet'!$A$36,$K$205^A10,IF(A10='Données projet'!$A$36,'Données projet'!$B$36,N9+M10-V9)))</f>
        <v>27.209999999999994</v>
      </c>
      <c r="O10" s="13">
        <f>N10*VLOOKUP('Données projet'!$B$9,Paramètres!$A$1:$I$89,3,0)*VLOOKUP('Données projet'!$B$9,Paramètres!$A$1:$I$89,5,0)</f>
        <v>24.619607999999992</v>
      </c>
      <c r="P10" s="13">
        <f t="shared" si="33"/>
        <v>7.8142639118614152</v>
      </c>
      <c r="Q10" s="20">
        <f t="shared" si="2"/>
        <v>56.488993579825284</v>
      </c>
      <c r="R10" s="59">
        <f t="shared" si="0"/>
        <v>349.82232691315858</v>
      </c>
      <c r="S10" s="59">
        <f ca="1">AVERAGE(OFFSET($R$3,0,0,'Données projet'!$E$9+1,1))-AVERAGE(OFFSET($H$3,0,0,'Données projet'!$E$9+1,1))</f>
        <v>399.15057697410413</v>
      </c>
      <c r="T10" s="59">
        <f t="shared" si="34"/>
        <v>182.37700638847298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3.887142857142857</v>
      </c>
      <c r="AI10" s="13">
        <f>IF('Données projet'!$A$62&gt;35,AI9+AH10-AQ9,IF(A10&lt;'Données projet'!$A$62,$AF$205^A10,IF(A10='Données projet'!$A$62,'Données projet'!$B$62,AI9+AH10-AQ9)))</f>
        <v>27.209999999999994</v>
      </c>
      <c r="AJ10" s="13">
        <f>AI10*VLOOKUP('Données projet'!$B$10,Paramètres!$A$1:$I$89,3,0)*VLOOKUP('Données projet'!$B$10,Paramètres!$A$1:$I$89,5,0)</f>
        <v>27.590939999999993</v>
      </c>
      <c r="AK10" s="13">
        <f t="shared" si="35"/>
        <v>8.6419816819814557</v>
      </c>
      <c r="AL10" s="20">
        <f t="shared" si="4"/>
        <v>63.105671929451027</v>
      </c>
      <c r="AM10" s="59">
        <f t="shared" si="5"/>
        <v>356.43900526278435</v>
      </c>
      <c r="AN10" s="59">
        <f ca="1">AVERAGE(OFFSET($AM$3,0,0,'Données projet'!$E$10+1,1))-AVERAGE(OFFSET($H$3,0,0,'Données projet'!$E$10+1,1))</f>
        <v>463.77045964052894</v>
      </c>
      <c r="AO10" s="59">
        <f t="shared" si="36"/>
        <v>209.77146243694483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3.887142857142857</v>
      </c>
      <c r="BD10" s="12">
        <f>IF('Données projet'!$A$88&gt;35,BD9+BC10-BL9,IF(A10&lt;'Données projet'!$A$88,$BA$205^A10,IF(A10='Données projet'!$A$88,'Données projet'!$B$88,BD9+BC10-BL9)))</f>
        <v>27.209999999999994</v>
      </c>
      <c r="BE10" s="13">
        <f>BD10*VLOOKUP('Données projet'!$B$11,Paramètres!$A$1:$I$89,3,0)*VLOOKUP('Données projet'!$B$11,Paramètres!$A$1:$I$89,5,0)</f>
        <v>26.317511999999997</v>
      </c>
      <c r="BF10" s="13">
        <f t="shared" si="37"/>
        <v>8.288585014920681</v>
      </c>
      <c r="BG10" s="20">
        <f t="shared" si="7"/>
        <v>60.272285634320177</v>
      </c>
      <c r="BH10" s="59">
        <f t="shared" si="8"/>
        <v>353.60561896765347</v>
      </c>
      <c r="BI10" s="59">
        <f ca="1">AVERAGE(OFFSET($BH$3,0,0,'Données projet'!$E$11+1,1))-AVERAGE(OFFSET($H$3,0,0,'Données projet'!$E$11+1,1))</f>
        <v>436.0942819360734</v>
      </c>
      <c r="BJ10" s="59">
        <f t="shared" si="38"/>
        <v>198.03942180876311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9.1025641025641022</v>
      </c>
      <c r="BY10" s="12">
        <f>IF('Données projet'!$A$114&gt;35,BY9+BX10-CG9,IF(A10&lt;'Données projet'!$A$114,$BV$205^A10,IF(A10='Données projet'!$A$114,'Données projet'!$B$114,BY9+BX10-CG9)))</f>
        <v>36.153846153846153</v>
      </c>
      <c r="BZ10" s="13">
        <f>BY10*VLOOKUP('Données projet'!$B$12,Paramètres!$A$1:$I$89,3,0)*VLOOKUP('Données projet'!$B$12,Paramètres!$A$1:$I$89,5,0)</f>
        <v>32.711999999999996</v>
      </c>
      <c r="CA10" s="13">
        <f t="shared" si="39"/>
        <v>10.04493790167033</v>
      </c>
      <c r="CB10" s="20">
        <f t="shared" si="10"/>
        <v>74.468333512075816</v>
      </c>
      <c r="CC10" s="59">
        <f t="shared" si="11"/>
        <v>367.80166684540916</v>
      </c>
      <c r="CD10" s="59">
        <f ca="1">AVERAGE(OFFSET($CC$3,0,0,'Données projet'!$E$12+1,1))-AVERAGE(OFFSET($H$3,0,0,'Données projet'!$E$12+1,1))</f>
        <v>183.99578440773581</v>
      </c>
      <c r="CE10" s="59">
        <f t="shared" si="40"/>
        <v>258.43295338669657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0.54377827863938055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0.54377827863938055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5.8655999999999997</v>
      </c>
      <c r="D11" s="11">
        <f t="shared" si="32"/>
        <v>2.2000519691514757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62.261173095204363</v>
      </c>
      <c r="H11" s="67">
        <f t="shared" si="1"/>
        <v>307.38101051293881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3.887142857142857</v>
      </c>
      <c r="N11" s="13">
        <f>IF('Données projet'!$A$36&gt;35,N10+M11-V10,IF(A11&lt;'Données projet'!$A$36,$K$205^A11,IF(A11='Données projet'!$A$36,'Données projet'!$B$36,N10+M11-V10)))</f>
        <v>31.097142857142849</v>
      </c>
      <c r="O11" s="13">
        <f>N11*VLOOKUP('Données projet'!$B$9,Paramètres!$A$1:$I$89,3,0)*VLOOKUP('Données projet'!$B$9,Paramètres!$A$1:$I$89,5,0)</f>
        <v>28.136694857142849</v>
      </c>
      <c r="P11" s="13">
        <f t="shared" si="33"/>
        <v>8.792851913254415</v>
      </c>
      <c r="Q11" s="20">
        <f t="shared" si="2"/>
        <v>64.318960625108559</v>
      </c>
      <c r="R11" s="59">
        <f t="shared" si="0"/>
        <v>357.65229395844187</v>
      </c>
      <c r="S11" s="59">
        <f ca="1">AVERAGE(OFFSET($R$3,0,0,'Données projet'!$E$9+1,1))-AVERAGE(OFFSET($H$3,0,0,'Données projet'!$E$9+1,1))</f>
        <v>399.15057697410413</v>
      </c>
      <c r="T11" s="59">
        <f t="shared" si="34"/>
        <v>182.37700638847298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3.887142857142857</v>
      </c>
      <c r="AI11" s="13">
        <f>IF('Données projet'!$A$62&gt;35,AI10+AH11-AQ10,IF(A11&lt;'Données projet'!$A$62,$AF$205^A11,IF(A11='Données projet'!$A$62,'Données projet'!$B$62,AI10+AH11-AQ10)))</f>
        <v>31.097142857142849</v>
      </c>
      <c r="AJ11" s="13">
        <f>AI11*VLOOKUP('Données projet'!$B$10,Paramètres!$A$1:$I$89,3,0)*VLOOKUP('Données projet'!$B$10,Paramètres!$A$1:$I$89,5,0)</f>
        <v>31.532502857142852</v>
      </c>
      <c r="AK11" s="13">
        <f t="shared" si="35"/>
        <v>9.7242255986999844</v>
      </c>
      <c r="AL11" s="20">
        <f t="shared" si="4"/>
        <v>71.855468727259591</v>
      </c>
      <c r="AM11" s="59">
        <f t="shared" si="5"/>
        <v>365.18880206059293</v>
      </c>
      <c r="AN11" s="59">
        <f ca="1">AVERAGE(OFFSET($AM$3,0,0,'Données projet'!$E$10+1,1))-AVERAGE(OFFSET($H$3,0,0,'Données projet'!$E$10+1,1))</f>
        <v>463.77045964052894</v>
      </c>
      <c r="AO11" s="59">
        <f t="shared" si="36"/>
        <v>209.77146243694483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3.887142857142857</v>
      </c>
      <c r="BD11" s="12">
        <f>IF('Données projet'!$A$88&gt;35,BD10+BC11-BL10,IF(A11&lt;'Données projet'!$A$88,$BA$205^A11,IF(A11='Données projet'!$A$88,'Données projet'!$B$88,BD10+BC11-BL10)))</f>
        <v>31.097142857142849</v>
      </c>
      <c r="BE11" s="13">
        <f>BD11*VLOOKUP('Données projet'!$B$11,Paramètres!$A$1:$I$89,3,0)*VLOOKUP('Données projet'!$B$11,Paramètres!$A$1:$I$89,5,0)</f>
        <v>30.077156571428564</v>
      </c>
      <c r="BF11" s="13">
        <f t="shared" si="37"/>
        <v>9.3265727173599551</v>
      </c>
      <c r="BG11" s="20">
        <f t="shared" si="7"/>
        <v>68.62816184463999</v>
      </c>
      <c r="BH11" s="59">
        <f t="shared" si="8"/>
        <v>361.96149517797329</v>
      </c>
      <c r="BI11" s="59">
        <f ca="1">AVERAGE(OFFSET($BH$3,0,0,'Données projet'!$E$11+1,1))-AVERAGE(OFFSET($H$3,0,0,'Données projet'!$E$11+1,1))</f>
        <v>436.0942819360734</v>
      </c>
      <c r="BJ11" s="59">
        <f t="shared" si="38"/>
        <v>198.03942180876311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9.1025641025641022</v>
      </c>
      <c r="BY11" s="12">
        <f>IF('Données projet'!$A$114&gt;35,BY10+BX11-CG10,IF(A11&lt;'Données projet'!$A$114,$BV$205^A11,IF(A11='Données projet'!$A$114,'Données projet'!$B$114,BY10+BX11-CG10)))</f>
        <v>45.256410256410255</v>
      </c>
      <c r="BZ11" s="13">
        <f>BY11*VLOOKUP('Données projet'!$B$12,Paramètres!$A$1:$I$89,3,0)*VLOOKUP('Données projet'!$B$12,Paramètres!$A$1:$I$89,5,0)</f>
        <v>40.948</v>
      </c>
      <c r="CA11" s="13">
        <f t="shared" si="39"/>
        <v>12.249570846756452</v>
      </c>
      <c r="CB11" s="20">
        <f t="shared" si="10"/>
        <v>92.652435891434152</v>
      </c>
      <c r="CC11" s="59">
        <f t="shared" si="11"/>
        <v>385.98576922476747</v>
      </c>
      <c r="CD11" s="59">
        <f ca="1">AVERAGE(OFFSET($CC$3,0,0,'Données projet'!$E$12+1,1))-AVERAGE(OFFSET($H$3,0,0,'Données projet'!$E$12+1,1))</f>
        <v>183.99578440773581</v>
      </c>
      <c r="CE11" s="59">
        <f t="shared" si="40"/>
        <v>258.43295338669657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0.52890863301392987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0.52890863301392987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6.5987999999999998</v>
      </c>
      <c r="D12" s="11">
        <f t="shared" si="32"/>
        <v>2.4413570988248194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69.783668833033701</v>
      </c>
      <c r="H12" s="67">
        <f t="shared" si="1"/>
        <v>309.07827361378656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3.887142857142857</v>
      </c>
      <c r="N12" s="13">
        <f>IF('Données projet'!$A$36&gt;35,N11+M12-V11,IF(A12&lt;'Données projet'!$A$36,$K$205^A12,IF(A12='Données projet'!$A$36,'Données projet'!$B$36,N11+M12-V11)))</f>
        <v>34.984285714285704</v>
      </c>
      <c r="O12" s="13">
        <f>N12*VLOOKUP('Données projet'!$B$9,Paramètres!$A$1:$I$89,3,0)*VLOOKUP('Données projet'!$B$9,Paramètres!$A$1:$I$89,5,0)</f>
        <v>31.653781714285703</v>
      </c>
      <c r="P12" s="13">
        <f t="shared" si="33"/>
        <v>9.757265618420071</v>
      </c>
      <c r="Q12" s="20">
        <f t="shared" si="2"/>
        <v>72.124240771129223</v>
      </c>
      <c r="R12" s="59">
        <f t="shared" si="0"/>
        <v>365.45757410446254</v>
      </c>
      <c r="S12" s="59">
        <f ca="1">AVERAGE(OFFSET($R$3,0,0,'Données projet'!$E$9+1,1))-AVERAGE(OFFSET($H$3,0,0,'Données projet'!$E$9+1,1))</f>
        <v>399.15057697410413</v>
      </c>
      <c r="T12" s="59">
        <f t="shared" si="34"/>
        <v>182.37700638847298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3.887142857142857</v>
      </c>
      <c r="AI12" s="13">
        <f>IF('Données projet'!$A$62&gt;35,AI11+AH12-AQ11,IF(A12&lt;'Données projet'!$A$62,$AF$205^A12,IF(A12='Données projet'!$A$62,'Données projet'!$B$62,AI11+AH12-AQ11)))</f>
        <v>34.984285714285704</v>
      </c>
      <c r="AJ12" s="13">
        <f>AI12*VLOOKUP('Données projet'!$B$10,Paramètres!$A$1:$I$89,3,0)*VLOOKUP('Données projet'!$B$10,Paramètres!$A$1:$I$89,5,0)</f>
        <v>35.474065714285707</v>
      </c>
      <c r="AK12" s="13">
        <f t="shared" si="35"/>
        <v>10.790793821618898</v>
      </c>
      <c r="AL12" s="20">
        <f t="shared" si="4"/>
        <v>80.577963691700518</v>
      </c>
      <c r="AM12" s="59">
        <f t="shared" si="5"/>
        <v>373.91129702503383</v>
      </c>
      <c r="AN12" s="59">
        <f ca="1">AVERAGE(OFFSET($AM$3,0,0,'Données projet'!$E$10+1,1))-AVERAGE(OFFSET($H$3,0,0,'Données projet'!$E$10+1,1))</f>
        <v>463.77045964052894</v>
      </c>
      <c r="AO12" s="59">
        <f t="shared" si="36"/>
        <v>209.77146243694483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3.887142857142857</v>
      </c>
      <c r="BD12" s="12">
        <f>IF('Données projet'!$A$88&gt;35,BD11+BC12-BL11,IF(A12&lt;'Données projet'!$A$88,$BA$205^A12,IF(A12='Données projet'!$A$88,'Données projet'!$B$88,BD11+BC12-BL11)))</f>
        <v>34.984285714285704</v>
      </c>
      <c r="BE12" s="13">
        <f>BD12*VLOOKUP('Données projet'!$B$11,Paramètres!$A$1:$I$89,3,0)*VLOOKUP('Données projet'!$B$11,Paramètres!$A$1:$I$89,5,0)</f>
        <v>33.836801142857134</v>
      </c>
      <c r="BF12" s="13">
        <f t="shared" si="37"/>
        <v>10.349525752345953</v>
      </c>
      <c r="BG12" s="20">
        <f t="shared" si="7"/>
        <v>76.957852675812049</v>
      </c>
      <c r="BH12" s="59">
        <f t="shared" si="8"/>
        <v>370.29118600914535</v>
      </c>
      <c r="BI12" s="59">
        <f ca="1">AVERAGE(OFFSET($BH$3,0,0,'Données projet'!$E$11+1,1))-AVERAGE(OFFSET($H$3,0,0,'Données projet'!$E$11+1,1))</f>
        <v>436.0942819360734</v>
      </c>
      <c r="BJ12" s="59">
        <f t="shared" si="38"/>
        <v>198.03942180876311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9.1025641025641022</v>
      </c>
      <c r="BY12" s="12">
        <f>IF('Données projet'!$A$114&gt;35,BY11+BX12-CG11,IF(A12&lt;'Données projet'!$A$114,$BV$205^A12,IF(A12='Données projet'!$A$114,'Données projet'!$B$114,BY11+BX12-CG11)))</f>
        <v>54.358974358974358</v>
      </c>
      <c r="BZ12" s="13">
        <f>BY12*VLOOKUP('Données projet'!$B$12,Paramètres!$A$1:$I$89,3,0)*VLOOKUP('Données projet'!$B$12,Paramètres!$A$1:$I$89,5,0)</f>
        <v>49.183999999999997</v>
      </c>
      <c r="CA12" s="13">
        <f t="shared" si="39"/>
        <v>14.40282271714239</v>
      </c>
      <c r="CB12" s="20">
        <f t="shared" si="10"/>
        <v>110.74704956568966</v>
      </c>
      <c r="CC12" s="59">
        <f t="shared" si="11"/>
        <v>404.08038289902299</v>
      </c>
      <c r="CD12" s="59">
        <f ca="1">AVERAGE(OFFSET($CC$3,0,0,'Données projet'!$E$12+1,1))-AVERAGE(OFFSET($H$3,0,0,'Données projet'!$E$12+1,1))</f>
        <v>183.99578440773581</v>
      </c>
      <c r="CE12" s="59">
        <f t="shared" si="40"/>
        <v>258.43295338669657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0.51444559863006778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0.51444559863006778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7.3319999999999999</v>
      </c>
      <c r="D13" s="11">
        <f t="shared" si="32"/>
        <v>2.6795547009841778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77.282176639176114</v>
      </c>
      <c r="H13" s="67">
        <f t="shared" si="1"/>
        <v>310.77012443754745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3.887142857142857</v>
      </c>
      <c r="N13" s="13">
        <f>IF('Données projet'!$A$36&gt;35,N12+M13-V12,IF(A13&lt;'Données projet'!$A$36,$K$205^A13,IF(A13='Données projet'!$A$36,'Données projet'!$B$36,N12+M13-V12)))</f>
        <v>38.871428571428559</v>
      </c>
      <c r="O13" s="13">
        <f>N13*VLOOKUP('Données projet'!$B$9,Paramètres!$A$1:$I$89,3,0)*VLOOKUP('Données projet'!$B$9,Paramètres!$A$1:$I$89,5,0)</f>
        <v>35.170868571428556</v>
      </c>
      <c r="P13" s="13">
        <f t="shared" si="33"/>
        <v>10.709259603674569</v>
      </c>
      <c r="Q13" s="20">
        <f t="shared" si="2"/>
        <v>79.90788990497127</v>
      </c>
      <c r="R13" s="59">
        <f t="shared" si="0"/>
        <v>373.2412232383046</v>
      </c>
      <c r="S13" s="59">
        <f ca="1">AVERAGE(OFFSET($R$3,0,0,'Données projet'!$E$9+1,1))-AVERAGE(OFFSET($H$3,0,0,'Données projet'!$E$9+1,1))</f>
        <v>399.15057697410413</v>
      </c>
      <c r="T13" s="59">
        <f t="shared" si="34"/>
        <v>182.37700638847298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3.887142857142857</v>
      </c>
      <c r="AI13" s="13">
        <f>IF('Données projet'!$A$62&gt;35,AI12+AH13-AQ12,IF(A13&lt;'Données projet'!$A$62,$AF$205^A13,IF(A13='Données projet'!$A$62,'Données projet'!$B$62,AI12+AH13-AQ12)))</f>
        <v>38.871428571428559</v>
      </c>
      <c r="AJ13" s="13">
        <f>AI13*VLOOKUP('Données projet'!$B$10,Paramètres!$A$1:$I$89,3,0)*VLOOKUP('Données projet'!$B$10,Paramètres!$A$1:$I$89,5,0)</f>
        <v>39.415628571428563</v>
      </c>
      <c r="AK13" s="13">
        <f t="shared" si="35"/>
        <v>11.843626778724154</v>
      </c>
      <c r="AL13" s="20">
        <f t="shared" si="4"/>
        <v>89.276536401515969</v>
      </c>
      <c r="AM13" s="59">
        <f t="shared" si="5"/>
        <v>382.60986973484927</v>
      </c>
      <c r="AN13" s="59">
        <f ca="1">AVERAGE(OFFSET($AM$3,0,0,'Données projet'!$E$10+1,1))-AVERAGE(OFFSET($H$3,0,0,'Données projet'!$E$10+1,1))</f>
        <v>463.77045964052894</v>
      </c>
      <c r="AO13" s="59">
        <f t="shared" si="36"/>
        <v>209.77146243694483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3.887142857142857</v>
      </c>
      <c r="BD13" s="12">
        <f>IF('Données projet'!$A$88&gt;35,BD12+BC13-BL12,IF(A13&lt;'Données projet'!$A$88,$BA$205^A13,IF(A13='Données projet'!$A$88,'Données projet'!$B$88,BD12+BC13-BL12)))</f>
        <v>38.871428571428559</v>
      </c>
      <c r="BE13" s="13">
        <f>BD13*VLOOKUP('Données projet'!$B$11,Paramètres!$A$1:$I$89,3,0)*VLOOKUP('Données projet'!$B$11,Paramètres!$A$1:$I$89,5,0)</f>
        <v>37.596445714285707</v>
      </c>
      <c r="BF13" s="13">
        <f t="shared" si="37"/>
        <v>11.359305197918257</v>
      </c>
      <c r="BG13" s="20">
        <f t="shared" si="7"/>
        <v>85.264599505421899</v>
      </c>
      <c r="BH13" s="59">
        <f t="shared" si="8"/>
        <v>378.59793283875524</v>
      </c>
      <c r="BI13" s="59">
        <f ca="1">AVERAGE(OFFSET($BH$3,0,0,'Données projet'!$E$11+1,1))-AVERAGE(OFFSET($H$3,0,0,'Données projet'!$E$11+1,1))</f>
        <v>436.0942819360734</v>
      </c>
      <c r="BJ13" s="59">
        <f t="shared" si="38"/>
        <v>198.03942180876311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>
        <f>VLOOKUP(A13,'Données projet'!$A$113:$I$133,2,0)</f>
        <v>63.46153846153846</v>
      </c>
      <c r="BW13" s="12">
        <f>VLOOKUP(A13,'Données projet'!$A$113:$I$133,9,0)</f>
        <v>9.1025641025641022</v>
      </c>
      <c r="BX13" s="12">
        <f t="array" ref="BX13">INDEX(BW:BW,MIN(IF(ISNUMBER(BW13:BW209),ROW(BW13:BW209),"")))</f>
        <v>9.1025641025641022</v>
      </c>
      <c r="BY13" s="12">
        <f>IF('Données projet'!$A$114&gt;35,BY12+BX13-CG12,IF(A13&lt;'Données projet'!$A$114,$BV$205^A13,IF(A13='Données projet'!$A$114,'Données projet'!$B$114,BY12+BX13-CG12)))</f>
        <v>63.46153846153846</v>
      </c>
      <c r="BZ13" s="13">
        <f>BY13*VLOOKUP('Données projet'!$B$12,Paramètres!$A$1:$I$89,3,0)*VLOOKUP('Données projet'!$B$12,Paramètres!$A$1:$I$89,5,0)</f>
        <v>57.42</v>
      </c>
      <c r="CA13" s="13">
        <f t="shared" si="39"/>
        <v>16.514304873769795</v>
      </c>
      <c r="CB13" s="20">
        <f t="shared" si="10"/>
        <v>128.76891432181574</v>
      </c>
      <c r="CC13" s="59">
        <f t="shared" si="11"/>
        <v>422.10224765514909</v>
      </c>
      <c r="CD13" s="59">
        <f ca="1">AVERAGE(OFFSET($CC$3,0,0,'Données projet'!$E$12+1,1))-AVERAGE(OFFSET($H$3,0,0,'Données projet'!$E$12+1,1))</f>
        <v>183.99578440773581</v>
      </c>
      <c r="CE13" s="59">
        <f t="shared" si="40"/>
        <v>258.43295338669657</v>
      </c>
      <c r="CF13" s="15">
        <f>IF(ISNA(VLOOKUP(A13,'Données projet'!$A$113:$I$133,3,0)),0,VLOOKUP(A13,'Données projet'!$A$113:$I$133,3,0))</f>
        <v>2</v>
      </c>
      <c r="CG13" s="15">
        <f>IF(ISNA(VLOOKUP(A13,'Données projet'!$A$113:$I$133,4,0)),0,VLOOKUP(A13,'Données projet'!$A$113:$I$133,4,0))</f>
        <v>17.948717948717949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0.15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3.182700826089123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3.182700826089123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8.065199999999999</v>
      </c>
      <c r="D14" s="11">
        <f t="shared" si="32"/>
        <v>2.9149909035839161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84.759368378542504</v>
      </c>
      <c r="H14" s="67">
        <f t="shared" si="1"/>
        <v>312.45716582374195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3.887142857142857</v>
      </c>
      <c r="N14" s="13">
        <f>IF('Données projet'!$A$36&gt;35,N13+M14-V13,IF(A14&lt;'Données projet'!$A$36,$K$205^A14,IF(A14='Données projet'!$A$36,'Données projet'!$B$36,N13+M14-V13)))</f>
        <v>42.758571428571415</v>
      </c>
      <c r="O14" s="13">
        <f>N14*VLOOKUP('Données projet'!$B$9,Paramètres!$A$1:$I$89,3,0)*VLOOKUP('Données projet'!$B$9,Paramètres!$A$1:$I$89,5,0)</f>
        <v>38.687955428571414</v>
      </c>
      <c r="P14" s="13">
        <f t="shared" si="33"/>
        <v>11.650217223542473</v>
      </c>
      <c r="Q14" s="20">
        <f t="shared" si="2"/>
        <v>87.672317369098337</v>
      </c>
      <c r="R14" s="59">
        <f t="shared" si="0"/>
        <v>381.00565070243164</v>
      </c>
      <c r="S14" s="59">
        <f ca="1">AVERAGE(OFFSET($R$3,0,0,'Données projet'!$E$9+1,1))-AVERAGE(OFFSET($H$3,0,0,'Données projet'!$E$9+1,1))</f>
        <v>399.15057697410413</v>
      </c>
      <c r="T14" s="59">
        <f t="shared" si="34"/>
        <v>182.37700638847298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3.887142857142857</v>
      </c>
      <c r="AI14" s="13">
        <f>IF('Données projet'!$A$62&gt;35,AI13+AH14-AQ13,IF(A14&lt;'Données projet'!$A$62,$AF$205^A14,IF(A14='Données projet'!$A$62,'Données projet'!$B$62,AI13+AH14-AQ13)))</f>
        <v>42.758571428571415</v>
      </c>
      <c r="AJ14" s="13">
        <f>AI14*VLOOKUP('Données projet'!$B$10,Paramètres!$A$1:$I$89,3,0)*VLOOKUP('Données projet'!$B$10,Paramètres!$A$1:$I$89,5,0)</f>
        <v>43.357191428571419</v>
      </c>
      <c r="AK14" s="13">
        <f t="shared" si="35"/>
        <v>12.884254354928219</v>
      </c>
      <c r="AL14" s="20">
        <f t="shared" si="4"/>
        <v>97.953851406261848</v>
      </c>
      <c r="AM14" s="59">
        <f t="shared" si="5"/>
        <v>391.28718473959515</v>
      </c>
      <c r="AN14" s="59">
        <f ca="1">AVERAGE(OFFSET($AM$3,0,0,'Données projet'!$E$10+1,1))-AVERAGE(OFFSET($H$3,0,0,'Données projet'!$E$10+1,1))</f>
        <v>463.77045964052894</v>
      </c>
      <c r="AO14" s="59">
        <f t="shared" si="36"/>
        <v>209.77146243694483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3.887142857142857</v>
      </c>
      <c r="BD14" s="12">
        <f>IF('Données projet'!$A$88&gt;35,BD13+BC14-BL13,IF(A14&lt;'Données projet'!$A$88,$BA$205^A14,IF(A14='Données projet'!$A$88,'Données projet'!$B$88,BD13+BC14-BL13)))</f>
        <v>42.758571428571415</v>
      </c>
      <c r="BE14" s="13">
        <f>BD14*VLOOKUP('Données projet'!$B$11,Paramètres!$A$1:$I$89,3,0)*VLOOKUP('Données projet'!$B$11,Paramètres!$A$1:$I$89,5,0)</f>
        <v>41.356090285714274</v>
      </c>
      <c r="BF14" s="13">
        <f t="shared" si="37"/>
        <v>12.357378377386118</v>
      </c>
      <c r="BG14" s="20">
        <f t="shared" si="7"/>
        <v>93.550957921566507</v>
      </c>
      <c r="BH14" s="59">
        <f t="shared" si="8"/>
        <v>386.88429125489984</v>
      </c>
      <c r="BI14" s="59">
        <f ca="1">AVERAGE(OFFSET($BH$3,0,0,'Données projet'!$E$11+1,1))-AVERAGE(OFFSET($H$3,0,0,'Données projet'!$E$11+1,1))</f>
        <v>436.0942819360734</v>
      </c>
      <c r="BJ14" s="59">
        <f t="shared" si="38"/>
        <v>198.03942180876311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8.8461538461538449</v>
      </c>
      <c r="BY14" s="12">
        <f>IF('Données projet'!$A$114&gt;35,BY13+BX14-CG13,IF(A14&lt;'Données projet'!$A$114,$BV$205^A14,IF(A14='Données projet'!$A$114,'Données projet'!$B$114,BY13+BX14-CG13)))</f>
        <v>54.358974358974358</v>
      </c>
      <c r="BZ14" s="13">
        <f>BY14*VLOOKUP('Données projet'!$B$12,Paramètres!$A$1:$I$89,3,0)*VLOOKUP('Données projet'!$B$12,Paramètres!$A$1:$I$89,5,0)</f>
        <v>49.183999999999997</v>
      </c>
      <c r="CA14" s="13">
        <f t="shared" si="39"/>
        <v>14.40282271714239</v>
      </c>
      <c r="CB14" s="20">
        <f t="shared" si="10"/>
        <v>110.74704956568966</v>
      </c>
      <c r="CC14" s="59">
        <f t="shared" si="11"/>
        <v>404.08038289902299</v>
      </c>
      <c r="CD14" s="59">
        <f ca="1">AVERAGE(OFFSET($CC$3,0,0,'Données projet'!$E$12+1,1))-AVERAGE(OFFSET($H$3,0,0,'Données projet'!$E$12+1,1))</f>
        <v>183.99578440773581</v>
      </c>
      <c r="CE14" s="59">
        <f t="shared" si="40"/>
        <v>258.43295338669657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3.0956697046287536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3.0956697046287536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8.7983999999999991</v>
      </c>
      <c r="D15" s="11">
        <f t="shared" si="32"/>
        <v>3.1479452926301796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92.217402258899639</v>
      </c>
      <c r="H15" s="67">
        <f t="shared" si="1"/>
        <v>314.13988471799752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3.887142857142857</v>
      </c>
      <c r="N15" s="13">
        <f>IF('Données projet'!$A$36&gt;35,N14+M15-V14,IF(A15&lt;'Données projet'!$A$36,$K$205^A15,IF(A15='Données projet'!$A$36,'Données projet'!$B$36,N14+M15-V14)))</f>
        <v>46.64571428571427</v>
      </c>
      <c r="O15" s="13">
        <f>N15*VLOOKUP('Données projet'!$B$9,Paramètres!$A$1:$I$89,3,0)*VLOOKUP('Données projet'!$B$9,Paramètres!$A$1:$I$89,5,0)</f>
        <v>42.205042285714271</v>
      </c>
      <c r="P15" s="13">
        <f t="shared" si="33"/>
        <v>12.581255887241159</v>
      </c>
      <c r="Q15" s="20">
        <f t="shared" si="2"/>
        <v>95.419469317897367</v>
      </c>
      <c r="R15" s="59">
        <f t="shared" si="0"/>
        <v>388.7528026512307</v>
      </c>
      <c r="S15" s="59">
        <f ca="1">AVERAGE(OFFSET($R$3,0,0,'Données projet'!$E$9+1,1))-AVERAGE(OFFSET($H$3,0,0,'Données projet'!$E$9+1,1))</f>
        <v>399.15057697410413</v>
      </c>
      <c r="T15" s="59">
        <f t="shared" si="34"/>
        <v>182.37700638847298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3.887142857142857</v>
      </c>
      <c r="AI15" s="13">
        <f>IF('Données projet'!$A$62&gt;35,AI14+AH15-AQ14,IF(A15&lt;'Données projet'!$A$62,$AF$205^A15,IF(A15='Données projet'!$A$62,'Données projet'!$B$62,AI14+AH15-AQ14)))</f>
        <v>46.64571428571427</v>
      </c>
      <c r="AJ15" s="13">
        <f>AI15*VLOOKUP('Données projet'!$B$10,Paramètres!$A$1:$I$89,3,0)*VLOOKUP('Données projet'!$B$10,Paramètres!$A$1:$I$89,5,0)</f>
        <v>47.298754285714274</v>
      </c>
      <c r="AK15" s="13">
        <f t="shared" si="35"/>
        <v>13.913912319856609</v>
      </c>
      <c r="AL15" s="20">
        <f t="shared" si="4"/>
        <v>106.6120610047026</v>
      </c>
      <c r="AM15" s="59">
        <f t="shared" si="5"/>
        <v>399.9453943380359</v>
      </c>
      <c r="AN15" s="59">
        <f ca="1">AVERAGE(OFFSET($AM$3,0,0,'Données projet'!$E$10+1,1))-AVERAGE(OFFSET($H$3,0,0,'Données projet'!$E$10+1,1))</f>
        <v>463.77045964052894</v>
      </c>
      <c r="AO15" s="59">
        <f t="shared" si="36"/>
        <v>209.77146243694483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3.887142857142857</v>
      </c>
      <c r="BD15" s="12">
        <f>IF('Données projet'!$A$88&gt;35,BD14+BC15-BL14,IF(A15&lt;'Données projet'!$A$88,$BA$205^A15,IF(A15='Données projet'!$A$88,'Données projet'!$B$88,BD14+BC15-BL14)))</f>
        <v>46.64571428571427</v>
      </c>
      <c r="BE15" s="13">
        <f>BD15*VLOOKUP('Données projet'!$B$11,Paramètres!$A$1:$I$89,3,0)*VLOOKUP('Données projet'!$B$11,Paramètres!$A$1:$I$89,5,0)</f>
        <v>45.115734857142847</v>
      </c>
      <c r="BF15" s="13">
        <f t="shared" si="37"/>
        <v>13.344930526032003</v>
      </c>
      <c r="BG15" s="20">
        <f t="shared" si="7"/>
        <v>101.81899220902953</v>
      </c>
      <c r="BH15" s="59">
        <f t="shared" si="8"/>
        <v>395.15232554236286</v>
      </c>
      <c r="BI15" s="59">
        <f ca="1">AVERAGE(OFFSET($BH$3,0,0,'Données projet'!$E$11+1,1))-AVERAGE(OFFSET($H$3,0,0,'Données projet'!$E$11+1,1))</f>
        <v>436.0942819360734</v>
      </c>
      <c r="BJ15" s="59">
        <f t="shared" si="38"/>
        <v>198.03942180876311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8.8461538461538449</v>
      </c>
      <c r="BY15" s="12">
        <f>IF('Données projet'!$A$114&gt;35,BY14+BX15-CG14,IF(A15&lt;'Données projet'!$A$114,$BV$205^A15,IF(A15='Données projet'!$A$114,'Données projet'!$B$114,BY14+BX15-CG14)))</f>
        <v>63.205128205128204</v>
      </c>
      <c r="BZ15" s="13">
        <f>BY15*VLOOKUP('Données projet'!$B$12,Paramètres!$A$1:$I$89,3,0)*VLOOKUP('Données projet'!$B$12,Paramètres!$A$1:$I$89,5,0)</f>
        <v>57.187999999999995</v>
      </c>
      <c r="CA15" s="13">
        <f t="shared" si="39"/>
        <v>16.455333252367602</v>
      </c>
      <c r="CB15" s="20">
        <f t="shared" si="10"/>
        <v>128.26213874787356</v>
      </c>
      <c r="CC15" s="59">
        <f t="shared" si="11"/>
        <v>421.59547208120688</v>
      </c>
      <c r="CD15" s="59">
        <f ca="1">AVERAGE(OFFSET($CC$3,0,0,'Données projet'!$E$12+1,1))-AVERAGE(OFFSET($H$3,0,0,'Données projet'!$E$12+1,1))</f>
        <v>183.99578440773581</v>
      </c>
      <c r="CE15" s="59">
        <f t="shared" si="40"/>
        <v>258.43295338669657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3.0110184537614857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3.0110184537614857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9.5315999999999992</v>
      </c>
      <c r="D16" s="11">
        <f t="shared" si="32"/>
        <v>3.3786481992658062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99.658056275034298</v>
      </c>
      <c r="H16" s="67">
        <f t="shared" si="1"/>
        <v>315.81868228038792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3.887142857142857</v>
      </c>
      <c r="N16" s="13">
        <f>IF('Données projet'!$A$36&gt;35,N15+M16-V15,IF(A16&lt;'Données projet'!$A$36,$K$205^A16,IF(A16='Données projet'!$A$36,'Données projet'!$B$36,N15+M16-V15)))</f>
        <v>50.532857142857125</v>
      </c>
      <c r="O16" s="13">
        <f>N16*VLOOKUP('Données projet'!$B$9,Paramètres!$A$1:$I$89,3,0)*VLOOKUP('Données projet'!$B$9,Paramètres!$A$1:$I$89,5,0)</f>
        <v>45.722129142857128</v>
      </c>
      <c r="P16" s="13">
        <f t="shared" si="33"/>
        <v>13.50329614922042</v>
      </c>
      <c r="Q16" s="20">
        <f t="shared" si="2"/>
        <v>103.1509490503684</v>
      </c>
      <c r="R16" s="59">
        <f t="shared" si="0"/>
        <v>396.48428238370172</v>
      </c>
      <c r="S16" s="59">
        <f ca="1">AVERAGE(OFFSET($R$3,0,0,'Données projet'!$E$9+1,1))-AVERAGE(OFFSET($H$3,0,0,'Données projet'!$E$9+1,1))</f>
        <v>399.15057697410413</v>
      </c>
      <c r="T16" s="59">
        <f t="shared" si="34"/>
        <v>182.37700638847298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3.887142857142857</v>
      </c>
      <c r="AI16" s="13">
        <f>IF('Données projet'!$A$62&gt;35,AI15+AH16-AQ15,IF(A16&lt;'Données projet'!$A$62,$AF$205^A16,IF(A16='Données projet'!$A$62,'Données projet'!$B$62,AI15+AH16-AQ15)))</f>
        <v>50.532857142857125</v>
      </c>
      <c r="AJ16" s="13">
        <f>AI16*VLOOKUP('Données projet'!$B$10,Paramètres!$A$1:$I$89,3,0)*VLOOKUP('Données projet'!$B$10,Paramètres!$A$1:$I$89,5,0)</f>
        <v>51.240317142857123</v>
      </c>
      <c r="AK16" s="13">
        <f t="shared" si="35"/>
        <v>14.933618736730883</v>
      </c>
      <c r="AL16" s="20">
        <f t="shared" si="4"/>
        <v>115.25293832361577</v>
      </c>
      <c r="AM16" s="59">
        <f t="shared" si="5"/>
        <v>408.58627165694907</v>
      </c>
      <c r="AN16" s="59">
        <f ca="1">AVERAGE(OFFSET($AM$3,0,0,'Données projet'!$E$10+1,1))-AVERAGE(OFFSET($H$3,0,0,'Données projet'!$E$10+1,1))</f>
        <v>463.77045964052894</v>
      </c>
      <c r="AO16" s="59">
        <f t="shared" si="36"/>
        <v>209.77146243694483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3.887142857142857</v>
      </c>
      <c r="BD16" s="12">
        <f>IF('Données projet'!$A$88&gt;35,BD15+BC16-BL15,IF(A16&lt;'Données projet'!$A$88,$BA$205^A16,IF(A16='Données projet'!$A$88,'Données projet'!$B$88,BD15+BC16-BL15)))</f>
        <v>50.532857142857125</v>
      </c>
      <c r="BE16" s="13">
        <f>BD16*VLOOKUP('Données projet'!$B$11,Paramètres!$A$1:$I$89,3,0)*VLOOKUP('Données projet'!$B$11,Paramètres!$A$1:$I$89,5,0)</f>
        <v>48.875379428571414</v>
      </c>
      <c r="BF16" s="13">
        <f t="shared" si="37"/>
        <v>14.322938075405181</v>
      </c>
      <c r="BG16" s="20">
        <f t="shared" si="7"/>
        <v>110.07040298609256</v>
      </c>
      <c r="BH16" s="59">
        <f t="shared" si="8"/>
        <v>403.40373631942589</v>
      </c>
      <c r="BI16" s="59">
        <f ca="1">AVERAGE(OFFSET($BH$3,0,0,'Données projet'!$E$11+1,1))-AVERAGE(OFFSET($H$3,0,0,'Données projet'!$E$11+1,1))</f>
        <v>436.0942819360734</v>
      </c>
      <c r="BJ16" s="59">
        <f t="shared" si="38"/>
        <v>198.03942180876311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8.8461538461538449</v>
      </c>
      <c r="BY16" s="12">
        <f>IF('Données projet'!$A$114&gt;35,BY15+BX16-CG15,IF(A16&lt;'Données projet'!$A$114,$BV$205^A16,IF(A16='Données projet'!$A$114,'Données projet'!$B$114,BY15+BX16-CG15)))</f>
        <v>72.051282051282044</v>
      </c>
      <c r="BZ16" s="13">
        <f>BY16*VLOOKUP('Données projet'!$B$12,Paramètres!$A$1:$I$89,3,0)*VLOOKUP('Données projet'!$B$12,Paramètres!$A$1:$I$89,5,0)</f>
        <v>65.191999999999993</v>
      </c>
      <c r="CA16" s="13">
        <f t="shared" si="39"/>
        <v>18.47456207535636</v>
      </c>
      <c r="CB16" s="20">
        <f t="shared" si="10"/>
        <v>145.71926228124565</v>
      </c>
      <c r="CC16" s="59">
        <f t="shared" si="11"/>
        <v>439.05259561457899</v>
      </c>
      <c r="CD16" s="59">
        <f ca="1">AVERAGE(OFFSET($CC$3,0,0,'Données projet'!$E$12+1,1))-AVERAGE(OFFSET($H$3,0,0,'Données projet'!$E$12+1,1))</f>
        <v>183.99578440773581</v>
      </c>
      <c r="CE16" s="59">
        <f t="shared" si="40"/>
        <v>258.43295338669657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2.9286819958007992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2.9286819958007992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10.264799999999999</v>
      </c>
      <c r="D17" s="11">
        <f t="shared" si="32"/>
        <v>3.6072925061053467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107.08281934537462</v>
      </c>
      <c r="H17" s="67">
        <f t="shared" si="1"/>
        <v>317.49389444813346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3.887142857142857</v>
      </c>
      <c r="N17" s="13">
        <f>IF('Données projet'!$A$36&gt;35,N16+M17-V16,IF(A17&lt;'Données projet'!$A$36,$K$205^A17,IF(A17='Données projet'!$A$36,'Données projet'!$B$36,N16+M17-V16)))</f>
        <v>54.41999999999998</v>
      </c>
      <c r="O17" s="13">
        <f>N17*VLOOKUP('Données projet'!$B$9,Paramètres!$A$1:$I$89,3,0)*VLOOKUP('Données projet'!$B$9,Paramètres!$A$1:$I$89,5,0)</f>
        <v>49.239215999999978</v>
      </c>
      <c r="P17" s="13">
        <f t="shared" si="33"/>
        <v>14.417108895027585</v>
      </c>
      <c r="Q17" s="20">
        <f t="shared" si="2"/>
        <v>110.86809919217301</v>
      </c>
      <c r="R17" s="59">
        <f t="shared" si="0"/>
        <v>404.20143252550633</v>
      </c>
      <c r="S17" s="59">
        <f ca="1">AVERAGE(OFFSET($R$3,0,0,'Données projet'!$E$9+1,1))-AVERAGE(OFFSET($H$3,0,0,'Données projet'!$E$9+1,1))</f>
        <v>399.15057697410413</v>
      </c>
      <c r="T17" s="59">
        <f t="shared" si="34"/>
        <v>182.37700638847298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3.887142857142857</v>
      </c>
      <c r="AI17" s="13">
        <f>IF('Données projet'!$A$62&gt;35,AI16+AH17-AQ16,IF(A17&lt;'Données projet'!$A$62,$AF$205^A17,IF(A17='Données projet'!$A$62,'Données projet'!$B$62,AI16+AH17-AQ16)))</f>
        <v>54.41999999999998</v>
      </c>
      <c r="AJ17" s="13">
        <f>AI17*VLOOKUP('Données projet'!$B$10,Paramètres!$A$1:$I$89,3,0)*VLOOKUP('Données projet'!$B$10,Paramètres!$A$1:$I$89,5,0)</f>
        <v>55.181879999999985</v>
      </c>
      <c r="AK17" s="13">
        <f t="shared" si="35"/>
        <v>15.944226146347479</v>
      </c>
      <c r="AL17" s="20">
        <f t="shared" si="4"/>
        <v>123.87796820488852</v>
      </c>
      <c r="AM17" s="59">
        <f t="shared" si="5"/>
        <v>417.21130153822185</v>
      </c>
      <c r="AN17" s="59">
        <f ca="1">AVERAGE(OFFSET($AM$3,0,0,'Données projet'!$E$10+1,1))-AVERAGE(OFFSET($H$3,0,0,'Données projet'!$E$10+1,1))</f>
        <v>463.77045964052894</v>
      </c>
      <c r="AO17" s="59">
        <f t="shared" si="36"/>
        <v>209.77146243694483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3.887142857142857</v>
      </c>
      <c r="BD17" s="12">
        <f>IF('Données projet'!$A$88&gt;35,BD16+BC17-BL16,IF(A17&lt;'Données projet'!$A$88,$BA$205^A17,IF(A17='Données projet'!$A$88,'Données projet'!$B$88,BD16+BC17-BL16)))</f>
        <v>54.41999999999998</v>
      </c>
      <c r="BE17" s="13">
        <f>BD17*VLOOKUP('Données projet'!$B$11,Paramètres!$A$1:$I$89,3,0)*VLOOKUP('Données projet'!$B$11,Paramètres!$A$1:$I$89,5,0)</f>
        <v>52.63502399999998</v>
      </c>
      <c r="BF17" s="13">
        <f t="shared" si="37"/>
        <v>15.292218703340431</v>
      </c>
      <c r="BG17" s="20">
        <f t="shared" si="7"/>
        <v>118.30661437498453</v>
      </c>
      <c r="BH17" s="59">
        <f t="shared" si="8"/>
        <v>411.63994770831783</v>
      </c>
      <c r="BI17" s="59">
        <f ca="1">AVERAGE(OFFSET($BH$3,0,0,'Données projet'!$E$11+1,1))-AVERAGE(OFFSET($H$3,0,0,'Données projet'!$E$11+1,1))</f>
        <v>436.0942819360734</v>
      </c>
      <c r="BJ17" s="59">
        <f t="shared" si="38"/>
        <v>198.03942180876311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8.8461538461538449</v>
      </c>
      <c r="BY17" s="12">
        <f>IF('Données projet'!$A$114&gt;35,BY16+BX17-CG16,IF(A17&lt;'Données projet'!$A$114,$BV$205^A17,IF(A17='Données projet'!$A$114,'Données projet'!$B$114,BY16+BX17-CG16)))</f>
        <v>80.897435897435884</v>
      </c>
      <c r="BZ17" s="13">
        <f>BY17*VLOOKUP('Données projet'!$B$12,Paramètres!$A$1:$I$89,3,0)*VLOOKUP('Données projet'!$B$12,Paramètres!$A$1:$I$89,5,0)</f>
        <v>73.195999999999984</v>
      </c>
      <c r="CA17" s="13">
        <f t="shared" si="39"/>
        <v>20.465063002623072</v>
      </c>
      <c r="CB17" s="20">
        <f t="shared" si="10"/>
        <v>163.12635139623515</v>
      </c>
      <c r="CC17" s="59">
        <f t="shared" si="11"/>
        <v>456.45968472956849</v>
      </c>
      <c r="CD17" s="59">
        <f ca="1">AVERAGE(OFFSET($CC$3,0,0,'Données projet'!$E$12+1,1))-AVERAGE(OFFSET($H$3,0,0,'Données projet'!$E$12+1,1))</f>
        <v>183.99578440773581</v>
      </c>
      <c r="CE17" s="59">
        <f t="shared" si="40"/>
        <v>258.43295338669657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2.848597032612934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2.848597032612934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10.997999999999999</v>
      </c>
      <c r="D18" s="11">
        <f t="shared" si="32"/>
        <v>3.8340419797271834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114.49295563298176</v>
      </c>
      <c r="H18" s="67">
        <f t="shared" si="1"/>
        <v>319.1658064480248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3.887142857142857</v>
      </c>
      <c r="N18" s="13">
        <f>IF('Données projet'!$A$36&gt;35,N17+M18-V17,IF(A18&lt;'Données projet'!$A$36,$K$205^A18,IF(A18='Données projet'!$A$36,'Données projet'!$B$36,N17+M18-V17)))</f>
        <v>58.307142857142836</v>
      </c>
      <c r="O18" s="13">
        <f>N18*VLOOKUP('Données projet'!$B$9,Paramètres!$A$1:$I$89,3,0)*VLOOKUP('Données projet'!$B$9,Paramètres!$A$1:$I$89,5,0)</f>
        <v>52.756302857142842</v>
      </c>
      <c r="P18" s="13">
        <f t="shared" si="33"/>
        <v>15.323348643415981</v>
      </c>
      <c r="Q18" s="20">
        <f t="shared" si="2"/>
        <v>118.57205969680662</v>
      </c>
      <c r="R18" s="59">
        <f t="shared" si="0"/>
        <v>411.90539303013992</v>
      </c>
      <c r="S18" s="59">
        <f ca="1">AVERAGE(OFFSET($R$3,0,0,'Données projet'!$E$9+1,1))-AVERAGE(OFFSET($H$3,0,0,'Données projet'!$E$9+1,1))</f>
        <v>399.15057697410413</v>
      </c>
      <c r="T18" s="59">
        <f t="shared" si="34"/>
        <v>182.37700638847298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3.887142857142857</v>
      </c>
      <c r="AI18" s="13">
        <f>IF('Données projet'!$A$62&gt;35,AI17+AH18-AQ17,IF(A18&lt;'Données projet'!$A$62,$AF$205^A18,IF(A18='Données projet'!$A$62,'Données projet'!$B$62,AI17+AH18-AQ17)))</f>
        <v>58.307142857142836</v>
      </c>
      <c r="AJ18" s="13">
        <f>AI18*VLOOKUP('Données projet'!$B$10,Paramètres!$A$1:$I$89,3,0)*VLOOKUP('Données projet'!$B$10,Paramètres!$A$1:$I$89,5,0)</f>
        <v>59.123442857142841</v>
      </c>
      <c r="AK18" s="13">
        <f t="shared" si="35"/>
        <v>16.946458396677293</v>
      </c>
      <c r="AL18" s="20">
        <f t="shared" si="4"/>
        <v>132.4884113504034</v>
      </c>
      <c r="AM18" s="59">
        <f t="shared" si="5"/>
        <v>425.82174468373671</v>
      </c>
      <c r="AN18" s="59">
        <f ca="1">AVERAGE(OFFSET($AM$3,0,0,'Données projet'!$E$10+1,1))-AVERAGE(OFFSET($H$3,0,0,'Données projet'!$E$10+1,1))</f>
        <v>463.77045964052894</v>
      </c>
      <c r="AO18" s="59">
        <f t="shared" si="36"/>
        <v>209.77146243694483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3.887142857142857</v>
      </c>
      <c r="BD18" s="12">
        <f>IF('Données projet'!$A$88&gt;35,BD17+BC18-BL17,IF(A18&lt;'Données projet'!$A$88,$BA$205^A18,IF(A18='Données projet'!$A$88,'Données projet'!$B$88,BD17+BC18-BL17)))</f>
        <v>58.307142857142836</v>
      </c>
      <c r="BE18" s="13">
        <f>BD18*VLOOKUP('Données projet'!$B$11,Paramètres!$A$1:$I$89,3,0)*VLOOKUP('Données projet'!$B$11,Paramètres!$A$1:$I$89,5,0)</f>
        <v>56.394668571428546</v>
      </c>
      <c r="BF18" s="13">
        <f t="shared" si="37"/>
        <v>16.253466657484363</v>
      </c>
      <c r="BG18" s="20">
        <f t="shared" si="7"/>
        <v>126.52883552368996</v>
      </c>
      <c r="BH18" s="59">
        <f t="shared" si="8"/>
        <v>419.86216885702328</v>
      </c>
      <c r="BI18" s="59">
        <f ca="1">AVERAGE(OFFSET($BH$3,0,0,'Données projet'!$E$11+1,1))-AVERAGE(OFFSET($H$3,0,0,'Données projet'!$E$11+1,1))</f>
        <v>436.0942819360734</v>
      </c>
      <c r="BJ18" s="59">
        <f t="shared" si="38"/>
        <v>198.03942180876311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>
        <f>VLOOKUP(A18,'Données projet'!$A$113:$I$133,2,0)</f>
        <v>89.743589743589737</v>
      </c>
      <c r="BW18" s="12">
        <f>VLOOKUP(A18,'Données projet'!$A$113:$I$133,9,0)</f>
        <v>8.8461538461538449</v>
      </c>
      <c r="BX18" s="12">
        <f t="array" ref="BX18">INDEX(BW:BW,MIN(IF(ISNUMBER(BW18:BW214),ROW(BW18:BW214),"")))</f>
        <v>8.8461538461538449</v>
      </c>
      <c r="BY18" s="12">
        <f>IF('Données projet'!$A$114&gt;35,BY17+BX18-CG17,IF(A18&lt;'Données projet'!$A$114,$BV$205^A18,IF(A18='Données projet'!$A$114,'Données projet'!$B$114,BY17+BX18-CG17)))</f>
        <v>89.743589743589723</v>
      </c>
      <c r="BZ18" s="13">
        <f>BY18*VLOOKUP('Données projet'!$B$12,Paramètres!$A$1:$I$89,3,0)*VLOOKUP('Données projet'!$B$12,Paramètres!$A$1:$I$89,5,0)</f>
        <v>81.199999999999974</v>
      </c>
      <c r="CA18" s="13">
        <f t="shared" si="39"/>
        <v>22.430335642007741</v>
      </c>
      <c r="CB18" s="20">
        <f t="shared" si="10"/>
        <v>180.48950124316343</v>
      </c>
      <c r="CC18" s="59">
        <f t="shared" si="11"/>
        <v>473.82283457649675</v>
      </c>
      <c r="CD18" s="59">
        <f ca="1">AVERAGE(OFFSET($CC$3,0,0,'Données projet'!$E$12+1,1))-AVERAGE(OFFSET($H$3,0,0,'Données projet'!$E$12+1,1))</f>
        <v>183.99578440773581</v>
      </c>
      <c r="CE18" s="59">
        <f t="shared" si="40"/>
        <v>258.43295338669657</v>
      </c>
      <c r="CF18" s="15">
        <f>IF(ISNA(VLOOKUP(A18,'Données projet'!$A$113:$I$133,3,0)),0,VLOOKUP(A18,'Données projet'!$A$113:$I$133,3,0))</f>
        <v>3</v>
      </c>
      <c r="CG18" s="15">
        <f>IF(ISNA(VLOOKUP(A18,'Données projet'!$A$113:$I$133,4,0)),0,VLOOKUP(A18,'Données projet'!$A$113:$I$133,4,0))</f>
        <v>14.743589743589743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0.15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4.9740385575393402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4.9740385575393402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11.731199999999999</v>
      </c>
      <c r="D19" s="11">
        <f t="shared" si="32"/>
        <v>4.0590373158284008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121.88955120990344</v>
      </c>
      <c r="H19" s="67">
        <f t="shared" si="1"/>
        <v>320.83466332506777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3.887142857142857</v>
      </c>
      <c r="N19" s="13">
        <f>IF('Données projet'!$A$36&gt;35,N18+M19-V18,IF(A19&lt;'Données projet'!$A$36,$K$205^A19,IF(A19='Données projet'!$A$36,'Données projet'!$B$36,N18+M19-V18)))</f>
        <v>62.194285714285691</v>
      </c>
      <c r="O19" s="13">
        <f>N19*VLOOKUP('Données projet'!$B$9,Paramètres!$A$1:$I$89,3,0)*VLOOKUP('Données projet'!$B$9,Paramètres!$A$1:$I$89,5,0)</f>
        <v>56.273389714285692</v>
      </c>
      <c r="P19" s="13">
        <f t="shared" si="33"/>
        <v>16.222577706752112</v>
      </c>
      <c r="Q19" s="20">
        <f t="shared" si="2"/>
        <v>126.26380992497417</v>
      </c>
      <c r="R19" s="59">
        <f t="shared" si="0"/>
        <v>419.59714325830748</v>
      </c>
      <c r="S19" s="59">
        <f ca="1">AVERAGE(OFFSET($R$3,0,0,'Données projet'!$E$9+1,1))-AVERAGE(OFFSET($H$3,0,0,'Données projet'!$E$9+1,1))</f>
        <v>399.15057697410413</v>
      </c>
      <c r="T19" s="59">
        <f t="shared" si="34"/>
        <v>182.37700638847298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3.887142857142857</v>
      </c>
      <c r="AI19" s="13">
        <f>IF('Données projet'!$A$62&gt;35,AI18+AH19-AQ18,IF(A19&lt;'Données projet'!$A$62,$AF$205^A19,IF(A19='Données projet'!$A$62,'Données projet'!$B$62,AI18+AH19-AQ18)))</f>
        <v>62.194285714285691</v>
      </c>
      <c r="AJ19" s="13">
        <f>AI19*VLOOKUP('Données projet'!$B$10,Paramètres!$A$1:$I$89,3,0)*VLOOKUP('Données projet'!$B$10,Paramètres!$A$1:$I$89,5,0)</f>
        <v>63.065005714285689</v>
      </c>
      <c r="AK19" s="13">
        <f t="shared" si="35"/>
        <v>17.940937362438909</v>
      </c>
      <c r="AL19" s="20">
        <f t="shared" si="4"/>
        <v>141.08535085862869</v>
      </c>
      <c r="AM19" s="59">
        <f t="shared" si="5"/>
        <v>434.41868419196203</v>
      </c>
      <c r="AN19" s="59">
        <f ca="1">AVERAGE(OFFSET($AM$3,0,0,'Données projet'!$E$10+1,1))-AVERAGE(OFFSET($H$3,0,0,'Données projet'!$E$10+1,1))</f>
        <v>463.77045964052894</v>
      </c>
      <c r="AO19" s="59">
        <f t="shared" si="36"/>
        <v>209.77146243694483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3.887142857142857</v>
      </c>
      <c r="BD19" s="12">
        <f>IF('Données projet'!$A$88&gt;35,BD18+BC19-BL18,IF(A19&lt;'Données projet'!$A$88,$BA$205^A19,IF(A19='Données projet'!$A$88,'Données projet'!$B$88,BD18+BC19-BL18)))</f>
        <v>62.194285714285691</v>
      </c>
      <c r="BE19" s="13">
        <f>BD19*VLOOKUP('Données projet'!$B$11,Paramètres!$A$1:$I$89,3,0)*VLOOKUP('Données projet'!$B$11,Paramètres!$A$1:$I$89,5,0)</f>
        <v>60.15431314285712</v>
      </c>
      <c r="BF19" s="13">
        <f t="shared" si="37"/>
        <v>17.207278382224739</v>
      </c>
      <c r="BG19" s="20">
        <f t="shared" si="7"/>
        <v>134.73810523951758</v>
      </c>
      <c r="BH19" s="59">
        <f t="shared" si="8"/>
        <v>428.07143857285087</v>
      </c>
      <c r="BI19" s="59">
        <f ca="1">AVERAGE(OFFSET($BH$3,0,0,'Données projet'!$E$11+1,1))-AVERAGE(OFFSET($H$3,0,0,'Données projet'!$E$11+1,1))</f>
        <v>436.0942819360734</v>
      </c>
      <c r="BJ19" s="59">
        <f t="shared" si="38"/>
        <v>198.03942180876311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8.0769230769230766</v>
      </c>
      <c r="BY19" s="12">
        <f>IF('Données projet'!$A$114&gt;35,BY18+BX19-CG18,IF(A19&lt;'Données projet'!$A$114,$BV$205^A19,IF(A19='Données projet'!$A$114,'Données projet'!$B$114,BY18+BX19-CG18)))</f>
        <v>83.076923076923066</v>
      </c>
      <c r="BZ19" s="13">
        <f>BY19*VLOOKUP('Données projet'!$B$12,Paramètres!$A$1:$I$89,3,0)*VLOOKUP('Données projet'!$B$12,Paramètres!$A$1:$I$89,5,0)</f>
        <v>75.167999999999992</v>
      </c>
      <c r="CA19" s="13">
        <f t="shared" si="39"/>
        <v>20.951485434510399</v>
      </c>
      <c r="CB19" s="20">
        <f t="shared" si="10"/>
        <v>167.40810379843893</v>
      </c>
      <c r="CC19" s="59">
        <f t="shared" si="11"/>
        <v>460.74143713177227</v>
      </c>
      <c r="CD19" s="59">
        <f ca="1">AVERAGE(OFFSET($CC$3,0,0,'Données projet'!$E$12+1,1))-AVERAGE(OFFSET($H$3,0,0,'Données projet'!$E$12+1,1))</f>
        <v>183.99578440773581</v>
      </c>
      <c r="CE19" s="59">
        <f t="shared" si="40"/>
        <v>258.43295338669657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4.8380232116101078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4.8380232116101078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12.464399999999999</v>
      </c>
      <c r="D20" s="11">
        <f t="shared" si="32"/>
        <v>4.2824006291256396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129.27354871605758</v>
      </c>
      <c r="H20" s="67">
        <f t="shared" si="1"/>
        <v>322.50067776239382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3.887142857142857</v>
      </c>
      <c r="N20" s="13">
        <f>IF('Données projet'!$A$36&gt;35,N19+M20-V19,IF(A20&lt;'Données projet'!$A$36,$K$205^A20,IF(A20='Données projet'!$A$36,'Données projet'!$B$36,N19+M20-V19)))</f>
        <v>66.081428571428546</v>
      </c>
      <c r="O20" s="13">
        <f>N20*VLOOKUP('Données projet'!$B$9,Paramètres!$A$1:$I$89,3,0)*VLOOKUP('Données projet'!$B$9,Paramètres!$A$1:$I$89,5,0)</f>
        <v>59.790476571428549</v>
      </c>
      <c r="P20" s="13">
        <f t="shared" si="33"/>
        <v>17.115284135607041</v>
      </c>
      <c r="Q20" s="20">
        <f t="shared" si="2"/>
        <v>133.94419989808699</v>
      </c>
      <c r="R20" s="59">
        <f t="shared" si="0"/>
        <v>427.27753323142031</v>
      </c>
      <c r="S20" s="59">
        <f ca="1">AVERAGE(OFFSET($R$3,0,0,'Données projet'!$E$9+1,1))-AVERAGE(OFFSET($H$3,0,0,'Données projet'!$E$9+1,1))</f>
        <v>399.15057697410413</v>
      </c>
      <c r="T20" s="59">
        <f t="shared" si="34"/>
        <v>182.37700638847298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3.887142857142857</v>
      </c>
      <c r="AI20" s="13">
        <f>IF('Données projet'!$A$62&gt;35,AI19+AH20-AQ19,IF(A20&lt;'Données projet'!$A$62,$AF$205^A20,IF(A20='Données projet'!$A$62,'Données projet'!$B$62,AI19+AH20-AQ19)))</f>
        <v>66.081428571428546</v>
      </c>
      <c r="AJ20" s="13">
        <f>AI20*VLOOKUP('Données projet'!$B$10,Paramètres!$A$1:$I$89,3,0)*VLOOKUP('Données projet'!$B$10,Paramètres!$A$1:$I$89,5,0)</f>
        <v>67.006568571428559</v>
      </c>
      <c r="AK20" s="13">
        <f t="shared" si="35"/>
        <v>18.928202790452044</v>
      </c>
      <c r="AL20" s="20">
        <f t="shared" si="4"/>
        <v>149.66972678860873</v>
      </c>
      <c r="AM20" s="59">
        <f t="shared" si="5"/>
        <v>443.00306012194204</v>
      </c>
      <c r="AN20" s="59">
        <f ca="1">AVERAGE(OFFSET($AM$3,0,0,'Données projet'!$E$10+1,1))-AVERAGE(OFFSET($H$3,0,0,'Données projet'!$E$10+1,1))</f>
        <v>463.77045964052894</v>
      </c>
      <c r="AO20" s="59">
        <f t="shared" si="36"/>
        <v>209.77146243694483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3.887142857142857</v>
      </c>
      <c r="BD20" s="12">
        <f>IF('Données projet'!$A$88&gt;35,BD19+BC20-BL19,IF(A20&lt;'Données projet'!$A$88,$BA$205^A20,IF(A20='Données projet'!$A$88,'Données projet'!$B$88,BD19+BC20-BL19)))</f>
        <v>66.081428571428546</v>
      </c>
      <c r="BE20" s="13">
        <f>BD20*VLOOKUP('Données projet'!$B$11,Paramètres!$A$1:$I$89,3,0)*VLOOKUP('Données projet'!$B$11,Paramètres!$A$1:$I$89,5,0)</f>
        <v>63.913957714285694</v>
      </c>
      <c r="BF20" s="13">
        <f t="shared" si="37"/>
        <v>18.154171552507719</v>
      </c>
      <c r="BG20" s="20">
        <f t="shared" si="7"/>
        <v>142.9353251396652</v>
      </c>
      <c r="BH20" s="59">
        <f t="shared" si="8"/>
        <v>436.26865847299848</v>
      </c>
      <c r="BI20" s="59">
        <f ca="1">AVERAGE(OFFSET($BH$3,0,0,'Données projet'!$E$11+1,1))-AVERAGE(OFFSET($H$3,0,0,'Données projet'!$E$11+1,1))</f>
        <v>436.0942819360734</v>
      </c>
      <c r="BJ20" s="59">
        <f t="shared" si="38"/>
        <v>198.03942180876311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8.0769230769230766</v>
      </c>
      <c r="BY20" s="12">
        <f>IF('Données projet'!$A$114&gt;35,BY19+BX20-CG19,IF(A20&lt;'Données projet'!$A$114,$BV$205^A20,IF(A20='Données projet'!$A$114,'Données projet'!$B$114,BY19+BX20-CG19)))</f>
        <v>91.153846153846146</v>
      </c>
      <c r="BZ20" s="13">
        <f>BY20*VLOOKUP('Données projet'!$B$12,Paramètres!$A$1:$I$89,3,0)*VLOOKUP('Données projet'!$B$12,Paramètres!$A$1:$I$89,5,0)</f>
        <v>82.475999999999985</v>
      </c>
      <c r="CA20" s="13">
        <f t="shared" si="39"/>
        <v>22.741500866894679</v>
      </c>
      <c r="CB20" s="20">
        <f t="shared" si="10"/>
        <v>183.25381400984153</v>
      </c>
      <c r="CC20" s="59">
        <f t="shared" si="11"/>
        <v>476.58714734317482</v>
      </c>
      <c r="CD20" s="59">
        <f ca="1">AVERAGE(OFFSET($CC$3,0,0,'Données projet'!$E$12+1,1))-AVERAGE(OFFSET($H$3,0,0,'Données projet'!$E$12+1,1))</f>
        <v>183.99578440773581</v>
      </c>
      <c r="CE20" s="59">
        <f t="shared" si="40"/>
        <v>258.43295338669657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4.7057272124680463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4.7057272124680463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13.1976</v>
      </c>
      <c r="D21" s="11">
        <f t="shared" si="32"/>
        <v>4.504238856327774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136.64577362779337</v>
      </c>
      <c r="H21" s="67">
        <f t="shared" si="1"/>
        <v>324.16403600810418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3.887142857142857</v>
      </c>
      <c r="N21" s="13">
        <f>IF('Données projet'!$A$36&gt;35,N20+M21-V20,IF(A21&lt;'Données projet'!$A$36,$K$205^A21,IF(A21='Données projet'!$A$36,'Données projet'!$B$36,N20+M21-V20)))</f>
        <v>69.968571428571408</v>
      </c>
      <c r="O21" s="13">
        <f>N21*VLOOKUP('Données projet'!$B$9,Paramètres!$A$1:$I$89,3,0)*VLOOKUP('Données projet'!$B$9,Paramètres!$A$1:$I$89,5,0)</f>
        <v>63.307563428571406</v>
      </c>
      <c r="P21" s="13">
        <f t="shared" si="33"/>
        <v>18.001895319269028</v>
      </c>
      <c r="Q21" s="20">
        <f t="shared" si="2"/>
        <v>141.61397398582207</v>
      </c>
      <c r="R21" s="59">
        <f t="shared" si="0"/>
        <v>434.94730731915536</v>
      </c>
      <c r="S21" s="59">
        <f ca="1">AVERAGE(OFFSET($R$3,0,0,'Données projet'!$E$9+1,1))-AVERAGE(OFFSET($H$3,0,0,'Données projet'!$E$9+1,1))</f>
        <v>399.15057697410413</v>
      </c>
      <c r="T21" s="59">
        <f t="shared" si="34"/>
        <v>182.37700638847298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3.887142857142857</v>
      </c>
      <c r="AI21" s="13">
        <f>IF('Données projet'!$A$62&gt;35,AI20+AH21-AQ20,IF(A21&lt;'Données projet'!$A$62,$AF$205^A21,IF(A21='Données projet'!$A$62,'Données projet'!$B$62,AI20+AH21-AQ20)))</f>
        <v>69.968571428571408</v>
      </c>
      <c r="AJ21" s="13">
        <f>AI21*VLOOKUP('Données projet'!$B$10,Paramètres!$A$1:$I$89,3,0)*VLOOKUP('Données projet'!$B$10,Paramètres!$A$1:$I$89,5,0)</f>
        <v>70.948131428571415</v>
      </c>
      <c r="AK21" s="13">
        <f t="shared" si="35"/>
        <v>19.908727340770373</v>
      </c>
      <c r="AL21" s="20">
        <f t="shared" si="4"/>
        <v>158.24236235660359</v>
      </c>
      <c r="AM21" s="59">
        <f t="shared" si="5"/>
        <v>451.57569568993688</v>
      </c>
      <c r="AN21" s="59">
        <f ca="1">AVERAGE(OFFSET($AM$3,0,0,'Données projet'!$E$10+1,1))-AVERAGE(OFFSET($H$3,0,0,'Données projet'!$E$10+1,1))</f>
        <v>463.77045964052894</v>
      </c>
      <c r="AO21" s="59">
        <f t="shared" si="36"/>
        <v>209.77146243694483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3.887142857142857</v>
      </c>
      <c r="BD21" s="12">
        <f>IF('Données projet'!$A$88&gt;35,BD20+BC21-BL20,IF(A21&lt;'Données projet'!$A$88,$BA$205^A21,IF(A21='Données projet'!$A$88,'Données projet'!$B$88,BD20+BC21-BL20)))</f>
        <v>69.968571428571408</v>
      </c>
      <c r="BE21" s="13">
        <f>BD21*VLOOKUP('Données projet'!$B$11,Paramètres!$A$1:$I$89,3,0)*VLOOKUP('Données projet'!$B$11,Paramètres!$A$1:$I$89,5,0)</f>
        <v>67.673602285714267</v>
      </c>
      <c r="BF21" s="13">
        <f t="shared" si="37"/>
        <v>19.094599499893381</v>
      </c>
      <c r="BG21" s="20">
        <f t="shared" si="7"/>
        <v>151.12128477659996</v>
      </c>
      <c r="BH21" s="59">
        <f t="shared" si="8"/>
        <v>444.45461810993328</v>
      </c>
      <c r="BI21" s="59">
        <f ca="1">AVERAGE(OFFSET($BH$3,0,0,'Données projet'!$E$11+1,1))-AVERAGE(OFFSET($H$3,0,0,'Données projet'!$E$11+1,1))</f>
        <v>436.0942819360734</v>
      </c>
      <c r="BJ21" s="59">
        <f t="shared" si="38"/>
        <v>198.03942180876311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8.0769230769230766</v>
      </c>
      <c r="BY21" s="12">
        <f>IF('Données projet'!$A$114&gt;35,BY20+BX21-CG20,IF(A21&lt;'Données projet'!$A$114,$BV$205^A21,IF(A21='Données projet'!$A$114,'Données projet'!$B$114,BY20+BX21-CG20)))</f>
        <v>99.230769230769226</v>
      </c>
      <c r="BZ21" s="13">
        <f>BY21*VLOOKUP('Données projet'!$B$12,Paramètres!$A$1:$I$89,3,0)*VLOOKUP('Données projet'!$B$12,Paramètres!$A$1:$I$89,5,0)</f>
        <v>89.783999999999992</v>
      </c>
      <c r="CA21" s="13">
        <f t="shared" si="39"/>
        <v>24.513123712181578</v>
      </c>
      <c r="CB21" s="20">
        <f t="shared" si="10"/>
        <v>199.06749046538289</v>
      </c>
      <c r="CC21" s="59">
        <f t="shared" si="11"/>
        <v>492.4008237987162</v>
      </c>
      <c r="CD21" s="59">
        <f ca="1">AVERAGE(OFFSET($CC$3,0,0,'Données projet'!$E$12+1,1))-AVERAGE(OFFSET($H$3,0,0,'Données projet'!$E$12+1,1))</f>
        <v>183.99578440773581</v>
      </c>
      <c r="CE21" s="59">
        <f t="shared" si="40"/>
        <v>258.43295338669657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4.5770488543796688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4.5770488543796688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13.9308</v>
      </c>
      <c r="D22" s="11">
        <f t="shared" si="32"/>
        <v>4.7246463812124082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144.00695452163964</v>
      </c>
      <c r="H22" s="67">
        <f t="shared" si="1"/>
        <v>325.82490244727825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3.887142857142857</v>
      </c>
      <c r="N22" s="13">
        <f>IF('Données projet'!$A$36&gt;35,N21+M22-V21,IF(A22&lt;'Données projet'!$A$36,$K$205^A22,IF(A22='Données projet'!$A$36,'Données projet'!$B$36,N21+M22-V21)))</f>
        <v>73.855714285714271</v>
      </c>
      <c r="O22" s="13">
        <f>N22*VLOOKUP('Données projet'!$B$9,Paramètres!$A$1:$I$89,3,0)*VLOOKUP('Données projet'!$B$9,Paramètres!$A$1:$I$89,5,0)</f>
        <v>66.82465028571427</v>
      </c>
      <c r="P22" s="13">
        <f t="shared" si="33"/>
        <v>18.882788477272459</v>
      </c>
      <c r="Q22" s="20">
        <f t="shared" si="2"/>
        <v>149.27378917886855</v>
      </c>
      <c r="R22" s="59">
        <f t="shared" si="0"/>
        <v>442.60712251220184</v>
      </c>
      <c r="S22" s="59">
        <f ca="1">AVERAGE(OFFSET($R$3,0,0,'Données projet'!$E$9+1,1))-AVERAGE(OFFSET($H$3,0,0,'Données projet'!$E$9+1,1))</f>
        <v>399.15057697410413</v>
      </c>
      <c r="T22" s="59">
        <f t="shared" si="34"/>
        <v>182.37700638847298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3.887142857142857</v>
      </c>
      <c r="AI22" s="13">
        <f>IF('Données projet'!$A$62&gt;35,AI21+AH22-AQ21,IF(A22&lt;'Données projet'!$A$62,$AF$205^A22,IF(A22='Données projet'!$A$62,'Données projet'!$B$62,AI21+AH22-AQ21)))</f>
        <v>73.855714285714271</v>
      </c>
      <c r="AJ22" s="13">
        <f>AI22*VLOOKUP('Données projet'!$B$10,Paramètres!$A$1:$I$89,3,0)*VLOOKUP('Données projet'!$B$10,Paramètres!$A$1:$I$89,5,0)</f>
        <v>74.889694285714285</v>
      </c>
      <c r="AK22" s="13">
        <f t="shared" si="35"/>
        <v>20.882928189514811</v>
      </c>
      <c r="AL22" s="20">
        <f t="shared" si="4"/>
        <v>166.80398414435732</v>
      </c>
      <c r="AM22" s="59">
        <f t="shared" si="5"/>
        <v>460.13731747769066</v>
      </c>
      <c r="AN22" s="59">
        <f ca="1">AVERAGE(OFFSET($AM$3,0,0,'Données projet'!$E$10+1,1))-AVERAGE(OFFSET($H$3,0,0,'Données projet'!$E$10+1,1))</f>
        <v>463.77045964052894</v>
      </c>
      <c r="AO22" s="59">
        <f t="shared" si="36"/>
        <v>209.77146243694483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3.887142857142857</v>
      </c>
      <c r="BD22" s="12">
        <f>IF('Données projet'!$A$88&gt;35,BD21+BC22-BL21,IF(A22&lt;'Données projet'!$A$88,$BA$205^A22,IF(A22='Données projet'!$A$88,'Données projet'!$B$88,BD21+BC22-BL21)))</f>
        <v>73.855714285714271</v>
      </c>
      <c r="BE22" s="13">
        <f>BD22*VLOOKUP('Données projet'!$B$11,Paramètres!$A$1:$I$89,3,0)*VLOOKUP('Données projet'!$B$11,Paramètres!$A$1:$I$89,5,0)</f>
        <v>71.433246857142848</v>
      </c>
      <c r="BF22" s="13">
        <f t="shared" si="37"/>
        <v>20.02896234091423</v>
      </c>
      <c r="BG22" s="20">
        <f t="shared" si="7"/>
        <v>159.2966810199494</v>
      </c>
      <c r="BH22" s="59">
        <f t="shared" si="8"/>
        <v>452.63001435328272</v>
      </c>
      <c r="BI22" s="59">
        <f ca="1">AVERAGE(OFFSET($BH$3,0,0,'Données projet'!$E$11+1,1))-AVERAGE(OFFSET($H$3,0,0,'Données projet'!$E$11+1,1))</f>
        <v>436.0942819360734</v>
      </c>
      <c r="BJ22" s="59">
        <f t="shared" si="38"/>
        <v>198.03942180876311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8.0769230769230766</v>
      </c>
      <c r="BY22" s="12">
        <f>IF('Données projet'!$A$114&gt;35,BY21+BX22-CG21,IF(A22&lt;'Données projet'!$A$114,$BV$205^A22,IF(A22='Données projet'!$A$114,'Données projet'!$B$114,BY21+BX22-CG21)))</f>
        <v>107.30769230769231</v>
      </c>
      <c r="BZ22" s="13">
        <f>BY22*VLOOKUP('Données projet'!$B$12,Paramètres!$A$1:$I$89,3,0)*VLOOKUP('Données projet'!$B$12,Paramètres!$A$1:$I$89,5,0)</f>
        <v>97.091999999999999</v>
      </c>
      <c r="CA22" s="13">
        <f t="shared" si="39"/>
        <v>26.268021243169812</v>
      </c>
      <c r="CB22" s="20">
        <f t="shared" si="10"/>
        <v>214.85203699852073</v>
      </c>
      <c r="CC22" s="59">
        <f t="shared" si="11"/>
        <v>508.18537033185407</v>
      </c>
      <c r="CD22" s="59">
        <f ca="1">AVERAGE(OFFSET($CC$3,0,0,'Données projet'!$E$12+1,1))-AVERAGE(OFFSET($H$3,0,0,'Données projet'!$E$12+1,1))</f>
        <v>183.99578440773581</v>
      </c>
      <c r="CE22" s="59">
        <f t="shared" si="40"/>
        <v>258.43295338669657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4.4518892127601184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4.4518892127601184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14.664</v>
      </c>
      <c r="D23" s="11">
        <f t="shared" si="32"/>
        <v>4.9437070912888705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151.35773895030005</v>
      </c>
      <c r="H23" s="67">
        <f t="shared" si="1"/>
        <v>327.48342318399477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3.887142857142857</v>
      </c>
      <c r="N23" s="13">
        <f>IF('Données projet'!$A$36&gt;35,N22+M23-V22,IF(A23&lt;'Données projet'!$A$36,$K$205^A23,IF(A23='Données projet'!$A$36,'Données projet'!$B$36,N22+M23-V22)))</f>
        <v>77.742857142857133</v>
      </c>
      <c r="O23" s="13">
        <f>N23*VLOOKUP('Données projet'!$B$9,Paramètres!$A$1:$I$89,3,0)*VLOOKUP('Données projet'!$B$9,Paramètres!$A$1:$I$89,5,0)</f>
        <v>70.341737142857127</v>
      </c>
      <c r="P23" s="13">
        <f t="shared" si="33"/>
        <v>19.758298879173367</v>
      </c>
      <c r="Q23" s="20">
        <f t="shared" si="2"/>
        <v>156.92422940503644</v>
      </c>
      <c r="R23" s="59">
        <f t="shared" si="0"/>
        <v>450.25756273836976</v>
      </c>
      <c r="S23" s="59">
        <f ca="1">AVERAGE(OFFSET($R$3,0,0,'Données projet'!$E$9+1,1))-AVERAGE(OFFSET($H$3,0,0,'Données projet'!$E$9+1,1))</f>
        <v>399.15057697410413</v>
      </c>
      <c r="T23" s="59">
        <f t="shared" si="34"/>
        <v>182.37700638847298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3.887142857142857</v>
      </c>
      <c r="AI23" s="13">
        <f>IF('Données projet'!$A$62&gt;35,AI22+AH23-AQ22,IF(A23&lt;'Données projet'!$A$62,$AF$205^A23,IF(A23='Données projet'!$A$62,'Données projet'!$B$62,AI22+AH23-AQ22)))</f>
        <v>77.742857142857133</v>
      </c>
      <c r="AJ23" s="13">
        <f>AI23*VLOOKUP('Données projet'!$B$10,Paramètres!$A$1:$I$89,3,0)*VLOOKUP('Données projet'!$B$10,Paramètres!$A$1:$I$89,5,0)</f>
        <v>78.83125714285714</v>
      </c>
      <c r="AK23" s="13">
        <f t="shared" si="35"/>
        <v>21.851176119320101</v>
      </c>
      <c r="AL23" s="20">
        <f t="shared" si="4"/>
        <v>175.35523793162534</v>
      </c>
      <c r="AM23" s="59">
        <f t="shared" si="5"/>
        <v>468.68857126495868</v>
      </c>
      <c r="AN23" s="59">
        <f ca="1">AVERAGE(OFFSET($AM$3,0,0,'Données projet'!$E$10+1,1))-AVERAGE(OFFSET($H$3,0,0,'Données projet'!$E$10+1,1))</f>
        <v>463.77045964052894</v>
      </c>
      <c r="AO23" s="59">
        <f t="shared" si="36"/>
        <v>209.77146243694483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3.887142857142857</v>
      </c>
      <c r="BD23" s="12">
        <f>IF('Données projet'!$A$88&gt;35,BD22+BC23-BL22,IF(A23&lt;'Données projet'!$A$88,$BA$205^A23,IF(A23='Données projet'!$A$88,'Données projet'!$B$88,BD22+BC23-BL22)))</f>
        <v>77.742857142857133</v>
      </c>
      <c r="BE23" s="13">
        <f>BD23*VLOOKUP('Données projet'!$B$11,Paramètres!$A$1:$I$89,3,0)*VLOOKUP('Données projet'!$B$11,Paramètres!$A$1:$I$89,5,0)</f>
        <v>75.192891428571414</v>
      </c>
      <c r="BF23" s="13">
        <f t="shared" si="37"/>
        <v>20.957615695785943</v>
      </c>
      <c r="BG23" s="20">
        <f t="shared" si="7"/>
        <v>167.46213324158907</v>
      </c>
      <c r="BH23" s="59">
        <f t="shared" si="8"/>
        <v>460.79546657492239</v>
      </c>
      <c r="BI23" s="59">
        <f ca="1">AVERAGE(OFFSET($BH$3,0,0,'Données projet'!$E$11+1,1))-AVERAGE(OFFSET($H$3,0,0,'Données projet'!$E$11+1,1))</f>
        <v>436.0942819360734</v>
      </c>
      <c r="BJ23" s="59">
        <f t="shared" si="38"/>
        <v>198.03942180876311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115.38461538461539</v>
      </c>
      <c r="BW23" s="12">
        <f>VLOOKUP(A23,'Données projet'!$A$113:$I$133,9,0)</f>
        <v>8.0769230769230766</v>
      </c>
      <c r="BX23" s="12">
        <f t="array" ref="BX23">INDEX(BW:BW,MIN(IF(ISNUMBER(BW23:BW219),ROW(BW23:BW219),"")))</f>
        <v>8.0769230769230766</v>
      </c>
      <c r="BY23" s="12">
        <f>IF('Données projet'!$A$114&gt;35,BY22+BX23-CG22,IF(A23&lt;'Données projet'!$A$114,$BV$205^A23,IF(A23='Données projet'!$A$114,'Données projet'!$B$114,BY22+BX23-CG22)))</f>
        <v>115.38461538461539</v>
      </c>
      <c r="BZ23" s="13">
        <f>BY23*VLOOKUP('Données projet'!$B$12,Paramètres!$A$1:$I$89,3,0)*VLOOKUP('Données projet'!$B$12,Paramètres!$A$1:$I$89,5,0)</f>
        <v>104.39999999999999</v>
      </c>
      <c r="CA23" s="13">
        <f t="shared" si="39"/>
        <v>28.007595499452584</v>
      </c>
      <c r="CB23" s="20">
        <f t="shared" si="10"/>
        <v>230.60989549487991</v>
      </c>
      <c r="CC23" s="59">
        <f t="shared" si="11"/>
        <v>523.94322882821325</v>
      </c>
      <c r="CD23" s="59">
        <f ca="1">AVERAGE(OFFSET($CC$3,0,0,'Données projet'!$E$12+1,1))-AVERAGE(OFFSET($H$3,0,0,'Données projet'!$E$12+1,1))</f>
        <v>183.99578440773581</v>
      </c>
      <c r="CE23" s="59">
        <f t="shared" si="40"/>
        <v>258.43295338669657</v>
      </c>
      <c r="CF23" s="15">
        <f>IF(ISNA(VLOOKUP(A23,'Données projet'!$A$113:$I$133,3,0)),0,VLOOKUP(A23,'Données projet'!$A$113:$I$133,3,0))</f>
        <v>4</v>
      </c>
      <c r="CG23" s="15">
        <f>IF(ISNA(VLOOKUP(A23,'Données projet'!$A$113:$I$133,4,0)),0,VLOOKUP(A23,'Données projet'!$A$113:$I$133,4,0))</f>
        <v>11.538461538461538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0.15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6.054502419884229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6.054502419884229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15.3972</v>
      </c>
      <c r="D24" s="11">
        <f t="shared" si="32"/>
        <v>5.1614960114392687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158.6987060532154</v>
      </c>
      <c r="H24" s="67">
        <f t="shared" si="1"/>
        <v>329.13972888659004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3.887142857142857</v>
      </c>
      <c r="N24" s="13">
        <f>IF('Données projet'!$A$36&gt;35,N23+M24-V23,IF(A24&lt;'Données projet'!$A$36,$K$205^A24,IF(A24='Données projet'!$A$36,'Données projet'!$B$36,N23+M24-V23)))</f>
        <v>81.63</v>
      </c>
      <c r="O24" s="13">
        <f>N24*VLOOKUP('Données projet'!$B$9,Paramètres!$A$1:$I$89,3,0)*VLOOKUP('Données projet'!$B$9,Paramètres!$A$1:$I$89,5,0)</f>
        <v>73.858823999999984</v>
      </c>
      <c r="P24" s="13">
        <f t="shared" si="33"/>
        <v>20.628726373651425</v>
      </c>
      <c r="Q24" s="20">
        <f t="shared" si="2"/>
        <v>164.56581690077618</v>
      </c>
      <c r="R24" s="59">
        <f t="shared" si="0"/>
        <v>457.89915023410947</v>
      </c>
      <c r="S24" s="59">
        <f ca="1">AVERAGE(OFFSET($R$3,0,0,'Données projet'!$E$9+1,1))-AVERAGE(OFFSET($H$3,0,0,'Données projet'!$E$9+1,1))</f>
        <v>399.15057697410413</v>
      </c>
      <c r="T24" s="59">
        <f t="shared" si="34"/>
        <v>182.37700638847298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3.887142857142857</v>
      </c>
      <c r="AI24" s="13">
        <f>IF('Données projet'!$A$62&gt;35,AI23+AH24-AQ23,IF(A24&lt;'Données projet'!$A$62,$AF$205^A24,IF(A24='Données projet'!$A$62,'Données projet'!$B$62,AI23+AH24-AQ23)))</f>
        <v>81.63</v>
      </c>
      <c r="AJ24" s="13">
        <f>AI24*VLOOKUP('Données projet'!$B$10,Paramètres!$A$1:$I$89,3,0)*VLOOKUP('Données projet'!$B$10,Paramètres!$A$1:$I$89,5,0)</f>
        <v>82.772819999999996</v>
      </c>
      <c r="AK24" s="13">
        <f t="shared" si="35"/>
        <v>22.813802740025121</v>
      </c>
      <c r="AL24" s="20">
        <f t="shared" si="4"/>
        <v>183.89670127221041</v>
      </c>
      <c r="AM24" s="59">
        <f t="shared" si="5"/>
        <v>477.23003460554372</v>
      </c>
      <c r="AN24" s="59">
        <f ca="1">AVERAGE(OFFSET($AM$3,0,0,'Données projet'!$E$10+1,1))-AVERAGE(OFFSET($H$3,0,0,'Données projet'!$E$10+1,1))</f>
        <v>463.77045964052894</v>
      </c>
      <c r="AO24" s="59">
        <f t="shared" si="36"/>
        <v>209.77146243694483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3.887142857142857</v>
      </c>
      <c r="BD24" s="12">
        <f>IF('Données projet'!$A$88&gt;35,BD23+BC24-BL23,IF(A24&lt;'Données projet'!$A$88,$BA$205^A24,IF(A24='Données projet'!$A$88,'Données projet'!$B$88,BD23+BC24-BL23)))</f>
        <v>81.63</v>
      </c>
      <c r="BE24" s="13">
        <f>BD24*VLOOKUP('Données projet'!$B$11,Paramètres!$A$1:$I$89,3,0)*VLOOKUP('Données projet'!$B$11,Paramètres!$A$1:$I$89,5,0)</f>
        <v>78.952535999999995</v>
      </c>
      <c r="BF24" s="13">
        <f t="shared" si="37"/>
        <v>21.880877613822086</v>
      </c>
      <c r="BG24" s="20">
        <f t="shared" si="7"/>
        <v>175.61819537740678</v>
      </c>
      <c r="BH24" s="59">
        <f t="shared" si="8"/>
        <v>468.95152871074009</v>
      </c>
      <c r="BI24" s="59">
        <f ca="1">AVERAGE(OFFSET($BH$3,0,0,'Données projet'!$E$11+1,1))-AVERAGE(OFFSET($H$3,0,0,'Données projet'!$E$11+1,1))</f>
        <v>436.0942819360734</v>
      </c>
      <c r="BJ24" s="59">
        <f t="shared" si="38"/>
        <v>198.03942180876311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6.6666666666666661</v>
      </c>
      <c r="BY24" s="12">
        <f>IF('Données projet'!$A$114&gt;35,BY23+BX24-CG23,IF(A24&lt;'Données projet'!$A$114,$BV$205^A24,IF(A24='Données projet'!$A$114,'Données projet'!$B$114,BY23+BX24-CG23)))</f>
        <v>110.51282051282053</v>
      </c>
      <c r="BZ24" s="13">
        <f>BY24*VLOOKUP('Données projet'!$B$12,Paramètres!$A$1:$I$89,3,0)*VLOOKUP('Données projet'!$B$12,Paramètres!$A$1:$I$89,5,0)</f>
        <v>99.992000000000004</v>
      </c>
      <c r="CA24" s="13">
        <f t="shared" si="39"/>
        <v>26.960091649794194</v>
      </c>
      <c r="CB24" s="20">
        <f t="shared" si="10"/>
        <v>221.10822629005824</v>
      </c>
      <c r="CC24" s="59">
        <f t="shared" si="11"/>
        <v>514.44155962339153</v>
      </c>
      <c r="CD24" s="59">
        <f ca="1">AVERAGE(OFFSET($CC$3,0,0,'Données projet'!$E$12+1,1))-AVERAGE(OFFSET($H$3,0,0,'Données projet'!$E$12+1,1))</f>
        <v>183.99578440773581</v>
      </c>
      <c r="CE24" s="59">
        <f t="shared" si="40"/>
        <v>258.43295338669657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5.88894173282005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5.88894173282005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16.130399999999998</v>
      </c>
      <c r="D25" s="11">
        <f t="shared" si="32"/>
        <v>5.3780806175732732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166.03037669705682</v>
      </c>
      <c r="H25" s="67">
        <f t="shared" si="1"/>
        <v>330.79393707560678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3.887142857142857</v>
      </c>
      <c r="N25" s="13">
        <f>IF('Données projet'!$A$36&gt;35,N24+M25-V24,IF(A25&lt;'Données projet'!$A$36,$K$205^A25,IF(A25='Données projet'!$A$36,'Données projet'!$B$36,N24+M25-V24)))</f>
        <v>85.517142857142858</v>
      </c>
      <c r="O25" s="13">
        <f>N25*VLOOKUP('Données projet'!$B$9,Paramètres!$A$1:$I$89,3,0)*VLOOKUP('Données projet'!$B$9,Paramètres!$A$1:$I$89,5,0)</f>
        <v>77.375910857142856</v>
      </c>
      <c r="P25" s="13">
        <f t="shared" si="33"/>
        <v>21.49434063873689</v>
      </c>
      <c r="Q25" s="20">
        <f t="shared" si="2"/>
        <v>172.19902135532388</v>
      </c>
      <c r="R25" s="59">
        <f t="shared" si="0"/>
        <v>465.53235468865716</v>
      </c>
      <c r="S25" s="59">
        <f ca="1">AVERAGE(OFFSET($R$3,0,0,'Données projet'!$E$9+1,1))-AVERAGE(OFFSET($H$3,0,0,'Données projet'!$E$9+1,1))</f>
        <v>399.15057697410413</v>
      </c>
      <c r="T25" s="59">
        <f t="shared" si="34"/>
        <v>182.37700638847298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3.887142857142857</v>
      </c>
      <c r="AI25" s="13">
        <f>IF('Données projet'!$A$62&gt;35,AI24+AH25-AQ24,IF(A25&lt;'Données projet'!$A$62,$AF$205^A25,IF(A25='Données projet'!$A$62,'Données projet'!$B$62,AI24+AH25-AQ24)))</f>
        <v>85.517142857142858</v>
      </c>
      <c r="AJ25" s="13">
        <f>AI25*VLOOKUP('Données projet'!$B$10,Paramètres!$A$1:$I$89,3,0)*VLOOKUP('Données projet'!$B$10,Paramètres!$A$1:$I$89,5,0)</f>
        <v>86.714382857142866</v>
      </c>
      <c r="AK25" s="13">
        <f t="shared" si="35"/>
        <v>23.771106295024762</v>
      </c>
      <c r="AL25" s="20">
        <f t="shared" si="4"/>
        <v>192.42889360669196</v>
      </c>
      <c r="AM25" s="59">
        <f t="shared" si="5"/>
        <v>485.76222694002524</v>
      </c>
      <c r="AN25" s="59">
        <f ca="1">AVERAGE(OFFSET($AM$3,0,0,'Données projet'!$E$10+1,1))-AVERAGE(OFFSET($H$3,0,0,'Données projet'!$E$10+1,1))</f>
        <v>463.77045964052894</v>
      </c>
      <c r="AO25" s="59">
        <f t="shared" si="36"/>
        <v>209.77146243694483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3.887142857142857</v>
      </c>
      <c r="BD25" s="12">
        <f>IF('Données projet'!$A$88&gt;35,BD24+BC25-BL24,IF(A25&lt;'Données projet'!$A$88,$BA$205^A25,IF(A25='Données projet'!$A$88,'Données projet'!$B$88,BD24+BC25-BL24)))</f>
        <v>85.517142857142858</v>
      </c>
      <c r="BE25" s="13">
        <f>BD25*VLOOKUP('Données projet'!$B$11,Paramètres!$A$1:$I$89,3,0)*VLOOKUP('Données projet'!$B$11,Paramètres!$A$1:$I$89,5,0)</f>
        <v>82.712180571428576</v>
      </c>
      <c r="BF25" s="13">
        <f t="shared" si="37"/>
        <v>22.799034142346564</v>
      </c>
      <c r="BG25" s="20">
        <f t="shared" si="7"/>
        <v>183.76536562649167</v>
      </c>
      <c r="BH25" s="59">
        <f t="shared" si="8"/>
        <v>477.09869895982501</v>
      </c>
      <c r="BI25" s="59">
        <f ca="1">AVERAGE(OFFSET($BH$3,0,0,'Données projet'!$E$11+1,1))-AVERAGE(OFFSET($H$3,0,0,'Données projet'!$E$11+1,1))</f>
        <v>436.0942819360734</v>
      </c>
      <c r="BJ25" s="59">
        <f t="shared" si="38"/>
        <v>198.03942180876311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6.6666666666666661</v>
      </c>
      <c r="BY25" s="12">
        <f>IF('Données projet'!$A$114&gt;35,BY24+BX25-CG24,IF(A25&lt;'Données projet'!$A$114,$BV$205^A25,IF(A25='Données projet'!$A$114,'Données projet'!$B$114,BY24+BX25-CG24)))</f>
        <v>117.1794871794872</v>
      </c>
      <c r="BZ25" s="13">
        <f>BY25*VLOOKUP('Données projet'!$B$12,Paramètres!$A$1:$I$89,3,0)*VLOOKUP('Données projet'!$B$12,Paramètres!$A$1:$I$89,5,0)</f>
        <v>106.02400000000002</v>
      </c>
      <c r="CA25" s="13">
        <f t="shared" si="39"/>
        <v>28.392210270387789</v>
      </c>
      <c r="CB25" s="20">
        <f t="shared" si="10"/>
        <v>234.1082328875921</v>
      </c>
      <c r="CC25" s="59">
        <f t="shared" si="11"/>
        <v>527.44156622092544</v>
      </c>
      <c r="CD25" s="59">
        <f ca="1">AVERAGE(OFFSET($CC$3,0,0,'Données projet'!$E$12+1,1))-AVERAGE(OFFSET($H$3,0,0,'Données projet'!$E$12+1,1))</f>
        <v>183.99578440773581</v>
      </c>
      <c r="CE25" s="59">
        <f t="shared" si="40"/>
        <v>258.43295338669657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5.7279083114500997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5.7279083114500997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16.863599999999998</v>
      </c>
      <c r="D26" s="11">
        <f t="shared" si="32"/>
        <v>5.5935219046849918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173.35322172037536</v>
      </c>
      <c r="H26" s="67">
        <f t="shared" si="1"/>
        <v>332.44615398399299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3.887142857142857</v>
      </c>
      <c r="N26" s="13">
        <f>IF('Données projet'!$A$36&gt;35,N25+M26-V25,IF(A26&lt;'Données projet'!$A$36,$K$205^A26,IF(A26='Données projet'!$A$36,'Données projet'!$B$36,N25+M26-V25)))</f>
        <v>89.40428571428572</v>
      </c>
      <c r="O26" s="13">
        <f>N26*VLOOKUP('Données projet'!$B$9,Paramètres!$A$1:$I$89,3,0)*VLOOKUP('Données projet'!$B$9,Paramètres!$A$1:$I$89,5,0)</f>
        <v>80.892997714285713</v>
      </c>
      <c r="P26" s="13">
        <f t="shared" si="33"/>
        <v>22.355385450466887</v>
      </c>
      <c r="Q26" s="20">
        <f t="shared" si="2"/>
        <v>179.82426734527743</v>
      </c>
      <c r="R26" s="59">
        <f t="shared" si="0"/>
        <v>473.15760067861072</v>
      </c>
      <c r="S26" s="59">
        <f ca="1">AVERAGE(OFFSET($R$3,0,0,'Données projet'!$E$9+1,1))-AVERAGE(OFFSET($H$3,0,0,'Données projet'!$E$9+1,1))</f>
        <v>399.15057697410413</v>
      </c>
      <c r="T26" s="59">
        <f t="shared" si="34"/>
        <v>182.37700638847298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3.887142857142857</v>
      </c>
      <c r="AI26" s="13">
        <f>IF('Données projet'!$A$62&gt;35,AI25+AH26-AQ25,IF(A26&lt;'Données projet'!$A$62,$AF$205^A26,IF(A26='Données projet'!$A$62,'Données projet'!$B$62,AI25+AH26-AQ25)))</f>
        <v>89.40428571428572</v>
      </c>
      <c r="AJ26" s="13">
        <f>AI26*VLOOKUP('Données projet'!$B$10,Paramètres!$A$1:$I$89,3,0)*VLOOKUP('Données projet'!$B$10,Paramètres!$A$1:$I$89,5,0)</f>
        <v>90.655945714285721</v>
      </c>
      <c r="AK26" s="13">
        <f t="shared" si="35"/>
        <v>24.723356382079128</v>
      </c>
      <c r="AL26" s="20">
        <f t="shared" si="4"/>
        <v>200.95228448450212</v>
      </c>
      <c r="AM26" s="59">
        <f t="shared" si="5"/>
        <v>494.28561781783543</v>
      </c>
      <c r="AN26" s="59">
        <f ca="1">AVERAGE(OFFSET($AM$3,0,0,'Données projet'!$E$10+1,1))-AVERAGE(OFFSET($H$3,0,0,'Données projet'!$E$10+1,1))</f>
        <v>463.77045964052894</v>
      </c>
      <c r="AO26" s="59">
        <f t="shared" si="36"/>
        <v>209.77146243694483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3.887142857142857</v>
      </c>
      <c r="BD26" s="12">
        <f>IF('Données projet'!$A$88&gt;35,BD25+BC26-BL25,IF(A26&lt;'Données projet'!$A$88,$BA$205^A26,IF(A26='Données projet'!$A$88,'Données projet'!$B$88,BD25+BC26-BL25)))</f>
        <v>89.40428571428572</v>
      </c>
      <c r="BE26" s="13">
        <f>BD26*VLOOKUP('Données projet'!$B$11,Paramètres!$A$1:$I$89,3,0)*VLOOKUP('Données projet'!$B$11,Paramètres!$A$1:$I$89,5,0)</f>
        <v>86.471825142857142</v>
      </c>
      <c r="BF26" s="13">
        <f t="shared" si="37"/>
        <v>23.71234385445489</v>
      </c>
      <c r="BG26" s="20">
        <f t="shared" si="7"/>
        <v>191.90409433698508</v>
      </c>
      <c r="BH26" s="59">
        <f t="shared" si="8"/>
        <v>485.23742767031843</v>
      </c>
      <c r="BI26" s="59">
        <f ca="1">AVERAGE(OFFSET($BH$3,0,0,'Données projet'!$E$11+1,1))-AVERAGE(OFFSET($H$3,0,0,'Données projet'!$E$11+1,1))</f>
        <v>436.0942819360734</v>
      </c>
      <c r="BJ26" s="59">
        <f t="shared" si="38"/>
        <v>198.03942180876311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6.6666666666666661</v>
      </c>
      <c r="BY26" s="12">
        <f>IF('Données projet'!$A$114&gt;35,BY25+BX26-CG25,IF(A26&lt;'Données projet'!$A$114,$BV$205^A26,IF(A26='Données projet'!$A$114,'Données projet'!$B$114,BY25+BX26-CG25)))</f>
        <v>123.84615384615387</v>
      </c>
      <c r="BZ26" s="13">
        <f>BY26*VLOOKUP('Données projet'!$B$12,Paramètres!$A$1:$I$89,3,0)*VLOOKUP('Données projet'!$B$12,Paramètres!$A$1:$I$89,5,0)</f>
        <v>112.05600000000001</v>
      </c>
      <c r="CA26" s="13">
        <f t="shared" si="39"/>
        <v>29.814870892029621</v>
      </c>
      <c r="CB26" s="20">
        <f t="shared" si="10"/>
        <v>247.09176680361827</v>
      </c>
      <c r="CC26" s="59">
        <f t="shared" si="11"/>
        <v>540.42510013695164</v>
      </c>
      <c r="CD26" s="59">
        <f ca="1">AVERAGE(OFFSET($CC$3,0,0,'Données projet'!$E$12+1,1))-AVERAGE(OFFSET($H$3,0,0,'Données projet'!$E$12+1,1))</f>
        <v>183.99578440773581</v>
      </c>
      <c r="CE26" s="59">
        <f t="shared" si="40"/>
        <v>258.43295338669657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5.5712783574558902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5.5712783574558902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17.596799999999998</v>
      </c>
      <c r="D27" s="11">
        <f t="shared" si="32"/>
        <v>5.8078752639195086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180.66766870394005</v>
      </c>
      <c r="H27" s="67">
        <f t="shared" si="1"/>
        <v>334.0964760846598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3.887142857142857</v>
      </c>
      <c r="N27" s="13">
        <f>IF('Données projet'!$A$36&gt;35,N26+M27-V26,IF(A27&lt;'Données projet'!$A$36,$K$205^A27,IF(A27='Données projet'!$A$36,'Données projet'!$B$36,N26+M27-V26)))</f>
        <v>93.291428571428582</v>
      </c>
      <c r="O27" s="13">
        <f>N27*VLOOKUP('Données projet'!$B$9,Paramètres!$A$1:$I$89,3,0)*VLOOKUP('Données projet'!$B$9,Paramètres!$A$1:$I$89,5,0)</f>
        <v>84.410084571428584</v>
      </c>
      <c r="P27" s="13">
        <f t="shared" si="33"/>
        <v>23.212082188219242</v>
      </c>
      <c r="Q27" s="20">
        <f t="shared" si="2"/>
        <v>187.44194043971996</v>
      </c>
      <c r="R27" s="59">
        <f t="shared" si="0"/>
        <v>480.7752737730533</v>
      </c>
      <c r="S27" s="59">
        <f ca="1">AVERAGE(OFFSET($R$3,0,0,'Données projet'!$E$9+1,1))-AVERAGE(OFFSET($H$3,0,0,'Données projet'!$E$9+1,1))</f>
        <v>399.15057697410413</v>
      </c>
      <c r="T27" s="59">
        <f t="shared" si="34"/>
        <v>182.37700638847298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3.887142857142857</v>
      </c>
      <c r="AI27" s="13">
        <f>IF('Données projet'!$A$62&gt;35,AI26+AH27-AQ26,IF(A27&lt;'Données projet'!$A$62,$AF$205^A27,IF(A27='Données projet'!$A$62,'Données projet'!$B$62,AI26+AH27-AQ26)))</f>
        <v>93.291428571428582</v>
      </c>
      <c r="AJ27" s="13">
        <f>AI27*VLOOKUP('Données projet'!$B$10,Paramètres!$A$1:$I$89,3,0)*VLOOKUP('Données projet'!$B$10,Paramètres!$A$1:$I$89,5,0)</f>
        <v>94.597508571428591</v>
      </c>
      <c r="AK27" s="13">
        <f t="shared" si="35"/>
        <v>25.670797829946185</v>
      </c>
      <c r="AL27" s="20">
        <f t="shared" si="4"/>
        <v>209.4673003157277</v>
      </c>
      <c r="AM27" s="59">
        <f t="shared" si="5"/>
        <v>502.80063364906101</v>
      </c>
      <c r="AN27" s="59">
        <f ca="1">AVERAGE(OFFSET($AM$3,0,0,'Données projet'!$E$10+1,1))-AVERAGE(OFFSET($H$3,0,0,'Données projet'!$E$10+1,1))</f>
        <v>463.77045964052894</v>
      </c>
      <c r="AO27" s="59">
        <f t="shared" si="36"/>
        <v>209.77146243694483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3.887142857142857</v>
      </c>
      <c r="BD27" s="12">
        <f>IF('Données projet'!$A$88&gt;35,BD26+BC27-BL26,IF(A27&lt;'Données projet'!$A$88,$BA$205^A27,IF(A27='Données projet'!$A$88,'Données projet'!$B$88,BD26+BC27-BL26)))</f>
        <v>93.291428571428582</v>
      </c>
      <c r="BE27" s="13">
        <f>BD27*VLOOKUP('Données projet'!$B$11,Paramètres!$A$1:$I$89,3,0)*VLOOKUP('Données projet'!$B$11,Paramètres!$A$1:$I$89,5,0)</f>
        <v>90.231469714285723</v>
      </c>
      <c r="BF27" s="13">
        <f t="shared" si="37"/>
        <v>24.621041567119438</v>
      </c>
      <c r="BG27" s="20">
        <f t="shared" si="7"/>
        <v>200.03479048178065</v>
      </c>
      <c r="BH27" s="59">
        <f t="shared" si="8"/>
        <v>493.36812381511396</v>
      </c>
      <c r="BI27" s="59">
        <f ca="1">AVERAGE(OFFSET($BH$3,0,0,'Données projet'!$E$11+1,1))-AVERAGE(OFFSET($H$3,0,0,'Données projet'!$E$11+1,1))</f>
        <v>436.0942819360734</v>
      </c>
      <c r="BJ27" s="59">
        <f t="shared" si="38"/>
        <v>198.03942180876311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6.6666666666666661</v>
      </c>
      <c r="BY27" s="12">
        <f>IF('Données projet'!$A$114&gt;35,BY26+BX27-CG26,IF(A27&lt;'Données projet'!$A$114,$BV$205^A27,IF(A27='Données projet'!$A$114,'Données projet'!$B$114,BY26+BX27-CG26)))</f>
        <v>130.51282051282053</v>
      </c>
      <c r="BZ27" s="13">
        <f>BY27*VLOOKUP('Données projet'!$B$12,Paramètres!$A$1:$I$89,3,0)*VLOOKUP('Données projet'!$B$12,Paramètres!$A$1:$I$89,5,0)</f>
        <v>118.08799999999999</v>
      </c>
      <c r="CA27" s="13">
        <f t="shared" si="39"/>
        <v>31.228640688393615</v>
      </c>
      <c r="CB27" s="20">
        <f t="shared" si="10"/>
        <v>260.05981586561887</v>
      </c>
      <c r="CC27" s="59">
        <f t="shared" si="11"/>
        <v>553.39314919895219</v>
      </c>
      <c r="CD27" s="59">
        <f ca="1">AVERAGE(OFFSET($CC$3,0,0,'Données projet'!$E$12+1,1))-AVERAGE(OFFSET($H$3,0,0,'Données projet'!$E$12+1,1))</f>
        <v>183.99578440773581</v>
      </c>
      <c r="CE27" s="59">
        <f t="shared" si="40"/>
        <v>258.43295338669657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5.418931457790463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5.418931457790463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18.329999999999998</v>
      </c>
      <c r="D28" s="11">
        <f t="shared" si="32"/>
        <v>6.0211912093426747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187.97410758089083</v>
      </c>
      <c r="H28" s="67">
        <f t="shared" si="1"/>
        <v>335.74499135627178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3.887142857142857</v>
      </c>
      <c r="N28" s="13">
        <f>IF('Données projet'!$A$36&gt;35,N27+M28-V27,IF(A28&lt;'Données projet'!$A$36,$K$205^A28,IF(A28='Données projet'!$A$36,'Données projet'!$B$36,N27+M28-V27)))</f>
        <v>97.178571428571445</v>
      </c>
      <c r="O28" s="13">
        <f>N28*VLOOKUP('Données projet'!$B$9,Paramètres!$A$1:$I$89,3,0)*VLOOKUP('Données projet'!$B$9,Paramètres!$A$1:$I$89,5,0)</f>
        <v>87.927171428571441</v>
      </c>
      <c r="P28" s="13">
        <f t="shared" si="33"/>
        <v>24.06463273936156</v>
      </c>
      <c r="Q28" s="20">
        <f t="shared" si="2"/>
        <v>195.05239225914997</v>
      </c>
      <c r="R28" s="59">
        <f t="shared" si="0"/>
        <v>488.38572559248325</v>
      </c>
      <c r="S28" s="59">
        <f ca="1">AVERAGE(OFFSET($R$3,0,0,'Données projet'!$E$9+1,1))-AVERAGE(OFFSET($H$3,0,0,'Données projet'!$E$9+1,1))</f>
        <v>399.15057697410413</v>
      </c>
      <c r="T28" s="59">
        <f t="shared" si="34"/>
        <v>182.37700638847298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3.887142857142857</v>
      </c>
      <c r="AI28" s="13">
        <f>IF('Données projet'!$A$62&gt;35,AI27+AH28-AQ27,IF(A28&lt;'Données projet'!$A$62,$AF$205^A28,IF(A28='Données projet'!$A$62,'Données projet'!$B$62,AI27+AH28-AQ27)))</f>
        <v>97.178571428571445</v>
      </c>
      <c r="AJ28" s="13">
        <f>AI28*VLOOKUP('Données projet'!$B$10,Paramètres!$A$1:$I$89,3,0)*VLOOKUP('Données projet'!$B$10,Paramètres!$A$1:$I$89,5,0)</f>
        <v>98.539071428571447</v>
      </c>
      <c r="AK28" s="13">
        <f t="shared" si="35"/>
        <v>26.613653910702727</v>
      </c>
      <c r="AL28" s="20">
        <f t="shared" si="4"/>
        <v>217.97432996590248</v>
      </c>
      <c r="AM28" s="59">
        <f t="shared" si="5"/>
        <v>511.3076632992358</v>
      </c>
      <c r="AN28" s="59">
        <f ca="1">AVERAGE(OFFSET($AM$3,0,0,'Données projet'!$E$10+1,1))-AVERAGE(OFFSET($H$3,0,0,'Données projet'!$E$10+1,1))</f>
        <v>463.77045964052894</v>
      </c>
      <c r="AO28" s="59">
        <f t="shared" si="36"/>
        <v>209.77146243694483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3.887142857142857</v>
      </c>
      <c r="BD28" s="12">
        <f>IF('Données projet'!$A$88&gt;35,BD27+BC28-BL27,IF(A28&lt;'Données projet'!$A$88,$BA$205^A28,IF(A28='Données projet'!$A$88,'Données projet'!$B$88,BD27+BC28-BL27)))</f>
        <v>97.178571428571445</v>
      </c>
      <c r="BE28" s="13">
        <f>BD28*VLOOKUP('Données projet'!$B$11,Paramètres!$A$1:$I$89,3,0)*VLOOKUP('Données projet'!$B$11,Paramètres!$A$1:$I$89,5,0)</f>
        <v>93.991114285714303</v>
      </c>
      <c r="BF28" s="13">
        <f t="shared" si="37"/>
        <v>25.525341422149168</v>
      </c>
      <c r="BG28" s="20">
        <f t="shared" si="7"/>
        <v>208.15782702452887</v>
      </c>
      <c r="BH28" s="59">
        <f t="shared" si="8"/>
        <v>501.49116035786221</v>
      </c>
      <c r="BI28" s="59">
        <f ca="1">AVERAGE(OFFSET($BH$3,0,0,'Données projet'!$E$11+1,1))-AVERAGE(OFFSET($H$3,0,0,'Données projet'!$E$11+1,1))</f>
        <v>436.0942819360734</v>
      </c>
      <c r="BJ28" s="59">
        <f t="shared" si="38"/>
        <v>198.03942180876311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>
        <f>VLOOKUP(A28,'Données projet'!$A$113:$I$133,2,0)</f>
        <v>137.17948717948718</v>
      </c>
      <c r="BW28" s="12">
        <f>VLOOKUP(A28,'Données projet'!$A$113:$I$133,9,0)</f>
        <v>6.6666666666666661</v>
      </c>
      <c r="BX28" s="12">
        <f t="array" ref="BX28">INDEX(BW:BW,MIN(IF(ISNUMBER(BW28:BW224),ROW(BW28:BW224),"")))</f>
        <v>6.6666666666666661</v>
      </c>
      <c r="BY28" s="12">
        <f>IF('Données projet'!$A$114&gt;35,BY27+BX28-CG27,IF(A28&lt;'Données projet'!$A$114,$BV$205^A28,IF(A28='Données projet'!$A$114,'Données projet'!$B$114,BY27+BX28-CG27)))</f>
        <v>137.17948717948718</v>
      </c>
      <c r="BZ28" s="13">
        <f>BY28*VLOOKUP('Données projet'!$B$12,Paramètres!$A$1:$I$89,3,0)*VLOOKUP('Données projet'!$B$12,Paramètres!$A$1:$I$89,5,0)</f>
        <v>124.11999999999999</v>
      </c>
      <c r="CA28" s="13">
        <f t="shared" si="39"/>
        <v>32.634025617183397</v>
      </c>
      <c r="CB28" s="20">
        <f t="shared" si="10"/>
        <v>273.0132612832611</v>
      </c>
      <c r="CC28" s="59">
        <f t="shared" si="11"/>
        <v>566.34659461659442</v>
      </c>
      <c r="CD28" s="59">
        <f ca="1">AVERAGE(OFFSET($CC$3,0,0,'Données projet'!$E$12+1,1))-AVERAGE(OFFSET($H$3,0,0,'Données projet'!$E$12+1,1))</f>
        <v>183.99578440773581</v>
      </c>
      <c r="CE28" s="59">
        <f t="shared" si="40"/>
        <v>258.43295338669657</v>
      </c>
      <c r="CF28" s="15">
        <f>IF(ISNA(VLOOKUP(A28,'Données projet'!$A$113:$I$133,3,0)),0,VLOOKUP(A28,'Données projet'!$A$113:$I$133,3,0))</f>
        <v>5</v>
      </c>
      <c r="CG28" s="15">
        <f>IF(ISNA(VLOOKUP(A28,'Données projet'!$A$113:$I$133,4,0)),0,VLOOKUP(A28,'Données projet'!$A$113:$I$133,4,0))</f>
        <v>8.9743589743589745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0.15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6.6119118768115195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6.6119118768115195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19.063199999999998</v>
      </c>
      <c r="D29" s="11">
        <f t="shared" si="32"/>
        <v>6.2335159851544919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195.27289532399959</v>
      </c>
      <c r="H29" s="67">
        <f t="shared" si="1"/>
        <v>337.39178034081073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3.887142857142857</v>
      </c>
      <c r="N29" s="13">
        <f>IF('Données projet'!$A$36&gt;35,N28+M29-V28,IF(A29&lt;'Données projet'!$A$36,$K$205^A29,IF(A29='Données projet'!$A$36,'Données projet'!$B$36,N28+M29-V28)))</f>
        <v>101.06571428571431</v>
      </c>
      <c r="O29" s="13">
        <f>N29*VLOOKUP('Données projet'!$B$9,Paramètres!$A$1:$I$89,3,0)*VLOOKUP('Données projet'!$B$9,Paramètres!$A$1:$I$89,5,0)</f>
        <v>91.444258285714298</v>
      </c>
      <c r="P29" s="13">
        <f t="shared" si="33"/>
        <v>24.913221926074399</v>
      </c>
      <c r="Q29" s="20">
        <f t="shared" si="2"/>
        <v>202.65594470219867</v>
      </c>
      <c r="R29" s="59">
        <f t="shared" si="0"/>
        <v>495.98927803553198</v>
      </c>
      <c r="S29" s="59">
        <f ca="1">AVERAGE(OFFSET($R$3,0,0,'Données projet'!$E$9+1,1))-AVERAGE(OFFSET($H$3,0,0,'Données projet'!$E$9+1,1))</f>
        <v>399.15057697410413</v>
      </c>
      <c r="T29" s="59">
        <f t="shared" si="34"/>
        <v>182.37700638847298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3.887142857142857</v>
      </c>
      <c r="AI29" s="13">
        <f>IF('Données projet'!$A$62&gt;35,AI28+AH29-AQ28,IF(A29&lt;'Données projet'!$A$62,$AF$205^A29,IF(A29='Données projet'!$A$62,'Données projet'!$B$62,AI28+AH29-AQ28)))</f>
        <v>101.06571428571431</v>
      </c>
      <c r="AJ29" s="13">
        <f>AI29*VLOOKUP('Données projet'!$B$10,Paramètres!$A$1:$I$89,3,0)*VLOOKUP('Données projet'!$B$10,Paramètres!$A$1:$I$89,5,0)</f>
        <v>102.48063428571432</v>
      </c>
      <c r="AK29" s="13">
        <f t="shared" si="35"/>
        <v>27.552129023626446</v>
      </c>
      <c r="AL29" s="20">
        <f t="shared" si="4"/>
        <v>226.47372943043516</v>
      </c>
      <c r="AM29" s="59">
        <f t="shared" si="5"/>
        <v>519.8070627637685</v>
      </c>
      <c r="AN29" s="59">
        <f ca="1">AVERAGE(OFFSET($AM$3,0,0,'Données projet'!$E$10+1,1))-AVERAGE(OFFSET($H$3,0,0,'Données projet'!$E$10+1,1))</f>
        <v>463.77045964052894</v>
      </c>
      <c r="AO29" s="59">
        <f t="shared" si="36"/>
        <v>209.77146243694483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3.887142857142857</v>
      </c>
      <c r="BD29" s="12">
        <f>IF('Données projet'!$A$88&gt;35,BD28+BC29-BL28,IF(A29&lt;'Données projet'!$A$88,$BA$205^A29,IF(A29='Données projet'!$A$88,'Données projet'!$B$88,BD28+BC29-BL28)))</f>
        <v>101.06571428571431</v>
      </c>
      <c r="BE29" s="13">
        <f>BD29*VLOOKUP('Données projet'!$B$11,Paramètres!$A$1:$I$89,3,0)*VLOOKUP('Données projet'!$B$11,Paramètres!$A$1:$I$89,5,0)</f>
        <v>97.750758857142884</v>
      </c>
      <c r="BF29" s="13">
        <f t="shared" si="37"/>
        <v>26.425439460319531</v>
      </c>
      <c r="BG29" s="20">
        <f t="shared" si="7"/>
        <v>216.2735454029137</v>
      </c>
      <c r="BH29" s="59">
        <f t="shared" si="8"/>
        <v>509.60687873624704</v>
      </c>
      <c r="BI29" s="59">
        <f ca="1">AVERAGE(OFFSET($BH$3,0,0,'Données projet'!$E$11+1,1))-AVERAGE(OFFSET($H$3,0,0,'Données projet'!$E$11+1,1))</f>
        <v>436.0942819360734</v>
      </c>
      <c r="BJ29" s="59">
        <f t="shared" si="38"/>
        <v>198.03942180876311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5.5128205128205137</v>
      </c>
      <c r="BY29" s="12">
        <f>IF('Données projet'!$A$114&gt;35,BY28+BX29-CG28,IF(A29&lt;'Données projet'!$A$114,$BV$205^A29,IF(A29='Données projet'!$A$114,'Données projet'!$B$114,BY28+BX29-CG28)))</f>
        <v>133.71794871794873</v>
      </c>
      <c r="BZ29" s="13">
        <f>BY29*VLOOKUP('Données projet'!$B$12,Paramètres!$A$1:$I$89,3,0)*VLOOKUP('Données projet'!$B$12,Paramètres!$A$1:$I$89,5,0)</f>
        <v>120.98800000000001</v>
      </c>
      <c r="CA29" s="13">
        <f t="shared" si="39"/>
        <v>31.905323986434098</v>
      </c>
      <c r="CB29" s="20">
        <f t="shared" si="10"/>
        <v>266.28920594303941</v>
      </c>
      <c r="CC29" s="59">
        <f t="shared" si="11"/>
        <v>559.62253927637266</v>
      </c>
      <c r="CD29" s="59">
        <f ca="1">AVERAGE(OFFSET($CC$3,0,0,'Données projet'!$E$12+1,1))-AVERAGE(OFFSET($H$3,0,0,'Données projet'!$E$12+1,1))</f>
        <v>183.99578440773581</v>
      </c>
      <c r="CE29" s="59">
        <f t="shared" si="40"/>
        <v>258.43295338669657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6.4311087988347744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6.4311087988347744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19.796399999999998</v>
      </c>
      <c r="D30" s="11">
        <f t="shared" si="32"/>
        <v>6.4448920768574434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202.56435989153115</v>
      </c>
      <c r="H30" s="67">
        <f t="shared" si="1"/>
        <v>339.03691703386005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3.887142857142857</v>
      </c>
      <c r="N30" s="13">
        <f>IF('Données projet'!$A$36&gt;35,N29+M30-V29,IF(A30&lt;'Données projet'!$A$36,$K$205^A30,IF(A30='Données projet'!$A$36,'Données projet'!$B$36,N29+M30-V29)))</f>
        <v>104.95285714285717</v>
      </c>
      <c r="O30" s="13">
        <f>N30*VLOOKUP('Données projet'!$B$9,Paramètres!$A$1:$I$89,3,0)*VLOOKUP('Données projet'!$B$9,Paramètres!$A$1:$I$89,5,0)</f>
        <v>94.961345142857169</v>
      </c>
      <c r="P30" s="13">
        <f t="shared" si="33"/>
        <v>25.758019548315733</v>
      </c>
      <c r="Q30" s="20">
        <f t="shared" si="2"/>
        <v>210.25289350379276</v>
      </c>
      <c r="R30" s="59">
        <f t="shared" si="0"/>
        <v>503.58622683712611</v>
      </c>
      <c r="S30" s="59">
        <f ca="1">AVERAGE(OFFSET($R$3,0,0,'Données projet'!$E$9+1,1))-AVERAGE(OFFSET($H$3,0,0,'Données projet'!$E$9+1,1))</f>
        <v>399.15057697410413</v>
      </c>
      <c r="T30" s="59">
        <f t="shared" si="34"/>
        <v>182.37700638847298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3.887142857142857</v>
      </c>
      <c r="AI30" s="13">
        <f>IF('Données projet'!$A$62&gt;35,AI29+AH30-AQ29,IF(A30&lt;'Données projet'!$A$62,$AF$205^A30,IF(A30='Données projet'!$A$62,'Données projet'!$B$62,AI29+AH30-AQ29)))</f>
        <v>104.95285714285717</v>
      </c>
      <c r="AJ30" s="13">
        <f>AI30*VLOOKUP('Données projet'!$B$10,Paramètres!$A$1:$I$89,3,0)*VLOOKUP('Données projet'!$B$10,Paramètres!$A$1:$I$89,5,0)</f>
        <v>106.42219714285717</v>
      </c>
      <c r="AK30" s="13">
        <f t="shared" si="35"/>
        <v>28.486410954559084</v>
      </c>
      <c r="AL30" s="20">
        <f t="shared" si="4"/>
        <v>234.96582576966659</v>
      </c>
      <c r="AM30" s="59">
        <f t="shared" si="5"/>
        <v>528.29915910299997</v>
      </c>
      <c r="AN30" s="59">
        <f ca="1">AVERAGE(OFFSET($AM$3,0,0,'Données projet'!$E$10+1,1))-AVERAGE(OFFSET($H$3,0,0,'Données projet'!$E$10+1,1))</f>
        <v>463.77045964052894</v>
      </c>
      <c r="AO30" s="59">
        <f t="shared" si="36"/>
        <v>209.77146243694483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3.887142857142857</v>
      </c>
      <c r="BD30" s="12">
        <f>IF('Données projet'!$A$88&gt;35,BD29+BC30-BL29,IF(A30&lt;'Données projet'!$A$88,$BA$205^A30,IF(A30='Données projet'!$A$88,'Données projet'!$B$88,BD29+BC30-BL29)))</f>
        <v>104.95285714285717</v>
      </c>
      <c r="BE30" s="13">
        <f>BD30*VLOOKUP('Données projet'!$B$11,Paramètres!$A$1:$I$89,3,0)*VLOOKUP('Données projet'!$B$11,Paramètres!$A$1:$I$89,5,0)</f>
        <v>101.51040342857146</v>
      </c>
      <c r="BF30" s="13">
        <f t="shared" si="37"/>
        <v>27.32151578834339</v>
      </c>
      <c r="BG30" s="20">
        <f t="shared" si="7"/>
        <v>224.38225930279336</v>
      </c>
      <c r="BH30" s="59">
        <f t="shared" si="8"/>
        <v>517.71559263612664</v>
      </c>
      <c r="BI30" s="59">
        <f ca="1">AVERAGE(OFFSET($BH$3,0,0,'Données projet'!$E$11+1,1))-AVERAGE(OFFSET($H$3,0,0,'Données projet'!$E$11+1,1))</f>
        <v>436.0942819360734</v>
      </c>
      <c r="BJ30" s="59">
        <f t="shared" si="38"/>
        <v>198.03942180876311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5.5128205128205137</v>
      </c>
      <c r="BY30" s="12">
        <f>IF('Données projet'!$A$114&gt;35,BY29+BX30-CG29,IF(A30&lt;'Données projet'!$A$114,$BV$205^A30,IF(A30='Données projet'!$A$114,'Données projet'!$B$114,BY29+BX30-CG29)))</f>
        <v>139.23076923076925</v>
      </c>
      <c r="BZ30" s="13">
        <f>BY30*VLOOKUP('Données projet'!$B$12,Paramètres!$A$1:$I$89,3,0)*VLOOKUP('Données projet'!$B$12,Paramètres!$A$1:$I$89,5,0)</f>
        <v>125.97600000000003</v>
      </c>
      <c r="CA30" s="13">
        <f t="shared" si="39"/>
        <v>33.064836363794235</v>
      </c>
      <c r="CB30" s="20">
        <f t="shared" si="10"/>
        <v>276.9961233336083</v>
      </c>
      <c r="CC30" s="59">
        <f t="shared" si="11"/>
        <v>570.32945666694161</v>
      </c>
      <c r="CD30" s="59">
        <f ca="1">AVERAGE(OFFSET($CC$3,0,0,'Données projet'!$E$12+1,1))-AVERAGE(OFFSET($H$3,0,0,'Données projet'!$E$12+1,1))</f>
        <v>183.99578440773581</v>
      </c>
      <c r="CE30" s="59">
        <f t="shared" si="40"/>
        <v>258.43295338669657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6.2552497905333242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6.2552497905333242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20.529599999999999</v>
      </c>
      <c r="D31" s="11">
        <f t="shared" si="32"/>
        <v>6.6553586445673751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209.84880357209906</v>
      </c>
      <c r="H31" s="67">
        <f t="shared" si="1"/>
        <v>340.68046963928816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3.887142857142857</v>
      </c>
      <c r="N31" s="13">
        <f>IF('Données projet'!$A$36&gt;35,N30+M31-V30,IF(A31&lt;'Données projet'!$A$36,$K$205^A31,IF(A31='Données projet'!$A$36,'Données projet'!$B$36,N30+M31-V30)))</f>
        <v>108.84000000000003</v>
      </c>
      <c r="O31" s="13">
        <f>N31*VLOOKUP('Données projet'!$B$9,Paramètres!$A$1:$I$89,3,0)*VLOOKUP('Données projet'!$B$9,Paramètres!$A$1:$I$89,5,0)</f>
        <v>98.478432000000026</v>
      </c>
      <c r="P31" s="13">
        <f t="shared" si="33"/>
        <v>26.599182115615513</v>
      </c>
      <c r="Q31" s="20">
        <f t="shared" si="2"/>
        <v>217.84351125136371</v>
      </c>
      <c r="R31" s="59">
        <f t="shared" si="0"/>
        <v>511.17684458469705</v>
      </c>
      <c r="S31" s="59">
        <f ca="1">AVERAGE(OFFSET($R$3,0,0,'Données projet'!$E$9+1,1))-AVERAGE(OFFSET($H$3,0,0,'Données projet'!$E$9+1,1))</f>
        <v>399.15057697410413</v>
      </c>
      <c r="T31" s="59">
        <f t="shared" si="34"/>
        <v>182.37700638847298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3.887142857142857</v>
      </c>
      <c r="AI31" s="13">
        <f>IF('Données projet'!$A$62&gt;35,AI30+AH31-AQ30,IF(A31&lt;'Données projet'!$A$62,$AF$205^A31,IF(A31='Données projet'!$A$62,'Données projet'!$B$62,AI30+AH31-AQ30)))</f>
        <v>108.84000000000003</v>
      </c>
      <c r="AJ31" s="13">
        <f>AI31*VLOOKUP('Données projet'!$B$10,Paramètres!$A$1:$I$89,3,0)*VLOOKUP('Données projet'!$B$10,Paramètres!$A$1:$I$89,5,0)</f>
        <v>110.36376000000004</v>
      </c>
      <c r="AK31" s="13">
        <f t="shared" si="35"/>
        <v>29.416672791139618</v>
      </c>
      <c r="AL31" s="20">
        <f t="shared" si="4"/>
        <v>243.45092044456825</v>
      </c>
      <c r="AM31" s="59">
        <f t="shared" si="5"/>
        <v>536.78425377790154</v>
      </c>
      <c r="AN31" s="59">
        <f ca="1">AVERAGE(OFFSET($AM$3,0,0,'Données projet'!$E$10+1,1))-AVERAGE(OFFSET($H$3,0,0,'Données projet'!$E$10+1,1))</f>
        <v>463.77045964052894</v>
      </c>
      <c r="AO31" s="59">
        <f t="shared" si="36"/>
        <v>209.77146243694483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3.887142857142857</v>
      </c>
      <c r="BD31" s="12">
        <f>IF('Données projet'!$A$88&gt;35,BD30+BC31-BL30,IF(A31&lt;'Données projet'!$A$88,$BA$205^A31,IF(A31='Données projet'!$A$88,'Données projet'!$B$88,BD30+BC31-BL30)))</f>
        <v>108.84000000000003</v>
      </c>
      <c r="BE31" s="13">
        <f>BD31*VLOOKUP('Données projet'!$B$11,Paramètres!$A$1:$I$89,3,0)*VLOOKUP('Données projet'!$B$11,Paramètres!$A$1:$I$89,5,0)</f>
        <v>105.27004800000003</v>
      </c>
      <c r="BF31" s="13">
        <f t="shared" si="37"/>
        <v>28.213736415784727</v>
      </c>
      <c r="BG31" s="20">
        <f t="shared" si="7"/>
        <v>232.48425785749177</v>
      </c>
      <c r="BH31" s="59">
        <f t="shared" si="8"/>
        <v>525.81759119082506</v>
      </c>
      <c r="BI31" s="59">
        <f ca="1">AVERAGE(OFFSET($BH$3,0,0,'Données projet'!$E$11+1,1))-AVERAGE(OFFSET($H$3,0,0,'Données projet'!$E$11+1,1))</f>
        <v>436.0942819360734</v>
      </c>
      <c r="BJ31" s="59">
        <f t="shared" si="38"/>
        <v>198.03942180876311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5.5128205128205137</v>
      </c>
      <c r="BY31" s="12">
        <f>IF('Données projet'!$A$114&gt;35,BY30+BX31-CG30,IF(A31&lt;'Données projet'!$A$114,$BV$205^A31,IF(A31='Données projet'!$A$114,'Données projet'!$B$114,BY30+BX31-CG30)))</f>
        <v>144.74358974358978</v>
      </c>
      <c r="BZ31" s="13">
        <f>BY31*VLOOKUP('Données projet'!$B$12,Paramètres!$A$1:$I$89,3,0)*VLOOKUP('Données projet'!$B$12,Paramètres!$A$1:$I$89,5,0)</f>
        <v>130.96400000000003</v>
      </c>
      <c r="CA31" s="13">
        <f t="shared" si="39"/>
        <v>34.219015558539304</v>
      </c>
      <c r="CB31" s="20">
        <f t="shared" si="10"/>
        <v>287.69375209778929</v>
      </c>
      <c r="CC31" s="59">
        <f t="shared" si="11"/>
        <v>581.0270854311226</v>
      </c>
      <c r="CD31" s="59">
        <f ca="1">AVERAGE(OFFSET($CC$3,0,0,'Données projet'!$E$12+1,1))-AVERAGE(OFFSET($H$3,0,0,'Données projet'!$E$12+1,1))</f>
        <v>183.99578440773581</v>
      </c>
      <c r="CE31" s="59">
        <f t="shared" si="40"/>
        <v>258.43295338669657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6.0841996560619007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6.0841996560619007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21.262799999999999</v>
      </c>
      <c r="D32" s="11">
        <f t="shared" si="32"/>
        <v>6.864951892683286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217.12650583825697</v>
      </c>
      <c r="H32" s="67">
        <f t="shared" si="1"/>
        <v>342.32250121309005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3.887142857142857</v>
      </c>
      <c r="N32" s="13">
        <f>IF('Données projet'!$A$36&gt;35,N31+M32-V31,IF(A32&lt;'Données projet'!$A$36,$K$205^A32,IF(A32='Données projet'!$A$36,'Données projet'!$B$36,N31+M32-V31)))</f>
        <v>112.72714285714289</v>
      </c>
      <c r="O32" s="13">
        <f>N32*VLOOKUP('Données projet'!$B$9,Paramètres!$A$1:$I$89,3,0)*VLOOKUP('Données projet'!$B$9,Paramètres!$A$1:$I$89,5,0)</f>
        <v>101.99551885714288</v>
      </c>
      <c r="P32" s="13">
        <f t="shared" si="33"/>
        <v>27.436854324518826</v>
      </c>
      <c r="Q32" s="20">
        <f t="shared" si="2"/>
        <v>225.4280499580608</v>
      </c>
      <c r="R32" s="59">
        <f t="shared" si="0"/>
        <v>518.76138329139417</v>
      </c>
      <c r="S32" s="59">
        <f ca="1">AVERAGE(OFFSET($R$3,0,0,'Données projet'!$E$9+1,1))-AVERAGE(OFFSET($H$3,0,0,'Données projet'!$E$9+1,1))</f>
        <v>399.15057697410413</v>
      </c>
      <c r="T32" s="59">
        <f t="shared" si="34"/>
        <v>182.37700638847298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3.887142857142857</v>
      </c>
      <c r="AI32" s="13">
        <f>IF('Données projet'!$A$62&gt;35,AI31+AH32-AQ31,IF(A32&lt;'Données projet'!$A$62,$AF$205^A32,IF(A32='Données projet'!$A$62,'Données projet'!$B$62,AI31+AH32-AQ31)))</f>
        <v>112.72714285714289</v>
      </c>
      <c r="AJ32" s="13">
        <f>AI32*VLOOKUP('Données projet'!$B$10,Paramètres!$A$1:$I$89,3,0)*VLOOKUP('Données projet'!$B$10,Paramètres!$A$1:$I$89,5,0)</f>
        <v>114.3053228571429</v>
      </c>
      <c r="AK32" s="13">
        <f t="shared" si="35"/>
        <v>30.343074556744043</v>
      </c>
      <c r="AL32" s="20">
        <f t="shared" si="4"/>
        <v>251.92929216251972</v>
      </c>
      <c r="AM32" s="59">
        <f t="shared" si="5"/>
        <v>545.26262549585306</v>
      </c>
      <c r="AN32" s="59">
        <f ca="1">AVERAGE(OFFSET($AM$3,0,0,'Données projet'!$E$10+1,1))-AVERAGE(OFFSET($H$3,0,0,'Données projet'!$E$10+1,1))</f>
        <v>463.77045964052894</v>
      </c>
      <c r="AO32" s="59">
        <f t="shared" si="36"/>
        <v>209.77146243694483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3.887142857142857</v>
      </c>
      <c r="BD32" s="12">
        <f>IF('Données projet'!$A$88&gt;35,BD31+BC32-BL31,IF(A32&lt;'Données projet'!$A$88,$BA$205^A32,IF(A32='Données projet'!$A$88,'Données projet'!$B$88,BD31+BC32-BL31)))</f>
        <v>112.72714285714289</v>
      </c>
      <c r="BE32" s="13">
        <f>BD32*VLOOKUP('Données projet'!$B$11,Paramètres!$A$1:$I$89,3,0)*VLOOKUP('Données projet'!$B$11,Paramètres!$A$1:$I$89,5,0)</f>
        <v>109.02969257142863</v>
      </c>
      <c r="BF32" s="13">
        <f t="shared" si="37"/>
        <v>29.102254822181546</v>
      </c>
      <c r="BG32" s="20">
        <f t="shared" si="7"/>
        <v>240.57980837720436</v>
      </c>
      <c r="BH32" s="59">
        <f t="shared" si="8"/>
        <v>533.91314171053773</v>
      </c>
      <c r="BI32" s="59">
        <f ca="1">AVERAGE(OFFSET($BH$3,0,0,'Données projet'!$E$11+1,1))-AVERAGE(OFFSET($H$3,0,0,'Données projet'!$E$11+1,1))</f>
        <v>436.0942819360734</v>
      </c>
      <c r="BJ32" s="59">
        <f t="shared" si="38"/>
        <v>198.03942180876311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5.5128205128205137</v>
      </c>
      <c r="BY32" s="12">
        <f>IF('Données projet'!$A$114&gt;35,BY31+BX32-CG31,IF(A32&lt;'Données projet'!$A$114,$BV$205^A32,IF(A32='Données projet'!$A$114,'Données projet'!$B$114,BY31+BX32-CG31)))</f>
        <v>150.25641025641031</v>
      </c>
      <c r="BZ32" s="13">
        <f>BY32*VLOOKUP('Données projet'!$B$12,Paramètres!$A$1:$I$89,3,0)*VLOOKUP('Données projet'!$B$12,Paramètres!$A$1:$I$89,5,0)</f>
        <v>135.95200000000006</v>
      </c>
      <c r="CA32" s="13">
        <f t="shared" si="39"/>
        <v>35.368087947665096</v>
      </c>
      <c r="CB32" s="20">
        <f t="shared" si="10"/>
        <v>298.38248650885009</v>
      </c>
      <c r="CC32" s="59">
        <f t="shared" si="11"/>
        <v>591.71581984218346</v>
      </c>
      <c r="CD32" s="59">
        <f ca="1">AVERAGE(OFFSET($CC$3,0,0,'Données projet'!$E$12+1,1))-AVERAGE(OFFSET($H$3,0,0,'Données projet'!$E$12+1,1))</f>
        <v>183.99578440773581</v>
      </c>
      <c r="CE32" s="59">
        <f t="shared" si="40"/>
        <v>258.43295338669657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5.9178268965127341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5.9178268965127341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21.995999999999999</v>
      </c>
      <c r="D33" s="11">
        <f t="shared" si="32"/>
        <v>7.0737053871356732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224.39772579543327</v>
      </c>
      <c r="H33" s="67">
        <f t="shared" si="1"/>
        <v>343.96307021592793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3.887142857142857</v>
      </c>
      <c r="N33" s="13">
        <f>IF('Données projet'!$A$36&gt;35,N32+M33-V32,IF(A33&lt;'Données projet'!$A$36,$K$205^A33,IF(A33='Données projet'!$A$36,'Données projet'!$B$36,N32+M33-V32)))</f>
        <v>116.61428571428576</v>
      </c>
      <c r="O33" s="13">
        <f>N33*VLOOKUP('Données projet'!$B$9,Paramètres!$A$1:$I$89,3,0)*VLOOKUP('Données projet'!$B$9,Paramètres!$A$1:$I$89,5,0)</f>
        <v>105.51260571428575</v>
      </c>
      <c r="P33" s="13">
        <f t="shared" si="33"/>
        <v>28.271170326518615</v>
      </c>
      <c r="Q33" s="20">
        <f t="shared" si="2"/>
        <v>233.00674327106756</v>
      </c>
      <c r="R33" s="59">
        <f t="shared" si="0"/>
        <v>526.34007660440091</v>
      </c>
      <c r="S33" s="59">
        <f ca="1">AVERAGE(OFFSET($R$3,0,0,'Données projet'!$E$9+1,1))-AVERAGE(OFFSET($H$3,0,0,'Données projet'!$E$9+1,1))</f>
        <v>399.15057697410413</v>
      </c>
      <c r="T33" s="59">
        <f t="shared" si="34"/>
        <v>182.37700638847298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3.887142857142857</v>
      </c>
      <c r="AI33" s="13">
        <f>IF('Données projet'!$A$62&gt;35,AI32+AH33-AQ32,IF(A33&lt;'Données projet'!$A$62,$AF$205^A33,IF(A33='Données projet'!$A$62,'Données projet'!$B$62,AI32+AH33-AQ32)))</f>
        <v>116.61428571428576</v>
      </c>
      <c r="AJ33" s="13">
        <f>AI33*VLOOKUP('Données projet'!$B$10,Paramètres!$A$1:$I$89,3,0)*VLOOKUP('Données projet'!$B$10,Paramètres!$A$1:$I$89,5,0)</f>
        <v>118.24688571428577</v>
      </c>
      <c r="AK33" s="13">
        <f t="shared" si="35"/>
        <v>31.265764612722538</v>
      </c>
      <c r="AL33" s="20">
        <f t="shared" si="4"/>
        <v>260.40119931953944</v>
      </c>
      <c r="AM33" s="59">
        <f t="shared" si="5"/>
        <v>553.73453265287276</v>
      </c>
      <c r="AN33" s="59">
        <f ca="1">AVERAGE(OFFSET($AM$3,0,0,'Données projet'!$E$10+1,1))-AVERAGE(OFFSET($H$3,0,0,'Données projet'!$E$10+1,1))</f>
        <v>463.77045964052894</v>
      </c>
      <c r="AO33" s="59">
        <f t="shared" si="36"/>
        <v>209.77146243694483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3.887142857142857</v>
      </c>
      <c r="BD33" s="12">
        <f>IF('Données projet'!$A$88&gt;35,BD32+BC33-BL32,IF(A33&lt;'Données projet'!$A$88,$BA$205^A33,IF(A33='Données projet'!$A$88,'Données projet'!$B$88,BD32+BC33-BL32)))</f>
        <v>116.61428571428576</v>
      </c>
      <c r="BE33" s="13">
        <f>BD33*VLOOKUP('Données projet'!$B$11,Paramètres!$A$1:$I$89,3,0)*VLOOKUP('Données projet'!$B$11,Paramètres!$A$1:$I$89,5,0)</f>
        <v>112.78933714285719</v>
      </c>
      <c r="BF33" s="13">
        <f t="shared" si="37"/>
        <v>29.987213301941502</v>
      </c>
      <c r="BG33" s="20">
        <f t="shared" si="7"/>
        <v>248.66915869135769</v>
      </c>
      <c r="BH33" s="59">
        <f t="shared" si="8"/>
        <v>542.00249202469104</v>
      </c>
      <c r="BI33" s="59">
        <f ca="1">AVERAGE(OFFSET($BH$3,0,0,'Données projet'!$E$11+1,1))-AVERAGE(OFFSET($H$3,0,0,'Données projet'!$E$11+1,1))</f>
        <v>436.0942819360734</v>
      </c>
      <c r="BJ33" s="59">
        <f t="shared" si="38"/>
        <v>198.03942180876311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155.76923076923077</v>
      </c>
      <c r="BW33" s="12">
        <f>VLOOKUP(A33,'Données projet'!$A$113:$I$133,9,0)</f>
        <v>5.5128205128205137</v>
      </c>
      <c r="BX33" s="12">
        <f t="array" ref="BX33">INDEX(BW:BW,MIN(IF(ISNUMBER(BW33:BW229),ROW(BW33:BW229),"")))</f>
        <v>5.5128205128205137</v>
      </c>
      <c r="BY33" s="12">
        <f>IF('Données projet'!$A$114&gt;35,BY32+BX33-CG32,IF(A33&lt;'Données projet'!$A$114,$BV$205^A33,IF(A33='Données projet'!$A$114,'Données projet'!$B$114,BY32+BX33-CG32)))</f>
        <v>155.76923076923083</v>
      </c>
      <c r="BZ33" s="13">
        <f>BY33*VLOOKUP('Données projet'!$B$12,Paramètres!$A$1:$I$89,3,0)*VLOOKUP('Données projet'!$B$12,Paramètres!$A$1:$I$89,5,0)</f>
        <v>140.94000000000005</v>
      </c>
      <c r="CA33" s="13">
        <f t="shared" si="39"/>
        <v>36.512262355573853</v>
      </c>
      <c r="CB33" s="20">
        <f t="shared" si="10"/>
        <v>309.06269026929118</v>
      </c>
      <c r="CC33" s="59">
        <f t="shared" si="11"/>
        <v>602.3960236026245</v>
      </c>
      <c r="CD33" s="59">
        <f ca="1">AVERAGE(OFFSET($CC$3,0,0,'Données projet'!$E$12+1,1))-AVERAGE(OFFSET($H$3,0,0,'Données projet'!$E$12+1,1))</f>
        <v>183.99578440773581</v>
      </c>
      <c r="CE33" s="59">
        <f t="shared" si="40"/>
        <v>258.43295338669657</v>
      </c>
      <c r="CF33" s="15">
        <f>IF(ISNA(VLOOKUP(A33,'Données projet'!$A$113:$I$133,3,0)),0,VLOOKUP(A33,'Données projet'!$A$113:$I$133,3,0))</f>
        <v>6</v>
      </c>
      <c r="CG33" s="15">
        <f>IF(ISNA(VLOOKUP(A33,'Données projet'!$A$113:$I$133,4,0)),0,VLOOKUP(A33,'Données projet'!$A$113:$I$133,4,0))</f>
        <v>7.0512820512820511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0.15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6.8097732682325391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6.8097732682325391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22.729199999999999</v>
      </c>
      <c r="D34" s="11">
        <f t="shared" si="32"/>
        <v>7.2816503291468493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231.66270429516865</v>
      </c>
      <c r="H34" s="67">
        <f t="shared" si="1"/>
        <v>345.60223098993072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3.887142857142857</v>
      </c>
      <c r="N34" s="13">
        <f>IF('Données projet'!$A$36&gt;35,N33+M34-V33,IF(A34&lt;'Données projet'!$A$36,$K$205^A34,IF(A34='Données projet'!$A$36,'Données projet'!$B$36,N33+M34-V33)))</f>
        <v>120.50142857142862</v>
      </c>
      <c r="O34" s="13">
        <f>N34*VLOOKUP('Données projet'!$B$9,Paramètres!$A$1:$I$89,3,0)*VLOOKUP('Données projet'!$B$9,Paramètres!$A$1:$I$89,5,0)</f>
        <v>109.02969257142863</v>
      </c>
      <c r="P34" s="13">
        <f t="shared" si="33"/>
        <v>29.102254822181546</v>
      </c>
      <c r="Q34" s="20">
        <f t="shared" si="2"/>
        <v>240.57980837720436</v>
      </c>
      <c r="R34" s="59">
        <f t="shared" si="0"/>
        <v>533.91314171053773</v>
      </c>
      <c r="S34" s="59">
        <f ca="1">AVERAGE(OFFSET($R$3,0,0,'Données projet'!$E$9+1,1))-AVERAGE(OFFSET($H$3,0,0,'Données projet'!$E$9+1,1))</f>
        <v>399.15057697410413</v>
      </c>
      <c r="T34" s="59">
        <f t="shared" si="34"/>
        <v>182.37700638847298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3.887142857142857</v>
      </c>
      <c r="AI34" s="13">
        <f>IF('Données projet'!$A$62&gt;35,AI33+AH34-AQ33,IF(A34&lt;'Données projet'!$A$62,$AF$205^A34,IF(A34='Données projet'!$A$62,'Données projet'!$B$62,AI33+AH34-AQ33)))</f>
        <v>120.50142857142862</v>
      </c>
      <c r="AJ34" s="13">
        <f>AI34*VLOOKUP('Données projet'!$B$10,Paramètres!$A$1:$I$89,3,0)*VLOOKUP('Données projet'!$B$10,Paramètres!$A$1:$I$89,5,0)</f>
        <v>122.18844857142862</v>
      </c>
      <c r="AK34" s="13">
        <f t="shared" si="35"/>
        <v>32.184880868419519</v>
      </c>
      <c r="AL34" s="20">
        <f t="shared" si="4"/>
        <v>268.86688210773553</v>
      </c>
      <c r="AM34" s="59">
        <f t="shared" si="5"/>
        <v>562.20021544106885</v>
      </c>
      <c r="AN34" s="59">
        <f ca="1">AVERAGE(OFFSET($AM$3,0,0,'Données projet'!$E$10+1,1))-AVERAGE(OFFSET($H$3,0,0,'Données projet'!$E$10+1,1))</f>
        <v>463.77045964052894</v>
      </c>
      <c r="AO34" s="59">
        <f t="shared" si="36"/>
        <v>209.77146243694483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3.887142857142857</v>
      </c>
      <c r="BD34" s="12">
        <f>IF('Données projet'!$A$88&gt;35,BD33+BC34-BL33,IF(A34&lt;'Données projet'!$A$88,$BA$205^A34,IF(A34='Données projet'!$A$88,'Données projet'!$B$88,BD33+BC34-BL33)))</f>
        <v>120.50142857142862</v>
      </c>
      <c r="BE34" s="13">
        <f>BD34*VLOOKUP('Données projet'!$B$11,Paramètres!$A$1:$I$89,3,0)*VLOOKUP('Données projet'!$B$11,Paramètres!$A$1:$I$89,5,0)</f>
        <v>116.54898171428576</v>
      </c>
      <c r="BF34" s="13">
        <f t="shared" si="37"/>
        <v>30.868744124880426</v>
      </c>
      <c r="BG34" s="20">
        <f t="shared" si="7"/>
        <v>256.75253916988112</v>
      </c>
      <c r="BH34" s="59">
        <f t="shared" si="8"/>
        <v>550.08587250321443</v>
      </c>
      <c r="BI34" s="59">
        <f ca="1">AVERAGE(OFFSET($BH$3,0,0,'Données projet'!$E$11+1,1))-AVERAGE(OFFSET($H$3,0,0,'Données projet'!$E$11+1,1))</f>
        <v>436.0942819360734</v>
      </c>
      <c r="BJ34" s="59">
        <f t="shared" si="38"/>
        <v>198.03942180876311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4.4871794871794863</v>
      </c>
      <c r="BY34" s="12">
        <f>IF('Données projet'!$A$114&gt;35,BY33+BX34-CG33,IF(A34&lt;'Données projet'!$A$114,$BV$205^A34,IF(A34='Données projet'!$A$114,'Données projet'!$B$114,BY33+BX34-CG33)))</f>
        <v>153.20512820512826</v>
      </c>
      <c r="BZ34" s="13">
        <f>BY34*VLOOKUP('Données projet'!$B$12,Paramètres!$A$1:$I$89,3,0)*VLOOKUP('Données projet'!$B$12,Paramètres!$A$1:$I$89,5,0)</f>
        <v>138.62000000000003</v>
      </c>
      <c r="CA34" s="13">
        <f t="shared" si="39"/>
        <v>35.980684840627909</v>
      </c>
      <c r="CB34" s="20">
        <f t="shared" si="10"/>
        <v>304.09619276409364</v>
      </c>
      <c r="CC34" s="59">
        <f t="shared" si="11"/>
        <v>597.42952609742701</v>
      </c>
      <c r="CD34" s="59">
        <f ca="1">AVERAGE(OFFSET($CC$3,0,0,'Données projet'!$E$12+1,1))-AVERAGE(OFFSET($H$3,0,0,'Données projet'!$E$12+1,1))</f>
        <v>183.99578440773581</v>
      </c>
      <c r="CE34" s="59">
        <f t="shared" si="40"/>
        <v>258.43295338669657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6.6235596601023081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6.6235596601023081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23.462399999999999</v>
      </c>
      <c r="D35" s="11">
        <f t="shared" si="32"/>
        <v>7.4888157926750578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238.92166576801799</v>
      </c>
      <c r="H35" s="67">
        <f t="shared" si="1"/>
        <v>347.24003417224236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3.887142857142857</v>
      </c>
      <c r="N35" s="13">
        <f>IF('Données projet'!$A$36&gt;35,N34+M35-V34,IF(A35&lt;'Données projet'!$A$36,$K$205^A35,IF(A35='Données projet'!$A$36,'Données projet'!$B$36,N34+M35-V34)))</f>
        <v>124.38857142857148</v>
      </c>
      <c r="O35" s="13">
        <f>N35*VLOOKUP('Données projet'!$B$9,Paramètres!$A$1:$I$89,3,0)*VLOOKUP('Données projet'!$B$9,Paramètres!$A$1:$I$89,5,0)</f>
        <v>112.54677942857147</v>
      </c>
      <c r="P35" s="13">
        <f t="shared" si="33"/>
        <v>29.930224010130704</v>
      </c>
      <c r="Q35" s="20">
        <f t="shared" ref="Q35:Q66" si="53">(O35+P35)*0.475*44/12</f>
        <v>248.14744765573963</v>
      </c>
      <c r="R35" s="59">
        <f t="shared" si="0"/>
        <v>541.48078098907297</v>
      </c>
      <c r="S35" s="59">
        <f ca="1">AVERAGE(OFFSET($R$3,0,0,'Données projet'!$E$9+1,1))-AVERAGE(OFFSET($H$3,0,0,'Données projet'!$E$9+1,1))</f>
        <v>399.15057697410413</v>
      </c>
      <c r="T35" s="59">
        <f t="shared" si="34"/>
        <v>182.37700638847298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3.887142857142857</v>
      </c>
      <c r="AI35" s="13">
        <f>IF('Données projet'!$A$62&gt;35,AI34+AH35-AQ34,IF(A35&lt;'Données projet'!$A$62,$AF$205^A35,IF(A35='Données projet'!$A$62,'Données projet'!$B$62,AI34+AH35-AQ34)))</f>
        <v>124.38857142857148</v>
      </c>
      <c r="AJ35" s="13">
        <f>AI35*VLOOKUP('Données projet'!$B$10,Paramètres!$A$1:$I$89,3,0)*VLOOKUP('Données projet'!$B$10,Paramètres!$A$1:$I$89,5,0)</f>
        <v>126.13001142857149</v>
      </c>
      <c r="AK35" s="13">
        <f t="shared" si="35"/>
        <v>33.100551830676153</v>
      </c>
      <c r="AL35" s="20">
        <f t="shared" si="4"/>
        <v>277.32656434318966</v>
      </c>
      <c r="AM35" s="59">
        <f t="shared" si="5"/>
        <v>570.65989767652297</v>
      </c>
      <c r="AN35" s="59">
        <f ca="1">AVERAGE(OFFSET($AM$3,0,0,'Données projet'!$E$10+1,1))-AVERAGE(OFFSET($H$3,0,0,'Données projet'!$E$10+1,1))</f>
        <v>463.77045964052894</v>
      </c>
      <c r="AO35" s="59">
        <f t="shared" si="36"/>
        <v>209.77146243694483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3.887142857142857</v>
      </c>
      <c r="BD35" s="12">
        <f>IF('Données projet'!$A$88&gt;35,BD34+BC35-BL34,IF(A35&lt;'Données projet'!$A$88,$BA$205^A35,IF(A35='Données projet'!$A$88,'Données projet'!$B$88,BD34+BC35-BL34)))</f>
        <v>124.38857142857148</v>
      </c>
      <c r="BE35" s="13">
        <f>BD35*VLOOKUP('Données projet'!$B$11,Paramètres!$A$1:$I$89,3,0)*VLOOKUP('Données projet'!$B$11,Paramètres!$A$1:$I$89,5,0)</f>
        <v>120.30862628571434</v>
      </c>
      <c r="BF35" s="13">
        <f t="shared" si="37"/>
        <v>31.746970542807571</v>
      </c>
      <c r="BG35" s="20">
        <f t="shared" si="7"/>
        <v>264.8301644763423</v>
      </c>
      <c r="BH35" s="59">
        <f t="shared" si="8"/>
        <v>558.16349780967562</v>
      </c>
      <c r="BI35" s="59">
        <f ca="1">AVERAGE(OFFSET($BH$3,0,0,'Données projet'!$E$11+1,1))-AVERAGE(OFFSET($H$3,0,0,'Données projet'!$E$11+1,1))</f>
        <v>436.0942819360734</v>
      </c>
      <c r="BJ35" s="59">
        <f t="shared" si="38"/>
        <v>198.03942180876311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4.4871794871794863</v>
      </c>
      <c r="BY35" s="12">
        <f>IF('Données projet'!$A$114&gt;35,BY34+BX35-CG34,IF(A35&lt;'Données projet'!$A$114,$BV$205^A35,IF(A35='Données projet'!$A$114,'Données projet'!$B$114,BY34+BX35-CG34)))</f>
        <v>157.69230769230774</v>
      </c>
      <c r="BZ35" s="13">
        <f>BY35*VLOOKUP('Données projet'!$B$12,Paramètres!$A$1:$I$89,3,0)*VLOOKUP('Données projet'!$B$12,Paramètres!$A$1:$I$89,5,0)</f>
        <v>142.68000000000004</v>
      </c>
      <c r="CA35" s="13">
        <f t="shared" si="39"/>
        <v>36.91027667425076</v>
      </c>
      <c r="CB35" s="20">
        <f t="shared" si="10"/>
        <v>312.78639854098674</v>
      </c>
      <c r="CC35" s="59">
        <f t="shared" si="11"/>
        <v>606.11973187432</v>
      </c>
      <c r="CD35" s="59">
        <f ca="1">AVERAGE(OFFSET($CC$3,0,0,'Données projet'!$E$12+1,1))-AVERAGE(OFFSET($H$3,0,0,'Données projet'!$E$12+1,1))</f>
        <v>183.99578440773581</v>
      </c>
      <c r="CE35" s="59">
        <f t="shared" si="40"/>
        <v>258.43295338669657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6.4424380728789465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6.4424380728789465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24.195599999999999</v>
      </c>
      <c r="D36" s="11">
        <f t="shared" si="32"/>
        <v>7.6952289313442845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246.17481982090328</v>
      </c>
      <c r="H36" s="67">
        <f t="shared" si="1"/>
        <v>348.87652705542462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3.887142857142857</v>
      </c>
      <c r="N36" s="13">
        <f>IF('Données projet'!$A$36&gt;35,N35+M36-V35,IF(A36&lt;'Données projet'!$A$36,$K$205^A36,IF(A36='Données projet'!$A$36,'Données projet'!$B$36,N35+M36-V35)))</f>
        <v>128.27571428571434</v>
      </c>
      <c r="O36" s="13">
        <f>N36*VLOOKUP('Données projet'!$B$9,Paramètres!$A$1:$I$89,3,0)*VLOOKUP('Données projet'!$B$9,Paramètres!$A$1:$I$89,5,0)</f>
        <v>116.06386628571434</v>
      </c>
      <c r="P36" s="13">
        <f t="shared" si="33"/>
        <v>30.755186414072718</v>
      </c>
      <c r="Q36" s="20">
        <f t="shared" si="53"/>
        <v>255.70985011879577</v>
      </c>
      <c r="R36" s="59">
        <f t="shared" si="0"/>
        <v>549.04318345212914</v>
      </c>
      <c r="S36" s="59">
        <f ca="1">AVERAGE(OFFSET($R$3,0,0,'Données projet'!$E$9+1,1))-AVERAGE(OFFSET($H$3,0,0,'Données projet'!$E$9+1,1))</f>
        <v>399.15057697410413</v>
      </c>
      <c r="T36" s="59">
        <f t="shared" si="34"/>
        <v>182.37700638847298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3.887142857142857</v>
      </c>
      <c r="AI36" s="13">
        <f>IF('Données projet'!$A$62&gt;35,AI35+AH36-AQ35,IF(A36&lt;'Données projet'!$A$62,$AF$205^A36,IF(A36='Données projet'!$A$62,'Données projet'!$B$62,AI35+AH36-AQ35)))</f>
        <v>128.27571428571434</v>
      </c>
      <c r="AJ36" s="13">
        <f>AI36*VLOOKUP('Données projet'!$B$10,Paramètres!$A$1:$I$89,3,0)*VLOOKUP('Données projet'!$B$10,Paramètres!$A$1:$I$89,5,0)</f>
        <v>130.07157428571435</v>
      </c>
      <c r="AK36" s="13">
        <f t="shared" si="35"/>
        <v>34.012897518459816</v>
      </c>
      <c r="AL36" s="20">
        <f t="shared" si="4"/>
        <v>285.78045505893664</v>
      </c>
      <c r="AM36" s="59">
        <f t="shared" si="5"/>
        <v>579.11378839226995</v>
      </c>
      <c r="AN36" s="59">
        <f ca="1">AVERAGE(OFFSET($AM$3,0,0,'Données projet'!$E$10+1,1))-AVERAGE(OFFSET($H$3,0,0,'Données projet'!$E$10+1,1))</f>
        <v>463.77045964052894</v>
      </c>
      <c r="AO36" s="59">
        <f t="shared" si="36"/>
        <v>209.77146243694483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3.887142857142857</v>
      </c>
      <c r="BD36" s="12">
        <f>IF('Données projet'!$A$88&gt;35,BD35+BC36-BL35,IF(A36&lt;'Données projet'!$A$88,$BA$205^A36,IF(A36='Données projet'!$A$88,'Données projet'!$B$88,BD35+BC36-BL35)))</f>
        <v>128.27571428571434</v>
      </c>
      <c r="BE36" s="13">
        <f>BD36*VLOOKUP('Données projet'!$B$11,Paramètres!$A$1:$I$89,3,0)*VLOOKUP('Données projet'!$B$11,Paramètres!$A$1:$I$89,5,0)</f>
        <v>124.06827085714291</v>
      </c>
      <c r="BF36" s="13">
        <f t="shared" si="37"/>
        <v>32.622007666753092</v>
      </c>
      <c r="BG36" s="20">
        <f t="shared" si="7"/>
        <v>272.9022350957855</v>
      </c>
      <c r="BH36" s="59">
        <f t="shared" si="8"/>
        <v>566.23556842911876</v>
      </c>
      <c r="BI36" s="59">
        <f ca="1">AVERAGE(OFFSET($BH$3,0,0,'Données projet'!$E$11+1,1))-AVERAGE(OFFSET($H$3,0,0,'Données projet'!$E$11+1,1))</f>
        <v>436.0942819360734</v>
      </c>
      <c r="BJ36" s="59">
        <f t="shared" si="38"/>
        <v>198.03942180876311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4.4871794871794863</v>
      </c>
      <c r="BY36" s="12">
        <f>IF('Données projet'!$A$114&gt;35,BY35+BX36-CG35,IF(A36&lt;'Données projet'!$A$114,$BV$205^A36,IF(A36='Données projet'!$A$114,'Données projet'!$B$114,BY35+BX36-CG35)))</f>
        <v>162.17948717948721</v>
      </c>
      <c r="BZ36" s="13">
        <f>BY36*VLOOKUP('Données projet'!$B$12,Paramètres!$A$1:$I$89,3,0)*VLOOKUP('Données projet'!$B$12,Paramètres!$A$1:$I$89,5,0)</f>
        <v>146.74</v>
      </c>
      <c r="CA36" s="13">
        <f t="shared" si="39"/>
        <v>37.836794173430228</v>
      </c>
      <c r="CB36" s="20">
        <f t="shared" si="10"/>
        <v>321.47124985205761</v>
      </c>
      <c r="CC36" s="59">
        <f t="shared" si="11"/>
        <v>614.80458318539092</v>
      </c>
      <c r="CD36" s="59">
        <f ca="1">AVERAGE(OFFSET($CC$3,0,0,'Données projet'!$E$12+1,1))-AVERAGE(OFFSET($H$3,0,0,'Données projet'!$E$12+1,1))</f>
        <v>183.99578440773581</v>
      </c>
      <c r="CE36" s="59">
        <f t="shared" si="40"/>
        <v>258.43295338669657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6.2662692649829781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6.2662692649829781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24.928799999999999</v>
      </c>
      <c r="D37" s="11">
        <f t="shared" si="32"/>
        <v>7.9009151595869396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253.42236263540795</v>
      </c>
      <c r="H37" s="67">
        <f t="shared" si="1"/>
        <v>350.51175390294725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3.887142857142857</v>
      </c>
      <c r="N37" s="13">
        <f>IF('Données projet'!$A$36&gt;35,N36+M37-V36,IF(A37&lt;'Données projet'!$A$36,$K$205^A37,IF(A37='Données projet'!$A$36,'Données projet'!$B$36,N36+M37-V36)))</f>
        <v>132.16285714285721</v>
      </c>
      <c r="O37" s="13">
        <f>N37*VLOOKUP('Données projet'!$B$9,Paramètres!$A$1:$I$89,3,0)*VLOOKUP('Données projet'!$B$9,Paramètres!$A$1:$I$89,5,0)</f>
        <v>119.58095314285718</v>
      </c>
      <c r="P37" s="13">
        <f t="shared" si="33"/>
        <v>31.577243606763055</v>
      </c>
      <c r="Q37" s="20">
        <f t="shared" si="53"/>
        <v>263.26719267225525</v>
      </c>
      <c r="R37" s="59">
        <f t="shared" si="0"/>
        <v>556.60052600558856</v>
      </c>
      <c r="S37" s="59">
        <f ca="1">AVERAGE(OFFSET($R$3,0,0,'Données projet'!$E$9+1,1))-AVERAGE(OFFSET($H$3,0,0,'Données projet'!$E$9+1,1))</f>
        <v>399.15057697410413</v>
      </c>
      <c r="T37" s="59">
        <f t="shared" si="34"/>
        <v>182.37700638847298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3.887142857142857</v>
      </c>
      <c r="AI37" s="13">
        <f>IF('Données projet'!$A$62&gt;35,AI36+AH37-AQ36,IF(A37&lt;'Données projet'!$A$62,$AF$205^A37,IF(A37='Données projet'!$A$62,'Données projet'!$B$62,AI36+AH37-AQ36)))</f>
        <v>132.16285714285721</v>
      </c>
      <c r="AJ37" s="13">
        <f>AI37*VLOOKUP('Données projet'!$B$10,Paramètres!$A$1:$I$89,3,0)*VLOOKUP('Données projet'!$B$10,Paramètres!$A$1:$I$89,5,0)</f>
        <v>134.0131371428572</v>
      </c>
      <c r="AK37" s="13">
        <f t="shared" si="35"/>
        <v>34.92203026351433</v>
      </c>
      <c r="AL37" s="20">
        <f t="shared" si="4"/>
        <v>294.2287498994304</v>
      </c>
      <c r="AM37" s="59">
        <f t="shared" si="5"/>
        <v>587.56208323276371</v>
      </c>
      <c r="AN37" s="59">
        <f ca="1">AVERAGE(OFFSET($AM$3,0,0,'Données projet'!$E$10+1,1))-AVERAGE(OFFSET($H$3,0,0,'Données projet'!$E$10+1,1))</f>
        <v>463.77045964052894</v>
      </c>
      <c r="AO37" s="59">
        <f t="shared" si="36"/>
        <v>209.77146243694483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3.887142857142857</v>
      </c>
      <c r="BD37" s="12">
        <f>IF('Données projet'!$A$88&gt;35,BD36+BC37-BL36,IF(A37&lt;'Données projet'!$A$88,$BA$205^A37,IF(A37='Données projet'!$A$88,'Données projet'!$B$88,BD36+BC37-BL36)))</f>
        <v>132.16285714285721</v>
      </c>
      <c r="BE37" s="13">
        <f>BD37*VLOOKUP('Données projet'!$B$11,Paramètres!$A$1:$I$89,3,0)*VLOOKUP('Données projet'!$B$11,Paramètres!$A$1:$I$89,5,0)</f>
        <v>127.8279154285715</v>
      </c>
      <c r="BF37" s="13">
        <f t="shared" si="37"/>
        <v>33.493963234877462</v>
      </c>
      <c r="BG37" s="20">
        <f t="shared" si="7"/>
        <v>280.96893867217358</v>
      </c>
      <c r="BH37" s="59">
        <f t="shared" si="8"/>
        <v>574.30227200550689</v>
      </c>
      <c r="BI37" s="59">
        <f ca="1">AVERAGE(OFFSET($BH$3,0,0,'Données projet'!$E$11+1,1))-AVERAGE(OFFSET($H$3,0,0,'Données projet'!$E$11+1,1))</f>
        <v>436.0942819360734</v>
      </c>
      <c r="BJ37" s="59">
        <f t="shared" si="38"/>
        <v>198.03942180876311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4.4871794871794863</v>
      </c>
      <c r="BY37" s="12">
        <f>IF('Données projet'!$A$114&gt;35,BY36+BX37-CG36,IF(A37&lt;'Données projet'!$A$114,$BV$205^A37,IF(A37='Données projet'!$A$114,'Données projet'!$B$114,BY36+BX37-CG36)))</f>
        <v>166.66666666666669</v>
      </c>
      <c r="BZ37" s="13">
        <f>BY37*VLOOKUP('Données projet'!$B$12,Paramètres!$A$1:$I$89,3,0)*VLOOKUP('Données projet'!$B$12,Paramètres!$A$1:$I$89,5,0)</f>
        <v>150.80000000000001</v>
      </c>
      <c r="CA37" s="13">
        <f t="shared" si="39"/>
        <v>38.760332171619183</v>
      </c>
      <c r="CB37" s="20">
        <f t="shared" si="10"/>
        <v>330.15091186557009</v>
      </c>
      <c r="CC37" s="59">
        <f t="shared" si="11"/>
        <v>623.48424519890341</v>
      </c>
      <c r="CD37" s="59">
        <f ca="1">AVERAGE(OFFSET($CC$3,0,0,'Données projet'!$E$12+1,1))-AVERAGE(OFFSET($H$3,0,0,'Données projet'!$E$12+1,1))</f>
        <v>183.99578440773581</v>
      </c>
      <c r="CE37" s="59">
        <f t="shared" si="40"/>
        <v>258.43295338669657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6.0949178024032395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6.0949178024032395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25.661999999999999</v>
      </c>
      <c r="D38" s="11">
        <f t="shared" si="32"/>
        <v>8.1058983118768086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260.66447819694378</v>
      </c>
      <c r="H38" s="67">
        <f t="shared" si="1"/>
        <v>352.14575622651876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3.887142857142857</v>
      </c>
      <c r="N38" s="13">
        <f>IF('Données projet'!$A$36&gt;35,N37+M38-V37,IF(A38&lt;'Données projet'!$A$36,$K$205^A38,IF(A38='Données projet'!$A$36,'Données projet'!$B$36,N37+M38-V37)))</f>
        <v>136.05000000000007</v>
      </c>
      <c r="O38" s="13">
        <f>N38*VLOOKUP('Données projet'!$B$9,Paramètres!$A$1:$I$89,3,0)*VLOOKUP('Données projet'!$B$9,Paramètres!$A$1:$I$89,5,0)</f>
        <v>123.09804000000005</v>
      </c>
      <c r="P38" s="13">
        <f t="shared" si="33"/>
        <v>32.396490846405321</v>
      </c>
      <c r="Q38" s="20">
        <f t="shared" si="53"/>
        <v>270.81964122415599</v>
      </c>
      <c r="R38" s="59">
        <f t="shared" si="0"/>
        <v>564.1529745574893</v>
      </c>
      <c r="S38" s="59">
        <f ca="1">AVERAGE(OFFSET($R$3,0,0,'Données projet'!$E$9+1,1))-AVERAGE(OFFSET($H$3,0,0,'Données projet'!$E$9+1,1))</f>
        <v>399.15057697410413</v>
      </c>
      <c r="T38" s="59">
        <f t="shared" si="34"/>
        <v>182.37700638847298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0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3.887142857142857</v>
      </c>
      <c r="AI38" s="13">
        <f>IF('Données projet'!$A$62&gt;35,AI37+AH38-AQ37,IF(A38&lt;'Données projet'!$A$62,$AF$205^A38,IF(A38='Données projet'!$A$62,'Données projet'!$B$62,AI37+AH38-AQ37)))</f>
        <v>136.05000000000007</v>
      </c>
      <c r="AJ38" s="13">
        <f>AI38*VLOOKUP('Données projet'!$B$10,Paramètres!$A$1:$I$89,3,0)*VLOOKUP('Données projet'!$B$10,Paramètres!$A$1:$I$89,5,0)</f>
        <v>137.95470000000009</v>
      </c>
      <c r="AK38" s="13">
        <f t="shared" si="35"/>
        <v>35.828055414169384</v>
      </c>
      <c r="AL38" s="20">
        <f t="shared" si="4"/>
        <v>302.67163234634512</v>
      </c>
      <c r="AM38" s="59">
        <f t="shared" si="5"/>
        <v>596.00496567967843</v>
      </c>
      <c r="AN38" s="59">
        <f ca="1">AVERAGE(OFFSET($AM$3,0,0,'Données projet'!$E$10+1,1))-AVERAGE(OFFSET($H$3,0,0,'Données projet'!$E$10+1,1))</f>
        <v>463.77045964052894</v>
      </c>
      <c r="AO38" s="59">
        <f t="shared" si="36"/>
        <v>209.77146243694483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3.887142857142857</v>
      </c>
      <c r="BD38" s="12">
        <f>IF('Données projet'!$A$88&gt;35,BD37+BC38-BL37,IF(A38&lt;'Données projet'!$A$88,$BA$205^A38,IF(A38='Données projet'!$A$88,'Données projet'!$B$88,BD37+BC38-BL37)))</f>
        <v>136.05000000000007</v>
      </c>
      <c r="BE38" s="13">
        <f>BD38*VLOOKUP('Données projet'!$B$11,Paramètres!$A$1:$I$89,3,0)*VLOOKUP('Données projet'!$B$11,Paramètres!$A$1:$I$89,5,0)</f>
        <v>131.58756000000008</v>
      </c>
      <c r="BF38" s="13">
        <f t="shared" si="37"/>
        <v>34.362938287499752</v>
      </c>
      <c r="BG38" s="20">
        <f t="shared" si="7"/>
        <v>289.0304511840622</v>
      </c>
      <c r="BH38" s="59">
        <f t="shared" si="8"/>
        <v>582.36378451739552</v>
      </c>
      <c r="BI38" s="59">
        <f ca="1">AVERAGE(OFFSET($BH$3,0,0,'Données projet'!$E$11+1,1))-AVERAGE(OFFSET($H$3,0,0,'Données projet'!$E$11+1,1))</f>
        <v>436.0942819360734</v>
      </c>
      <c r="BJ38" s="59">
        <f t="shared" si="38"/>
        <v>198.03942180876311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0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>
        <f>VLOOKUP(A38,'Données projet'!$A$113:$I$133,2,0)</f>
        <v>171.15384615384616</v>
      </c>
      <c r="BW38" s="12">
        <f>VLOOKUP(A38,'Données projet'!$A$113:$I$133,9,0)</f>
        <v>4.4871794871794863</v>
      </c>
      <c r="BX38" s="12">
        <f t="array" ref="BX38">INDEX(BW:BW,MIN(IF(ISNUMBER(BW38:BW234),ROW(BW38:BW234),"")))</f>
        <v>4.4871794871794863</v>
      </c>
      <c r="BY38" s="12">
        <f>IF('Données projet'!$A$114&gt;35,BY37+BX38-CG37,IF(A38&lt;'Données projet'!$A$114,$BV$205^A38,IF(A38='Données projet'!$A$114,'Données projet'!$B$114,BY37+BX38-CG37)))</f>
        <v>171.15384615384616</v>
      </c>
      <c r="BZ38" s="13">
        <f>BY38*VLOOKUP('Données projet'!$B$12,Paramètres!$A$1:$I$89,3,0)*VLOOKUP('Données projet'!$B$12,Paramètres!$A$1:$I$89,5,0)</f>
        <v>154.85999999999999</v>
      </c>
      <c r="CA38" s="13">
        <f t="shared" si="39"/>
        <v>39.680980105149139</v>
      </c>
      <c r="CB38" s="20">
        <f t="shared" si="10"/>
        <v>338.82554034980132</v>
      </c>
      <c r="CC38" s="59">
        <f t="shared" si="11"/>
        <v>632.15887368313463</v>
      </c>
      <c r="CD38" s="59">
        <f ca="1">AVERAGE(OFFSET($CC$3,0,0,'Données projet'!$E$12+1,1))-AVERAGE(OFFSET($H$3,0,0,'Données projet'!$E$12+1,1))</f>
        <v>183.99578440773581</v>
      </c>
      <c r="CE38" s="59">
        <f t="shared" si="40"/>
        <v>258.43295338669657</v>
      </c>
      <c r="CF38" s="15">
        <f>IF(ISNA(VLOOKUP(A38,'Données projet'!$A$113:$I$133,3,0)),0,VLOOKUP(A38,'Données projet'!$A$113:$I$133,3,0))</f>
        <v>7</v>
      </c>
      <c r="CG38" s="15">
        <f>IF(ISNA(VLOOKUP(A38,'Données projet'!$A$113:$I$133,4,0)),0,VLOOKUP(A38,'Données projet'!$A$113:$I$133,4,0))</f>
        <v>5.7692307692307692</v>
      </c>
      <c r="CH38" s="16">
        <f>IF(ISNA(VLOOKUP(A38,'Données projet'!$A$113:$I$133,5,0)),0%,VLOOKUP(A38,'Données projet'!$A$113:$I$133,5,0)*VLOOKUP('Données projet'!$B$12,Paramètres!$A$1:$I$89,7,0))</f>
        <v>0.18</v>
      </c>
      <c r="CI38" s="16">
        <f>IF(ISNA(VLOOKUP(A38,'Données projet'!$A$113:$I$133,6,0)),0%,VLOOKUP(A38,'Données projet'!$A$113:$I$133,6,0)*VLOOKUP('Données projet'!$B$12,Paramètres!$A$1:$I$89,7,0))</f>
        <v>0.06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1.0386999686091598</v>
      </c>
      <c r="CL38" s="21">
        <f>EXP(-LN(2)/25)*CL37+(1-EXP(-LN(2)/25))/(LN(2)/25)*Calculateur!CG38*Calculateur!CI38*VLOOKUP('Données projet'!$B$12,Paramètres!$A$1:$I$89,3,0)*0.475*44/12</f>
        <v>6.2731220249310686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7.311821993540228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26.395199999999999</v>
      </c>
      <c r="D39" s="11">
        <f t="shared" si="32"/>
        <v>8.3102007832524443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267.90133937949253</v>
      </c>
      <c r="H39" s="67">
        <f t="shared" si="1"/>
        <v>353.77857303083135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3.887142857142857</v>
      </c>
      <c r="N39" s="13">
        <f>IF('Données projet'!$A$36&gt;35,N38+M39-V38,IF(A39&lt;'Données projet'!$A$36,$K$205^A39,IF(A39='Données projet'!$A$36,'Données projet'!$B$36,N38+M39-V38)))</f>
        <v>139.93714285714293</v>
      </c>
      <c r="O39" s="13">
        <f>N39*VLOOKUP('Données projet'!$B$9,Paramètres!$A$1:$I$89,3,0)*VLOOKUP('Données projet'!$B$9,Paramètres!$A$1:$I$89,5,0)</f>
        <v>126.61512685714293</v>
      </c>
      <c r="P39" s="13">
        <f t="shared" si="33"/>
        <v>33.213017638275041</v>
      </c>
      <c r="Q39" s="20">
        <f t="shared" si="53"/>
        <v>278.36735166285297</v>
      </c>
      <c r="R39" s="59">
        <f t="shared" si="0"/>
        <v>571.70068499618628</v>
      </c>
      <c r="S39" s="59">
        <f ca="1">AVERAGE(OFFSET($R$3,0,0,'Données projet'!$E$9+1,1))-AVERAGE(OFFSET($H$3,0,0,'Données projet'!$E$9+1,1))</f>
        <v>399.15057697410413</v>
      </c>
      <c r="T39" s="59">
        <f t="shared" si="34"/>
        <v>182.37700638847298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0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3.887142857142857</v>
      </c>
      <c r="AI39" s="13">
        <f>IF('Données projet'!$A$62&gt;35,AI38+AH39-AQ38,IF(A39&lt;'Données projet'!$A$62,$AF$205^A39,IF(A39='Données projet'!$A$62,'Données projet'!$B$62,AI38+AH39-AQ38)))</f>
        <v>139.93714285714293</v>
      </c>
      <c r="AJ39" s="13">
        <f>AI39*VLOOKUP('Données projet'!$B$10,Paramètres!$A$1:$I$89,3,0)*VLOOKUP('Données projet'!$B$10,Paramètres!$A$1:$I$89,5,0)</f>
        <v>141.89626285714294</v>
      </c>
      <c r="AK39" s="13">
        <f t="shared" si="35"/>
        <v>36.73107195645354</v>
      </c>
      <c r="AL39" s="20">
        <f t="shared" si="4"/>
        <v>311.10927480034724</v>
      </c>
      <c r="AM39" s="59">
        <f t="shared" si="5"/>
        <v>604.44260813368055</v>
      </c>
      <c r="AN39" s="59">
        <f ca="1">AVERAGE(OFFSET($AM$3,0,0,'Données projet'!$E$10+1,1))-AVERAGE(OFFSET($H$3,0,0,'Données projet'!$E$10+1,1))</f>
        <v>463.77045964052894</v>
      </c>
      <c r="AO39" s="59">
        <f t="shared" si="36"/>
        <v>209.77146243694483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3.887142857142857</v>
      </c>
      <c r="BD39" s="12">
        <f>IF('Données projet'!$A$88&gt;35,BD38+BC39-BL38,IF(A39&lt;'Données projet'!$A$88,$BA$205^A39,IF(A39='Données projet'!$A$88,'Données projet'!$B$88,BD38+BC39-BL38)))</f>
        <v>139.93714285714293</v>
      </c>
      <c r="BE39" s="13">
        <f>BD39*VLOOKUP('Données projet'!$B$11,Paramètres!$A$1:$I$89,3,0)*VLOOKUP('Données projet'!$B$11,Paramètres!$A$1:$I$89,5,0)</f>
        <v>135.34720457142865</v>
      </c>
      <c r="BF39" s="13">
        <f t="shared" si="37"/>
        <v>35.229027762811612</v>
      </c>
      <c r="BG39" s="20">
        <f t="shared" si="7"/>
        <v>297.08693798213511</v>
      </c>
      <c r="BH39" s="59">
        <f t="shared" si="8"/>
        <v>590.42027131546843</v>
      </c>
      <c r="BI39" s="59">
        <f ca="1">AVERAGE(OFFSET($BH$3,0,0,'Données projet'!$E$11+1,1))-AVERAGE(OFFSET($H$3,0,0,'Données projet'!$E$11+1,1))</f>
        <v>436.0942819360734</v>
      </c>
      <c r="BJ39" s="59">
        <f t="shared" si="38"/>
        <v>198.03942180876311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0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3.9743589743589722</v>
      </c>
      <c r="BY39" s="12">
        <f>IF('Données projet'!$A$114&gt;35,BY38+BX39-CG38,IF(A39&lt;'Données projet'!$A$114,$BV$205^A39,IF(A39='Données projet'!$A$114,'Données projet'!$B$114,BY38+BX39-CG38)))</f>
        <v>169.35897435897436</v>
      </c>
      <c r="BZ39" s="13">
        <f>BY39*VLOOKUP('Données projet'!$B$12,Paramètres!$A$1:$I$89,3,0)*VLOOKUP('Données projet'!$B$12,Paramètres!$A$1:$I$89,5,0)</f>
        <v>153.23599999999999</v>
      </c>
      <c r="CA39" s="13">
        <f t="shared" si="39"/>
        <v>39.313062226559019</v>
      </c>
      <c r="CB39" s="20">
        <f t="shared" si="10"/>
        <v>335.3562833779236</v>
      </c>
      <c r="CC39" s="59">
        <f t="shared" si="11"/>
        <v>628.68961671125692</v>
      </c>
      <c r="CD39" s="59">
        <f ca="1">AVERAGE(OFFSET($CC$3,0,0,'Données projet'!$E$12+1,1))-AVERAGE(OFFSET($H$3,0,0,'Données projet'!$E$12+1,1))</f>
        <v>183.99578440773581</v>
      </c>
      <c r="CE39" s="59">
        <f t="shared" si="40"/>
        <v>258.43295338669657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1.0183316957691577</v>
      </c>
      <c r="CL39" s="21">
        <f>EXP(-LN(2)/25)*CL38+(1-EXP(-LN(2)/25))/(LN(2)/25)*Calculateur!CG39*Calculateur!CI39*VLOOKUP('Données projet'!$B$12,Paramètres!$A$1:$I$89,3,0)*0.475*44/12</f>
        <v>6.1015831732701784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7.1199148690393361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27.128399999999999</v>
      </c>
      <c r="D40" s="11">
        <f t="shared" si="32"/>
        <v>8.5138436537878803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275.13310890643277</v>
      </c>
      <c r="H40" s="67">
        <f t="shared" si="1"/>
        <v>355.41024103034721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3.887142857142857</v>
      </c>
      <c r="N40" s="13">
        <f>IF('Données projet'!$A$36&gt;35,N39+M40-V39,IF(A40&lt;'Données projet'!$A$36,$K$205^A40,IF(A40='Données projet'!$A$36,'Données projet'!$B$36,N39+M40-V39)))</f>
        <v>143.82428571428579</v>
      </c>
      <c r="O40" s="13">
        <f>N40*VLOOKUP('Données projet'!$B$9,Paramètres!$A$1:$I$89,3,0)*VLOOKUP('Données projet'!$B$9,Paramètres!$A$1:$I$89,5,0)</f>
        <v>130.13221371428577</v>
      </c>
      <c r="P40" s="13">
        <f t="shared" si="33"/>
        <v>34.026908232186209</v>
      </c>
      <c r="Q40" s="20">
        <f t="shared" si="53"/>
        <v>285.91047072343866</v>
      </c>
      <c r="R40" s="59">
        <f t="shared" si="0"/>
        <v>579.24380405677198</v>
      </c>
      <c r="S40" s="59">
        <f ca="1">AVERAGE(OFFSET($R$3,0,0,'Données projet'!$E$9+1,1))-AVERAGE(OFFSET($H$3,0,0,'Données projet'!$E$9+1,1))</f>
        <v>399.15057697410413</v>
      </c>
      <c r="T40" s="59">
        <f t="shared" si="34"/>
        <v>182.37700638847298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0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3.887142857142857</v>
      </c>
      <c r="AI40" s="13">
        <f>IF('Données projet'!$A$62&gt;35,AI39+AH40-AQ39,IF(A40&lt;'Données projet'!$A$62,$AF$205^A40,IF(A40='Données projet'!$A$62,'Données projet'!$B$62,AI39+AH40-AQ39)))</f>
        <v>143.82428571428579</v>
      </c>
      <c r="AJ40" s="13">
        <f>AI40*VLOOKUP('Données projet'!$B$10,Paramètres!$A$1:$I$89,3,0)*VLOOKUP('Données projet'!$B$10,Paramètres!$A$1:$I$89,5,0)</f>
        <v>145.8378257142858</v>
      </c>
      <c r="AK40" s="13">
        <f t="shared" si="35"/>
        <v>37.631173064254732</v>
      </c>
      <c r="AL40" s="20">
        <f t="shared" si="4"/>
        <v>319.5418395392914</v>
      </c>
      <c r="AM40" s="59">
        <f t="shared" si="5"/>
        <v>612.87517287262472</v>
      </c>
      <c r="AN40" s="59">
        <f ca="1">AVERAGE(OFFSET($AM$3,0,0,'Données projet'!$E$10+1,1))-AVERAGE(OFFSET($H$3,0,0,'Données projet'!$E$10+1,1))</f>
        <v>463.77045964052894</v>
      </c>
      <c r="AO40" s="59">
        <f t="shared" si="36"/>
        <v>209.77146243694483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3.887142857142857</v>
      </c>
      <c r="BD40" s="12">
        <f>IF('Données projet'!$A$88&gt;35,BD39+BC40-BL39,IF(A40&lt;'Données projet'!$A$88,$BA$205^A40,IF(A40='Données projet'!$A$88,'Données projet'!$B$88,BD39+BC40-BL39)))</f>
        <v>143.82428571428579</v>
      </c>
      <c r="BE40" s="13">
        <f>BD40*VLOOKUP('Données projet'!$B$11,Paramètres!$A$1:$I$89,3,0)*VLOOKUP('Données projet'!$B$11,Paramètres!$A$1:$I$89,5,0)</f>
        <v>139.10684914285721</v>
      </c>
      <c r="BF40" s="13">
        <f t="shared" si="37"/>
        <v>36.092321024539963</v>
      </c>
      <c r="BG40" s="20">
        <f t="shared" si="7"/>
        <v>305.13855470821676</v>
      </c>
      <c r="BH40" s="59">
        <f t="shared" si="8"/>
        <v>598.47188804155007</v>
      </c>
      <c r="BI40" s="59">
        <f ca="1">AVERAGE(OFFSET($BH$3,0,0,'Données projet'!$E$11+1,1))-AVERAGE(OFFSET($H$3,0,0,'Données projet'!$E$11+1,1))</f>
        <v>436.0942819360734</v>
      </c>
      <c r="BJ40" s="59">
        <f t="shared" si="38"/>
        <v>198.03942180876311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0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3.9743589743589722</v>
      </c>
      <c r="BY40" s="12">
        <f>IF('Données projet'!$A$114&gt;35,BY39+BX40-CG39,IF(A40&lt;'Données projet'!$A$114,$BV$205^A40,IF(A40='Données projet'!$A$114,'Données projet'!$B$114,BY39+BX40-CG39)))</f>
        <v>173.33333333333334</v>
      </c>
      <c r="BZ40" s="13">
        <f>BY40*VLOOKUP('Données projet'!$B$12,Paramètres!$A$1:$I$89,3,0)*VLOOKUP('Données projet'!$B$12,Paramètres!$A$1:$I$89,5,0)</f>
        <v>156.83199999999999</v>
      </c>
      <c r="CA40" s="13">
        <f t="shared" si="39"/>
        <v>40.127134611967058</v>
      </c>
      <c r="CB40" s="20">
        <f t="shared" si="10"/>
        <v>343.03715944917593</v>
      </c>
      <c r="CC40" s="59">
        <f t="shared" si="11"/>
        <v>636.37049278250925</v>
      </c>
      <c r="CD40" s="59">
        <f ca="1">AVERAGE(OFFSET($CC$3,0,0,'Données projet'!$E$12+1,1))-AVERAGE(OFFSET($H$3,0,0,'Données projet'!$E$12+1,1))</f>
        <v>183.99578440773581</v>
      </c>
      <c r="CE40" s="59">
        <f t="shared" si="40"/>
        <v>258.43295338669657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0.99836283233612833</v>
      </c>
      <c r="CL40" s="21">
        <f>EXP(-LN(2)/25)*CL39+(1-EXP(-LN(2)/25))/(LN(2)/25)*Calculateur!CG40*Calculateur!CI40*VLOOKUP('Données projet'!$B$12,Paramètres!$A$1:$I$89,3,0)*0.475*44/12</f>
        <v>5.9347350605287916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6.9330978928649198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27.861599999999999</v>
      </c>
      <c r="D41" s="11">
        <f t="shared" si="32"/>
        <v>8.7168467992286693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282.35994020457218</v>
      </c>
      <c r="H41" s="67">
        <f t="shared" si="1"/>
        <v>357.04079484198991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3.887142857142857</v>
      </c>
      <c r="N41" s="13">
        <f>IF('Données projet'!$A$36&gt;35,N40+M41-V40,IF(A41&lt;'Données projet'!$A$36,$K$205^A41,IF(A41='Données projet'!$A$36,'Données projet'!$B$36,N40+M41-V40)))</f>
        <v>147.71142857142866</v>
      </c>
      <c r="O41" s="13">
        <f>N41*VLOOKUP('Données projet'!$B$9,Paramètres!$A$1:$I$89,3,0)*VLOOKUP('Données projet'!$B$9,Paramètres!$A$1:$I$89,5,0)</f>
        <v>133.64930057142865</v>
      </c>
      <c r="P41" s="13">
        <f t="shared" si="33"/>
        <v>34.8382420646657</v>
      </c>
      <c r="Q41" s="20">
        <f t="shared" si="53"/>
        <v>293.44913675786432</v>
      </c>
      <c r="R41" s="59">
        <f t="shared" si="0"/>
        <v>586.78247009119764</v>
      </c>
      <c r="S41" s="59">
        <f ca="1">AVERAGE(OFFSET($R$3,0,0,'Données projet'!$E$9+1,1))-AVERAGE(OFFSET($H$3,0,0,'Données projet'!$E$9+1,1))</f>
        <v>399.15057697410413</v>
      </c>
      <c r="T41" s="59">
        <f t="shared" si="34"/>
        <v>182.37700638847298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0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3.887142857142857</v>
      </c>
      <c r="AI41" s="13">
        <f>IF('Données projet'!$A$62&gt;35,AI40+AH41-AQ40,IF(A41&lt;'Données projet'!$A$62,$AF$205^A41,IF(A41='Données projet'!$A$62,'Données projet'!$B$62,AI40+AH41-AQ40)))</f>
        <v>147.71142857142866</v>
      </c>
      <c r="AJ41" s="13">
        <f>AI41*VLOOKUP('Données projet'!$B$10,Paramètres!$A$1:$I$89,3,0)*VLOOKUP('Données projet'!$B$10,Paramètres!$A$1:$I$89,5,0)</f>
        <v>149.77938857142865</v>
      </c>
      <c r="AK41" s="13">
        <f t="shared" si="35"/>
        <v>38.528446588331214</v>
      </c>
      <c r="AL41" s="20">
        <f t="shared" si="4"/>
        <v>327.96947956991511</v>
      </c>
      <c r="AM41" s="59">
        <f t="shared" si="5"/>
        <v>621.30281290324842</v>
      </c>
      <c r="AN41" s="59">
        <f ca="1">AVERAGE(OFFSET($AM$3,0,0,'Données projet'!$E$10+1,1))-AVERAGE(OFFSET($H$3,0,0,'Données projet'!$E$10+1,1))</f>
        <v>463.77045964052894</v>
      </c>
      <c r="AO41" s="59">
        <f t="shared" si="36"/>
        <v>209.77146243694483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3.887142857142857</v>
      </c>
      <c r="BD41" s="12">
        <f>IF('Données projet'!$A$88&gt;35,BD40+BC41-BL40,IF(A41&lt;'Données projet'!$A$88,$BA$205^A41,IF(A41='Données projet'!$A$88,'Données projet'!$B$88,BD40+BC41-BL40)))</f>
        <v>147.71142857142866</v>
      </c>
      <c r="BE41" s="13">
        <f>BD41*VLOOKUP('Données projet'!$B$11,Paramètres!$A$1:$I$89,3,0)*VLOOKUP('Données projet'!$B$11,Paramètres!$A$1:$I$89,5,0)</f>
        <v>142.86649371428578</v>
      </c>
      <c r="BF41" s="13">
        <f t="shared" si="37"/>
        <v>36.952902330960896</v>
      </c>
      <c r="BG41" s="20">
        <f t="shared" si="7"/>
        <v>313.18544811213798</v>
      </c>
      <c r="BH41" s="59">
        <f t="shared" si="8"/>
        <v>606.51878144547129</v>
      </c>
      <c r="BI41" s="59">
        <f ca="1">AVERAGE(OFFSET($BH$3,0,0,'Données projet'!$E$11+1,1))-AVERAGE(OFFSET($H$3,0,0,'Données projet'!$E$11+1,1))</f>
        <v>436.0942819360734</v>
      </c>
      <c r="BJ41" s="59">
        <f t="shared" si="38"/>
        <v>198.03942180876311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0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3.9743589743589722</v>
      </c>
      <c r="BY41" s="12">
        <f>IF('Données projet'!$A$114&gt;35,BY40+BX41-CG40,IF(A41&lt;'Données projet'!$A$114,$BV$205^A41,IF(A41='Données projet'!$A$114,'Données projet'!$B$114,BY40+BX41-CG40)))</f>
        <v>177.30769230769232</v>
      </c>
      <c r="BZ41" s="13">
        <f>BY41*VLOOKUP('Données projet'!$B$12,Paramètres!$A$1:$I$89,3,0)*VLOOKUP('Données projet'!$B$12,Paramètres!$A$1:$I$89,5,0)</f>
        <v>160.42800000000003</v>
      </c>
      <c r="CA41" s="13">
        <f t="shared" si="39"/>
        <v>40.939036987026697</v>
      </c>
      <c r="CB41" s="20">
        <f t="shared" si="10"/>
        <v>350.71425608573821</v>
      </c>
      <c r="CC41" s="59">
        <f t="shared" si="11"/>
        <v>644.04758941907153</v>
      </c>
      <c r="CD41" s="59">
        <f ca="1">AVERAGE(OFFSET($CC$3,0,0,'Données projet'!$E$12+1,1))-AVERAGE(OFFSET($H$3,0,0,'Données projet'!$E$12+1,1))</f>
        <v>183.99578440773581</v>
      </c>
      <c r="CE41" s="59">
        <f t="shared" si="40"/>
        <v>258.43295338669657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0.97878554613521662</v>
      </c>
      <c r="CL41" s="21">
        <f>EXP(-LN(2)/25)*CL40+(1-EXP(-LN(2)/25))/(LN(2)/25)*Calculateur!CG41*Calculateur!CI41*VLOOKUP('Données projet'!$B$12,Paramètres!$A$1:$I$89,3,0)*0.475*44/12</f>
        <v>5.772449418204479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6.7512349643396954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28.594799999999999</v>
      </c>
      <c r="D42" s="11">
        <f t="shared" si="32"/>
        <v>8.9192289896543855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289.58197816575318</v>
      </c>
      <c r="H42" s="67">
        <f t="shared" si="1"/>
        <v>358.67026715698137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3.887142857142857</v>
      </c>
      <c r="N42" s="13">
        <f>IF('Données projet'!$A$36&gt;35,N41+M42-V41,IF(A42&lt;'Données projet'!$A$36,$K$205^A42,IF(A42='Données projet'!$A$36,'Données projet'!$B$36,N41+M42-V41)))</f>
        <v>151.59857142857152</v>
      </c>
      <c r="O42" s="13">
        <f>N42*VLOOKUP('Données projet'!$B$9,Paramètres!$A$1:$I$89,3,0)*VLOOKUP('Données projet'!$B$9,Paramètres!$A$1:$I$89,5,0)</f>
        <v>137.16638742857151</v>
      </c>
      <c r="P42" s="13">
        <f t="shared" si="33"/>
        <v>35.647094153273272</v>
      </c>
      <c r="Q42" s="20">
        <f t="shared" si="53"/>
        <v>300.98348042171295</v>
      </c>
      <c r="R42" s="59">
        <f t="shared" si="0"/>
        <v>594.31681375504627</v>
      </c>
      <c r="S42" s="59">
        <f ca="1">AVERAGE(OFFSET($R$3,0,0,'Données projet'!$E$9+1,1))-AVERAGE(OFFSET($H$3,0,0,'Données projet'!$E$9+1,1))</f>
        <v>399.15057697410413</v>
      </c>
      <c r="T42" s="59">
        <f t="shared" si="34"/>
        <v>182.37700638847298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0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3.887142857142857</v>
      </c>
      <c r="AI42" s="13">
        <f>IF('Données projet'!$A$62&gt;35,AI41+AH42-AQ41,IF(A42&lt;'Données projet'!$A$62,$AF$205^A42,IF(A42='Données projet'!$A$62,'Données projet'!$B$62,AI41+AH42-AQ41)))</f>
        <v>151.59857142857152</v>
      </c>
      <c r="AJ42" s="13">
        <f>AI42*VLOOKUP('Données projet'!$B$10,Paramètres!$A$1:$I$89,3,0)*VLOOKUP('Données projet'!$B$10,Paramètres!$A$1:$I$89,5,0)</f>
        <v>153.72095142857154</v>
      </c>
      <c r="AK42" s="13">
        <f t="shared" si="35"/>
        <v>39.422975492399672</v>
      </c>
      <c r="AL42" s="20">
        <f t="shared" si="4"/>
        <v>336.39233938735816</v>
      </c>
      <c r="AM42" s="59">
        <f t="shared" si="5"/>
        <v>629.72567272069148</v>
      </c>
      <c r="AN42" s="59">
        <f ca="1">AVERAGE(OFFSET($AM$3,0,0,'Données projet'!$E$10+1,1))-AVERAGE(OFFSET($H$3,0,0,'Données projet'!$E$10+1,1))</f>
        <v>463.77045964052894</v>
      </c>
      <c r="AO42" s="59">
        <f t="shared" si="36"/>
        <v>209.77146243694483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3.887142857142857</v>
      </c>
      <c r="BD42" s="12">
        <f>IF('Données projet'!$A$88&gt;35,BD41+BC42-BL41,IF(A42&lt;'Données projet'!$A$88,$BA$205^A42,IF(A42='Données projet'!$A$88,'Données projet'!$B$88,BD41+BC42-BL41)))</f>
        <v>151.59857142857152</v>
      </c>
      <c r="BE42" s="13">
        <f>BD42*VLOOKUP('Données projet'!$B$11,Paramètres!$A$1:$I$89,3,0)*VLOOKUP('Données projet'!$B$11,Paramètres!$A$1:$I$89,5,0)</f>
        <v>146.62613828571438</v>
      </c>
      <c r="BF42" s="13">
        <f t="shared" si="37"/>
        <v>37.810851253154773</v>
      </c>
      <c r="BG42" s="20">
        <f t="shared" si="7"/>
        <v>321.22775678019707</v>
      </c>
      <c r="BH42" s="59">
        <f t="shared" si="8"/>
        <v>614.56109011353033</v>
      </c>
      <c r="BI42" s="59">
        <f ca="1">AVERAGE(OFFSET($BH$3,0,0,'Données projet'!$E$11+1,1))-AVERAGE(OFFSET($H$3,0,0,'Données projet'!$E$11+1,1))</f>
        <v>436.0942819360734</v>
      </c>
      <c r="BJ42" s="59">
        <f t="shared" si="38"/>
        <v>198.03942180876311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0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3.9743589743589722</v>
      </c>
      <c r="BY42" s="12">
        <f>IF('Données projet'!$A$114&gt;35,BY41+BX42-CG41,IF(A42&lt;'Données projet'!$A$114,$BV$205^A42,IF(A42='Données projet'!$A$114,'Données projet'!$B$114,BY41+BX42-CG41)))</f>
        <v>181.2820512820513</v>
      </c>
      <c r="BZ42" s="13">
        <f>BY42*VLOOKUP('Données projet'!$B$12,Paramètres!$A$1:$I$89,3,0)*VLOOKUP('Données projet'!$B$12,Paramètres!$A$1:$I$89,5,0)</f>
        <v>164.024</v>
      </c>
      <c r="CA42" s="13">
        <f t="shared" si="39"/>
        <v>41.748823592801557</v>
      </c>
      <c r="CB42" s="20">
        <f t="shared" si="10"/>
        <v>358.38766775746268</v>
      </c>
      <c r="CC42" s="59">
        <f t="shared" si="11"/>
        <v>651.72100109079599</v>
      </c>
      <c r="CD42" s="59">
        <f ca="1">AVERAGE(OFFSET($CC$3,0,0,'Données projet'!$E$12+1,1))-AVERAGE(OFFSET($H$3,0,0,'Données projet'!$E$12+1,1))</f>
        <v>183.99578440773581</v>
      </c>
      <c r="CE42" s="59">
        <f t="shared" si="40"/>
        <v>258.43295338669657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0.95959215857573932</v>
      </c>
      <c r="CL42" s="21">
        <f>EXP(-LN(2)/25)*CL41+(1-EXP(-LN(2)/25))/(LN(2)/25)*Calculateur!CG42*Calculateur!CI42*VLOOKUP('Données projet'!$B$12,Paramètres!$A$1:$I$89,3,0)*0.475*44/12</f>
        <v>5.6146014853037558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6.5741936438794948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29.327999999999999</v>
      </c>
      <c r="D43" s="11">
        <f t="shared" si="32"/>
        <v>9.1210079777371842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296.79935982814669</v>
      </c>
      <c r="H43" s="67">
        <f t="shared" si="1"/>
        <v>360.29868889455889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3.887142857142857</v>
      </c>
      <c r="N43" s="13">
        <f>IF('Données projet'!$A$36&gt;35,N42+M43-V42,IF(A43&lt;'Données projet'!$A$36,$K$205^A43,IF(A43='Données projet'!$A$36,'Données projet'!$B$36,N42+M43-V42)))</f>
        <v>155.48571428571438</v>
      </c>
      <c r="O43" s="13">
        <f>N43*VLOOKUP('Données projet'!$B$9,Paramètres!$A$1:$I$89,3,0)*VLOOKUP('Données projet'!$B$9,Paramètres!$A$1:$I$89,5,0)</f>
        <v>140.68347428571437</v>
      </c>
      <c r="P43" s="13">
        <f t="shared" si="33"/>
        <v>36.453535449340755</v>
      </c>
      <c r="Q43" s="20">
        <f t="shared" si="53"/>
        <v>308.51362528855435</v>
      </c>
      <c r="R43" s="59">
        <f t="shared" si="0"/>
        <v>601.84695862188767</v>
      </c>
      <c r="S43" s="59">
        <f ca="1">AVERAGE(OFFSET($R$3,0,0,'Données projet'!$E$9+1,1))-AVERAGE(OFFSET($H$3,0,0,'Données projet'!$E$9+1,1))</f>
        <v>399.15057697410413</v>
      </c>
      <c r="T43" s="59">
        <f t="shared" si="34"/>
        <v>182.37700638847298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0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3.887142857142857</v>
      </c>
      <c r="AI43" s="13">
        <f>IF('Données projet'!$A$62&gt;35,AI42+AH43-AQ42,IF(A43&lt;'Données projet'!$A$62,$AF$205^A43,IF(A43='Données projet'!$A$62,'Données projet'!$B$62,AI42+AH43-AQ42)))</f>
        <v>155.48571428571438</v>
      </c>
      <c r="AJ43" s="13">
        <f>AI43*VLOOKUP('Données projet'!$B$10,Paramètres!$A$1:$I$89,3,0)*VLOOKUP('Données projet'!$B$10,Paramètres!$A$1:$I$89,5,0)</f>
        <v>157.66251428571439</v>
      </c>
      <c r="AK43" s="13">
        <f t="shared" si="35"/>
        <v>40.314838243237894</v>
      </c>
      <c r="AL43" s="20">
        <f t="shared" si="4"/>
        <v>344.81055565459184</v>
      </c>
      <c r="AM43" s="59">
        <f t="shared" si="5"/>
        <v>638.14388898792515</v>
      </c>
      <c r="AN43" s="59">
        <f ca="1">AVERAGE(OFFSET($AM$3,0,0,'Données projet'!$E$10+1,1))-AVERAGE(OFFSET($H$3,0,0,'Données projet'!$E$10+1,1))</f>
        <v>463.77045964052894</v>
      </c>
      <c r="AO43" s="59">
        <f t="shared" si="36"/>
        <v>209.77146243694483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3.887142857142857</v>
      </c>
      <c r="BD43" s="12">
        <f>IF('Données projet'!$A$88&gt;35,BD42+BC43-BL42,IF(A43&lt;'Données projet'!$A$88,$BA$205^A43,IF(A43='Données projet'!$A$88,'Données projet'!$B$88,BD42+BC43-BL42)))</f>
        <v>155.48571428571438</v>
      </c>
      <c r="BE43" s="13">
        <f>BD43*VLOOKUP('Données projet'!$B$11,Paramètres!$A$1:$I$89,3,0)*VLOOKUP('Données projet'!$B$11,Paramètres!$A$1:$I$89,5,0)</f>
        <v>150.38578285714294</v>
      </c>
      <c r="BF43" s="13">
        <f t="shared" si="37"/>
        <v>38.666243049156442</v>
      </c>
      <c r="BG43" s="20">
        <f t="shared" si="7"/>
        <v>329.26561178680475</v>
      </c>
      <c r="BH43" s="59">
        <f t="shared" si="8"/>
        <v>622.59894512013807</v>
      </c>
      <c r="BI43" s="59">
        <f ca="1">AVERAGE(OFFSET($BH$3,0,0,'Données projet'!$E$11+1,1))-AVERAGE(OFFSET($H$3,0,0,'Données projet'!$E$11+1,1))</f>
        <v>436.0942819360734</v>
      </c>
      <c r="BJ43" s="59">
        <f t="shared" si="38"/>
        <v>198.03942180876311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0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185.25641025641025</v>
      </c>
      <c r="BW43" s="12">
        <f>VLOOKUP(A43,'Données projet'!$A$113:$I$133,9,0)</f>
        <v>3.9743589743589722</v>
      </c>
      <c r="BX43" s="12">
        <f t="array" ref="BX43">INDEX(BW:BW,MIN(IF(ISNUMBER(BW43:BW239),ROW(BW43:BW239),"")))</f>
        <v>3.9743589743589722</v>
      </c>
      <c r="BY43" s="12">
        <f>IF('Données projet'!$A$114&gt;35,BY42+BX43-CG42,IF(A43&lt;'Données projet'!$A$114,$BV$205^A43,IF(A43='Données projet'!$A$114,'Données projet'!$B$114,BY42+BX43-CG42)))</f>
        <v>185.25641025641028</v>
      </c>
      <c r="BZ43" s="13">
        <f>BY43*VLOOKUP('Données projet'!$B$12,Paramètres!$A$1:$I$89,3,0)*VLOOKUP('Données projet'!$B$12,Paramètres!$A$1:$I$89,5,0)</f>
        <v>167.62</v>
      </c>
      <c r="CA43" s="13">
        <f t="shared" si="39"/>
        <v>42.556546156219149</v>
      </c>
      <c r="CB43" s="20">
        <f t="shared" si="10"/>
        <v>366.05748455541499</v>
      </c>
      <c r="CC43" s="59">
        <f t="shared" si="11"/>
        <v>659.3908178887483</v>
      </c>
      <c r="CD43" s="59">
        <f ca="1">AVERAGE(OFFSET($CC$3,0,0,'Données projet'!$E$12+1,1))-AVERAGE(OFFSET($H$3,0,0,'Données projet'!$E$12+1,1))</f>
        <v>183.99578440773581</v>
      </c>
      <c r="CE43" s="59">
        <f t="shared" si="40"/>
        <v>258.43295338669657</v>
      </c>
      <c r="CF43" s="15">
        <f>IF(ISNA(VLOOKUP(A43,'Données projet'!$A$113:$I$133,3,0)),0,VLOOKUP(A43,'Données projet'!$A$113:$I$133,3,0))</f>
        <v>8</v>
      </c>
      <c r="CG43" s="15">
        <f>IF(ISNA(VLOOKUP(A43,'Données projet'!$A$113:$I$133,4,0)),0,VLOOKUP(A43,'Données projet'!$A$113:$I$133,4,0))</f>
        <v>4.4871794871794872</v>
      </c>
      <c r="CH43" s="16">
        <f>IF(ISNA(VLOOKUP(A43,'Données projet'!$A$113:$I$133,5,0)),0%,VLOOKUP(A43,'Données projet'!$A$113:$I$133,5,0)*VLOOKUP('Données projet'!$B$12,Paramètres!$A$1:$I$89,7,0))</f>
        <v>0.18</v>
      </c>
      <c r="CI43" s="16">
        <f>IF(ISNA(VLOOKUP(A43,'Données projet'!$A$113:$I$133,6,0)),0%,VLOOKUP(A43,'Données projet'!$A$113:$I$133,6,0)*VLOOKUP('Données projet'!$B$12,Paramètres!$A$1:$I$89,7,0))</f>
        <v>0.06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1.7486528950021727</v>
      </c>
      <c r="CL43" s="21">
        <f>EXP(-LN(2)/25)*CL42+(1-EXP(-LN(2)/25))/(LN(2)/25)*Calculateur!CG43*Calculateur!CI43*VLOOKUP('Données projet'!$B$12,Paramètres!$A$1:$I$89,3,0)*0.475*44/12</f>
        <v>5.7293021893697764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7.4779550843719491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30.061199999999999</v>
      </c>
      <c r="D44" s="11">
        <f t="shared" si="32"/>
        <v>9.3222005779260471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304.01221498749936</v>
      </c>
      <c r="H44" s="67">
        <f t="shared" si="1"/>
        <v>361.92608933988788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3.887142857142857</v>
      </c>
      <c r="N44" s="13">
        <f>IF('Données projet'!$A$36&gt;35,N43+M44-V43,IF(A44&lt;'Données projet'!$A$36,$K$205^A44,IF(A44='Données projet'!$A$36,'Données projet'!$B$36,N43+M44-V43)))</f>
        <v>159.37285714285724</v>
      </c>
      <c r="O44" s="13">
        <f>N44*VLOOKUP('Données projet'!$B$9,Paramètres!$A$1:$I$89,3,0)*VLOOKUP('Données projet'!$B$9,Paramètres!$A$1:$I$89,5,0)</f>
        <v>144.20056114285723</v>
      </c>
      <c r="P44" s="13">
        <f t="shared" si="33"/>
        <v>37.257633154444321</v>
      </c>
      <c r="Q44" s="20">
        <f t="shared" si="53"/>
        <v>316.03968840113345</v>
      </c>
      <c r="R44" s="59">
        <f t="shared" si="0"/>
        <v>609.37302173446676</v>
      </c>
      <c r="S44" s="59">
        <f ca="1">AVERAGE(OFFSET($R$3,0,0,'Données projet'!$E$9+1,1))-AVERAGE(OFFSET($H$3,0,0,'Données projet'!$E$9+1,1))</f>
        <v>399.15057697410413</v>
      </c>
      <c r="T44" s="59">
        <f t="shared" si="34"/>
        <v>182.37700638847298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0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3.887142857142857</v>
      </c>
      <c r="AI44" s="13">
        <f>IF('Données projet'!$A$62&gt;35,AI43+AH44-AQ43,IF(A44&lt;'Données projet'!$A$62,$AF$205^A44,IF(A44='Données projet'!$A$62,'Données projet'!$B$62,AI43+AH44-AQ43)))</f>
        <v>159.37285714285724</v>
      </c>
      <c r="AJ44" s="13">
        <f>AI44*VLOOKUP('Données projet'!$B$10,Paramètres!$A$1:$I$89,3,0)*VLOOKUP('Données projet'!$B$10,Paramètres!$A$1:$I$89,5,0)</f>
        <v>161.60407714285725</v>
      </c>
      <c r="AK44" s="13">
        <f t="shared" si="35"/>
        <v>41.204109160679089</v>
      </c>
      <c r="AL44" s="20">
        <f t="shared" si="4"/>
        <v>353.2242578119924</v>
      </c>
      <c r="AM44" s="59">
        <f t="shared" si="5"/>
        <v>646.55759114532566</v>
      </c>
      <c r="AN44" s="59">
        <f ca="1">AVERAGE(OFFSET($AM$3,0,0,'Données projet'!$E$10+1,1))-AVERAGE(OFFSET($H$3,0,0,'Données projet'!$E$10+1,1))</f>
        <v>463.77045964052894</v>
      </c>
      <c r="AO44" s="59">
        <f t="shared" si="36"/>
        <v>209.77146243694483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3.887142857142857</v>
      </c>
      <c r="BD44" s="12">
        <f>IF('Données projet'!$A$88&gt;35,BD43+BC44-BL43,IF(A44&lt;'Données projet'!$A$88,$BA$205^A44,IF(A44='Données projet'!$A$88,'Données projet'!$B$88,BD43+BC44-BL43)))</f>
        <v>159.37285714285724</v>
      </c>
      <c r="BE44" s="13">
        <f>BD44*VLOOKUP('Données projet'!$B$11,Paramètres!$A$1:$I$89,3,0)*VLOOKUP('Données projet'!$B$11,Paramètres!$A$1:$I$89,5,0)</f>
        <v>154.14542742857151</v>
      </c>
      <c r="BF44" s="13">
        <f t="shared" si="37"/>
        <v>39.519148999637181</v>
      </c>
      <c r="BG44" s="20">
        <f t="shared" si="7"/>
        <v>337.29913727913015</v>
      </c>
      <c r="BH44" s="59">
        <f t="shared" si="8"/>
        <v>630.63247061246352</v>
      </c>
      <c r="BI44" s="59">
        <f ca="1">AVERAGE(OFFSET($BH$3,0,0,'Données projet'!$E$11+1,1))-AVERAGE(OFFSET($H$3,0,0,'Données projet'!$E$11+1,1))</f>
        <v>436.0942819360734</v>
      </c>
      <c r="BJ44" s="59">
        <f t="shared" si="38"/>
        <v>198.03942180876311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0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3.8461538461538454</v>
      </c>
      <c r="BY44" s="12">
        <f>IF('Données projet'!$A$114&gt;35,BY43+BX44-CG43,IF(A44&lt;'Données projet'!$A$114,$BV$205^A44,IF(A44='Données projet'!$A$114,'Données projet'!$B$114,BY43+BX44-CG43)))</f>
        <v>184.61538461538464</v>
      </c>
      <c r="BZ44" s="13">
        <f>BY44*VLOOKUP('Données projet'!$B$12,Paramètres!$A$1:$I$89,3,0)*VLOOKUP('Données projet'!$B$12,Paramètres!$A$1:$I$89,5,0)</f>
        <v>167.04000000000002</v>
      </c>
      <c r="CA44" s="13">
        <f t="shared" si="39"/>
        <v>42.426405856596425</v>
      </c>
      <c r="CB44" s="20">
        <f t="shared" si="10"/>
        <v>364.82065686690544</v>
      </c>
      <c r="CC44" s="59">
        <f t="shared" si="11"/>
        <v>658.1539902002387</v>
      </c>
      <c r="CD44" s="59">
        <f ca="1">AVERAGE(OFFSET($CC$3,0,0,'Données projet'!$E$12+1,1))-AVERAGE(OFFSET($H$3,0,0,'Données projet'!$E$12+1,1))</f>
        <v>183.99578440773581</v>
      </c>
      <c r="CE44" s="59">
        <f t="shared" si="40"/>
        <v>258.43295338669657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1.7143628783041307</v>
      </c>
      <c r="CL44" s="21">
        <f>EXP(-LN(2)/25)*CL43+(1-EXP(-LN(2)/25))/(LN(2)/25)*Calculateur!CG44*Calculateur!CI44*VLOOKUP('Données projet'!$B$12,Paramètres!$A$1:$I$89,3,0)*0.475*44/12</f>
        <v>5.5726341197105524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7.2869969980146827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30.7944</v>
      </c>
      <c r="D45" s="11">
        <f t="shared" si="32"/>
        <v>9.5228227376882337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311.22066674706707</v>
      </c>
      <c r="H45" s="67">
        <f t="shared" si="1"/>
        <v>363.55249626814032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163.26</v>
      </c>
      <c r="L45" s="12">
        <f>VLOOKUP(A45,'Données projet'!$A$35:$I$55,9,0)</f>
        <v>3.887142857142857</v>
      </c>
      <c r="M45" s="12">
        <f t="array" ref="M45">INDEX(L:L,MIN(IF(ISNUMBER(L45:L241),ROW(L45:L241),"")))</f>
        <v>3.887142857142857</v>
      </c>
      <c r="N45" s="13">
        <f>IF('Données projet'!$A$36&gt;35,N44+M45-V44,IF(A45&lt;'Données projet'!$A$36,$K$205^A45,IF(A45='Données projet'!$A$36,'Données projet'!$B$36,N44+M45-V44)))</f>
        <v>163.2600000000001</v>
      </c>
      <c r="O45" s="13">
        <f>N45*VLOOKUP('Données projet'!$B$9,Paramètres!$A$1:$I$89,3,0)*VLOOKUP('Données projet'!$B$9,Paramètres!$A$1:$I$89,5,0)</f>
        <v>147.71764800000008</v>
      </c>
      <c r="P45" s="13">
        <f t="shared" si="33"/>
        <v>38.059451005131997</v>
      </c>
      <c r="Q45" s="20">
        <f t="shared" si="53"/>
        <v>323.56178076727167</v>
      </c>
      <c r="R45" s="59">
        <f t="shared" si="0"/>
        <v>616.89511410060504</v>
      </c>
      <c r="S45" s="59">
        <f ca="1">AVERAGE(OFFSET($R$3,0,0,'Données projet'!$E$9+1,1))-AVERAGE(OFFSET($H$3,0,0,'Données projet'!$E$9+1,1))</f>
        <v>399.15057697410413</v>
      </c>
      <c r="T45" s="59">
        <f t="shared" si="34"/>
        <v>182.37700638847298</v>
      </c>
      <c r="U45" s="15">
        <f>IF(ISNA(VLOOKUP(A45,'Données projet'!$A$35:$I$55,3,0)),0,VLOOKUP(A45,'Données projet'!$A$35:$I$55,3,0))</f>
        <v>1</v>
      </c>
      <c r="V45" s="15">
        <f>IF(ISNA(VLOOKUP(A45,'Données projet'!$A$35:$I$55,4,0)),0,VLOOKUP(A45,'Données projet'!$A$35:$I$55,4,0))</f>
        <v>43.21</v>
      </c>
      <c r="W45" s="16">
        <f>IF(ISNA(VLOOKUP(A45,'Données projet'!$A$35:$I$55,5,0)),0%,VLOOKUP(A45,'Données projet'!$A$35:$I$55,5,0)*VLOOKUP('Données projet'!$B$9,Paramètres!$A$1:$I$89,7,0))</f>
        <v>0.129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5.575369807727423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5.575369807727423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163.26</v>
      </c>
      <c r="AG45" s="12">
        <f>VLOOKUP(A45,'Données projet'!$A$61:$I$81,9,0)</f>
        <v>3.887142857142857</v>
      </c>
      <c r="AH45" s="12">
        <f t="array" ref="AH45">INDEX(AG:AG,MIN(IF(ISNUMBER(AG45:AG241),ROW(AG45:AG241),"")))</f>
        <v>3.887142857142857</v>
      </c>
      <c r="AI45" s="13">
        <f>IF('Données projet'!$A$62&gt;35,AI44+AH45-AQ44,IF(A45&lt;'Données projet'!$A$62,$AF$205^A45,IF(A45='Données projet'!$A$62,'Données projet'!$B$62,AI44+AH45-AQ44)))</f>
        <v>163.2600000000001</v>
      </c>
      <c r="AJ45" s="13">
        <f>AI45*VLOOKUP('Données projet'!$B$10,Paramètres!$A$1:$I$89,3,0)*VLOOKUP('Données projet'!$B$10,Paramètres!$A$1:$I$89,5,0)</f>
        <v>165.54564000000011</v>
      </c>
      <c r="AK45" s="13">
        <f t="shared" si="35"/>
        <v>42.090858732498674</v>
      </c>
      <c r="AL45" s="20">
        <f t="shared" si="4"/>
        <v>361.6335686257687</v>
      </c>
      <c r="AM45" s="59">
        <f t="shared" si="5"/>
        <v>654.96690195910196</v>
      </c>
      <c r="AN45" s="59">
        <f ca="1">AVERAGE(OFFSET($AM$3,0,0,'Données projet'!$E$10+1,1))-AVERAGE(OFFSET($H$3,0,0,'Données projet'!$E$10+1,1))</f>
        <v>463.77045964052894</v>
      </c>
      <c r="AO45" s="59">
        <f t="shared" si="36"/>
        <v>209.77146243694483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0.129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6.2482592672807336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6.2482592672807336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>
        <f>VLOOKUP(A45,'Données projet'!$A$87:$I$107,2,0)</f>
        <v>163.26</v>
      </c>
      <c r="BB45" s="12">
        <f>VLOOKUP(A45,'Données projet'!$A$87:$I$107,9,0)</f>
        <v>3.887142857142857</v>
      </c>
      <c r="BC45" s="12">
        <f t="array" ref="BC45">INDEX(BB:BB,MIN(IF(ISNUMBER(BB45:BB241),ROW(BB45:BB241),"")))</f>
        <v>3.887142857142857</v>
      </c>
      <c r="BD45" s="12">
        <f>IF('Données projet'!$A$88&gt;35,BD44+BC45-BL44,IF(A45&lt;'Données projet'!$A$88,$BA$205^A45,IF(A45='Données projet'!$A$88,'Données projet'!$B$88,BD44+BC45-BL44)))</f>
        <v>163.2600000000001</v>
      </c>
      <c r="BE45" s="13">
        <f>BD45*VLOOKUP('Données projet'!$B$11,Paramètres!$A$1:$I$89,3,0)*VLOOKUP('Données projet'!$B$11,Paramètres!$A$1:$I$89,5,0)</f>
        <v>157.9050720000001</v>
      </c>
      <c r="BF45" s="13">
        <f t="shared" si="37"/>
        <v>40.369636709915028</v>
      </c>
      <c r="BG45" s="20">
        <f t="shared" si="7"/>
        <v>345.32845100310215</v>
      </c>
      <c r="BH45" s="59">
        <f t="shared" si="8"/>
        <v>638.6617843364354</v>
      </c>
      <c r="BI45" s="59">
        <f ca="1">AVERAGE(OFFSET($BH$3,0,0,'Données projet'!$E$11+1,1))-AVERAGE(OFFSET($H$3,0,0,'Données projet'!$E$11+1,1))</f>
        <v>436.0942819360734</v>
      </c>
      <c r="BJ45" s="59">
        <f t="shared" si="38"/>
        <v>198.03942180876311</v>
      </c>
      <c r="BK45" s="15">
        <f>IF(ISNA(VLOOKUP(A45,'Données projet'!$A$87:$I$107,3,0)),0,VLOOKUP(A45,'Données projet'!$A$87:$I$107,3,0))</f>
        <v>1</v>
      </c>
      <c r="BL45" s="15">
        <f>IF(ISNA(VLOOKUP(A45,'Données projet'!$A$87:$I$107,4,0)),0,VLOOKUP(A45,'Données projet'!$A$87:$I$107,4,0))</f>
        <v>43.21</v>
      </c>
      <c r="BM45" s="16">
        <f>IF(ISNA(VLOOKUP(A45,'Données projet'!$A$87:$I$107,5,0)),0%,VLOOKUP(A45,'Données projet'!$A$87:$I$107,5,0)*VLOOKUP('Données projet'!$B$11,Paramètres!$A$1:$I$89,7,0))</f>
        <v>0.129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5.9598780703293146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5.9598780703293146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3.8461538461538454</v>
      </c>
      <c r="BY45" s="12">
        <f>IF('Données projet'!$A$114&gt;35,BY44+BX45-CG44,IF(A45&lt;'Données projet'!$A$114,$BV$205^A45,IF(A45='Données projet'!$A$114,'Données projet'!$B$114,BY44+BX45-CG44)))</f>
        <v>188.46153846153848</v>
      </c>
      <c r="BZ45" s="13">
        <f>BY45*VLOOKUP('Données projet'!$B$12,Paramètres!$A$1:$I$89,3,0)*VLOOKUP('Données projet'!$B$12,Paramètres!$A$1:$I$89,5,0)</f>
        <v>170.52</v>
      </c>
      <c r="CA45" s="13">
        <f t="shared" si="39"/>
        <v>43.206465577636521</v>
      </c>
      <c r="CB45" s="20">
        <f t="shared" si="10"/>
        <v>372.24026088105029</v>
      </c>
      <c r="CC45" s="59">
        <f t="shared" si="11"/>
        <v>665.57359421438355</v>
      </c>
      <c r="CD45" s="59">
        <f ca="1">AVERAGE(OFFSET($CC$3,0,0,'Données projet'!$E$12+1,1))-AVERAGE(OFFSET($H$3,0,0,'Données projet'!$E$12+1,1))</f>
        <v>183.99578440773581</v>
      </c>
      <c r="CE45" s="59">
        <f t="shared" si="40"/>
        <v>258.43295338669657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1.6807452679186923</v>
      </c>
      <c r="CL45" s="21">
        <f>EXP(-LN(2)/25)*CL44+(1-EXP(-LN(2)/25))/(LN(2)/25)*Calculateur!CG45*Calculateur!CI45*VLOOKUP('Données projet'!$B$12,Paramètres!$A$1:$I$89,3,0)*0.475*44/12</f>
        <v>5.4202501466549755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7.100995414573668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31.5276</v>
      </c>
      <c r="D46" s="11">
        <f t="shared" si="32"/>
        <v>9.7228896017746997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318.42483201369947</v>
      </c>
      <c r="H46" s="67">
        <f t="shared" si="1"/>
        <v>365.17793605642424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9.3712500000000034</v>
      </c>
      <c r="N46" s="13">
        <f>IF('Données projet'!$A$36&gt;35,N45+M46-V45,IF(A46&lt;'Données projet'!$A$36,$K$205^A46,IF(A46='Données projet'!$A$36,'Données projet'!$B$36,N45+M46-V45)))</f>
        <v>129.4212500000001</v>
      </c>
      <c r="O46" s="13">
        <f>N46*VLOOKUP('Données projet'!$B$9,Paramètres!$A$1:$I$89,3,0)*VLOOKUP('Données projet'!$B$9,Paramètres!$A$1:$I$89,5,0)</f>
        <v>117.10034700000008</v>
      </c>
      <c r="P46" s="13">
        <f t="shared" si="33"/>
        <v>30.997743089027207</v>
      </c>
      <c r="Q46" s="20">
        <f t="shared" si="53"/>
        <v>257.93750690505584</v>
      </c>
      <c r="R46" s="59">
        <f t="shared" si="0"/>
        <v>551.27084023838916</v>
      </c>
      <c r="S46" s="59">
        <f ca="1">AVERAGE(OFFSET($R$3,0,0,'Données projet'!$E$9+1,1))-AVERAGE(OFFSET($H$3,0,0,'Données projet'!$E$9+1,1))</f>
        <v>399.15057697410413</v>
      </c>
      <c r="T46" s="59">
        <f t="shared" si="34"/>
        <v>182.37700638847298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5.4660402064376861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5.4660402064376861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9.3712500000000034</v>
      </c>
      <c r="AI46" s="13">
        <f>IF('Données projet'!$A$62&gt;35,AI45+AH46-AQ45,IF(A46&lt;'Données projet'!$A$62,$AF$205^A46,IF(A46='Données projet'!$A$62,'Données projet'!$B$62,AI45+AH46-AQ45)))</f>
        <v>129.4212500000001</v>
      </c>
      <c r="AJ46" s="13">
        <f>AI46*VLOOKUP('Données projet'!$B$10,Paramètres!$A$1:$I$89,3,0)*VLOOKUP('Données projet'!$B$10,Paramètres!$A$1:$I$89,5,0)</f>
        <v>131.23314750000011</v>
      </c>
      <c r="AK46" s="13">
        <f t="shared" si="35"/>
        <v>34.281146756704409</v>
      </c>
      <c r="AL46" s="20">
        <f t="shared" si="4"/>
        <v>288.27072916376034</v>
      </c>
      <c r="AM46" s="59">
        <f t="shared" si="5"/>
        <v>581.60406249709365</v>
      </c>
      <c r="AN46" s="59">
        <f ca="1">AVERAGE(OFFSET($AM$3,0,0,'Données projet'!$E$10+1,1))-AVERAGE(OFFSET($H$3,0,0,'Données projet'!$E$10+1,1))</f>
        <v>463.77045964052894</v>
      </c>
      <c r="AO46" s="59">
        <f t="shared" si="36"/>
        <v>209.77146243694483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6.1257347141112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6.1257347141112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9.3712500000000034</v>
      </c>
      <c r="BD46" s="12">
        <f>IF('Données projet'!$A$88&gt;35,BD45+BC46-BL45,IF(A46&lt;'Données projet'!$A$88,$BA$205^A46,IF(A46='Données projet'!$A$88,'Données projet'!$B$88,BD45+BC46-BL45)))</f>
        <v>129.4212500000001</v>
      </c>
      <c r="BE46" s="13">
        <f>BD46*VLOOKUP('Données projet'!$B$11,Paramètres!$A$1:$I$89,3,0)*VLOOKUP('Données projet'!$B$11,Paramètres!$A$1:$I$89,5,0)</f>
        <v>125.1762330000001</v>
      </c>
      <c r="BF46" s="13">
        <f t="shared" si="37"/>
        <v>32.879287385479394</v>
      </c>
      <c r="BG46" s="20">
        <f t="shared" si="7"/>
        <v>275.28003133804344</v>
      </c>
      <c r="BH46" s="59">
        <f t="shared" si="8"/>
        <v>568.61336467137676</v>
      </c>
      <c r="BI46" s="59">
        <f ca="1">AVERAGE(OFFSET($BH$3,0,0,'Données projet'!$E$11+1,1))-AVERAGE(OFFSET($H$3,0,0,'Données projet'!$E$11+1,1))</f>
        <v>436.0942819360734</v>
      </c>
      <c r="BJ46" s="59">
        <f t="shared" si="38"/>
        <v>198.03942180876311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5.8430084965368367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5.8430084965368367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3.8461538461538454</v>
      </c>
      <c r="BY46" s="12">
        <f>IF('Données projet'!$A$114&gt;35,BY45+BX46-CG45,IF(A46&lt;'Données projet'!$A$114,$BV$205^A46,IF(A46='Données projet'!$A$114,'Données projet'!$B$114,BY45+BX46-CG45)))</f>
        <v>192.30769230769232</v>
      </c>
      <c r="BZ46" s="13">
        <f>BY46*VLOOKUP('Données projet'!$B$12,Paramètres!$A$1:$I$89,3,0)*VLOOKUP('Données projet'!$B$12,Paramètres!$A$1:$I$89,5,0)</f>
        <v>174</v>
      </c>
      <c r="CA46" s="13">
        <f t="shared" si="39"/>
        <v>43.98467432224858</v>
      </c>
      <c r="CB46" s="20">
        <f t="shared" si="10"/>
        <v>379.6566411112496</v>
      </c>
      <c r="CC46" s="59">
        <f t="shared" si="11"/>
        <v>672.98997444458291</v>
      </c>
      <c r="CD46" s="59">
        <f ca="1">AVERAGE(OFFSET($CC$3,0,0,'Données projet'!$E$12+1,1))-AVERAGE(OFFSET($H$3,0,0,'Données projet'!$E$12+1,1))</f>
        <v>183.99578440773581</v>
      </c>
      <c r="CE46" s="59">
        <f t="shared" si="40"/>
        <v>258.43295338669657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1.6477868783681946</v>
      </c>
      <c r="CL46" s="21">
        <f>EXP(-LN(2)/25)*CL45+(1-EXP(-LN(2)/25))/(LN(2)/25)*Calculateur!CG46*Calculateur!CI46*VLOOKUP('Données projet'!$B$12,Paramètres!$A$1:$I$89,3,0)*0.475*44/12</f>
        <v>5.2720331213561282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6.9198199997243233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32.260799999999996</v>
      </c>
      <c r="D47" s="11">
        <f t="shared" si="32"/>
        <v>9.9224155703389041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325.62482194647572</v>
      </c>
      <c r="H47" s="67">
        <f t="shared" si="1"/>
        <v>366.80243378500688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9.3712500000000034</v>
      </c>
      <c r="N47" s="13">
        <f>IF('Données projet'!$A$36&gt;35,N46+M47-V46,IF(A47&lt;'Données projet'!$A$36,$K$205^A47,IF(A47='Données projet'!$A$36,'Données projet'!$B$36,N46+M47-V46)))</f>
        <v>138.7925000000001</v>
      </c>
      <c r="O47" s="13">
        <f>N47*VLOOKUP('Données projet'!$B$9,Paramètres!$A$1:$I$89,3,0)*VLOOKUP('Données projet'!$B$9,Paramètres!$A$1:$I$89,5,0)</f>
        <v>125.5794540000001</v>
      </c>
      <c r="P47" s="13">
        <f t="shared" si="33"/>
        <v>32.97285338000448</v>
      </c>
      <c r="Q47" s="20">
        <f t="shared" si="53"/>
        <v>276.14526868684135</v>
      </c>
      <c r="R47" s="59">
        <f t="shared" si="0"/>
        <v>569.47860202017466</v>
      </c>
      <c r="S47" s="59">
        <f ca="1">AVERAGE(OFFSET($R$3,0,0,'Données projet'!$E$9+1,1))-AVERAGE(OFFSET($H$3,0,0,'Données projet'!$E$9+1,1))</f>
        <v>399.15057697410413</v>
      </c>
      <c r="T47" s="59">
        <f t="shared" si="34"/>
        <v>182.37700638847298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5.3588544919447685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5.3588544919447685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9.3712500000000034</v>
      </c>
      <c r="AI47" s="13">
        <f>IF('Données projet'!$A$62&gt;35,AI46+AH47-AQ46,IF(A47&lt;'Données projet'!$A$62,$AF$205^A47,IF(A47='Données projet'!$A$62,'Données projet'!$B$62,AI46+AH47-AQ46)))</f>
        <v>138.7925000000001</v>
      </c>
      <c r="AJ47" s="13">
        <f>AI47*VLOOKUP('Données projet'!$B$10,Paramètres!$A$1:$I$89,3,0)*VLOOKUP('Données projet'!$B$10,Paramètres!$A$1:$I$89,5,0)</f>
        <v>140.7355950000001</v>
      </c>
      <c r="AK47" s="13">
        <f t="shared" si="35"/>
        <v>36.465468549139587</v>
      </c>
      <c r="AL47" s="20">
        <f t="shared" si="4"/>
        <v>308.62518568141826</v>
      </c>
      <c r="AM47" s="59">
        <f t="shared" si="5"/>
        <v>601.95851901475157</v>
      </c>
      <c r="AN47" s="59">
        <f ca="1">AVERAGE(OFFSET($AM$3,0,0,'Données projet'!$E$10+1,1))-AVERAGE(OFFSET($H$3,0,0,'Données projet'!$E$10+1,1))</f>
        <v>463.77045964052894</v>
      </c>
      <c r="AO47" s="59">
        <f t="shared" si="36"/>
        <v>209.77146243694483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6.0056127926967227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6.0056127926967227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9.3712500000000034</v>
      </c>
      <c r="BD47" s="12">
        <f>IF('Données projet'!$A$88&gt;35,BD46+BC47-BL46,IF(A47&lt;'Données projet'!$A$88,$BA$205^A47,IF(A47='Données projet'!$A$88,'Données projet'!$B$88,BD46+BC47-BL46)))</f>
        <v>138.7925000000001</v>
      </c>
      <c r="BE47" s="13">
        <f>BD47*VLOOKUP('Données projet'!$B$11,Paramètres!$A$1:$I$89,3,0)*VLOOKUP('Données projet'!$B$11,Paramètres!$A$1:$I$89,5,0)</f>
        <v>134.24010600000011</v>
      </c>
      <c r="BF47" s="13">
        <f t="shared" si="37"/>
        <v>34.974285679017981</v>
      </c>
      <c r="BG47" s="20">
        <f t="shared" si="7"/>
        <v>294.71506550762314</v>
      </c>
      <c r="BH47" s="59">
        <f t="shared" si="8"/>
        <v>588.04839884095645</v>
      </c>
      <c r="BI47" s="59">
        <f ca="1">AVERAGE(OFFSET($BH$3,0,0,'Données projet'!$E$11+1,1))-AVERAGE(OFFSET($H$3,0,0,'Données projet'!$E$11+1,1))</f>
        <v>436.0942819360734</v>
      </c>
      <c r="BJ47" s="59">
        <f t="shared" si="38"/>
        <v>198.03942180876311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5.728430663803028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5.728430663803028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3.8461538461538454</v>
      </c>
      <c r="BY47" s="12">
        <f>IF('Données projet'!$A$114&gt;35,BY46+BX47-CG46,IF(A47&lt;'Données projet'!$A$114,$BV$205^A47,IF(A47='Données projet'!$A$114,'Données projet'!$B$114,BY46+BX47-CG46)))</f>
        <v>196.15384615384616</v>
      </c>
      <c r="BZ47" s="13">
        <f>BY47*VLOOKUP('Données projet'!$B$12,Paramètres!$A$1:$I$89,3,0)*VLOOKUP('Données projet'!$B$12,Paramètres!$A$1:$I$89,5,0)</f>
        <v>177.48</v>
      </c>
      <c r="CA47" s="13">
        <f t="shared" si="39"/>
        <v>44.761073376520102</v>
      </c>
      <c r="CB47" s="20">
        <f t="shared" si="10"/>
        <v>387.06986946410581</v>
      </c>
      <c r="CC47" s="59">
        <f t="shared" si="11"/>
        <v>680.40320279743912</v>
      </c>
      <c r="CD47" s="59">
        <f ca="1">AVERAGE(OFFSET($CC$3,0,0,'Données projet'!$E$12+1,1))-AVERAGE(OFFSET($H$3,0,0,'Données projet'!$E$12+1,1))</f>
        <v>183.99578440773581</v>
      </c>
      <c r="CE47" s="59">
        <f t="shared" si="40"/>
        <v>258.43295338669657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1.6154747827341496</v>
      </c>
      <c r="CL47" s="21">
        <f>EXP(-LN(2)/25)*CL46+(1-EXP(-LN(2)/25))/(LN(2)/25)*Calculateur!CG47*Calculateur!CI47*VLOOKUP('Données projet'!$B$12,Paramètres!$A$1:$I$89,3,0)*0.475*44/12</f>
        <v>5.127869098408472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6.7433438811426214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32.993999999999993</v>
      </c>
      <c r="D48" s="11">
        <f t="shared" si="32"/>
        <v>10.121414351623134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332.82074236340662</v>
      </c>
      <c r="H48" s="67">
        <f t="shared" si="1"/>
        <v>368.42601332907691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9.3712500000000034</v>
      </c>
      <c r="N48" s="13">
        <f>IF('Données projet'!$A$36&gt;35,N47+M48-V47,IF(A48&lt;'Données projet'!$A$36,$K$205^A48,IF(A48='Données projet'!$A$36,'Données projet'!$B$36,N47+M48-V47)))</f>
        <v>148.16375000000011</v>
      </c>
      <c r="O48" s="13">
        <f>N48*VLOOKUP('Données projet'!$B$9,Paramètres!$A$1:$I$89,3,0)*VLOOKUP('Données projet'!$B$9,Paramètres!$A$1:$I$89,5,0)</f>
        <v>134.05856100000008</v>
      </c>
      <c r="P48" s="13">
        <f t="shared" si="33"/>
        <v>34.932489097291651</v>
      </c>
      <c r="Q48" s="20">
        <f t="shared" si="53"/>
        <v>294.3260789194498</v>
      </c>
      <c r="R48" s="59">
        <f t="shared" si="0"/>
        <v>587.65941225278311</v>
      </c>
      <c r="S48" s="59">
        <f ca="1">AVERAGE(OFFSET($R$3,0,0,'Données projet'!$E$9+1,1))-AVERAGE(OFFSET($H$3,0,0,'Données projet'!$E$9+1,1))</f>
        <v>399.15057697410413</v>
      </c>
      <c r="T48" s="59">
        <f t="shared" si="34"/>
        <v>182.37700638847298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5.2537706239362265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5.2537706239362265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9.3712500000000034</v>
      </c>
      <c r="AI48" s="13">
        <f>IF('Données projet'!$A$62&gt;35,AI47+AH48-AQ47,IF(A48&lt;'Données projet'!$A$62,$AF$205^A48,IF(A48='Données projet'!$A$62,'Données projet'!$B$62,AI47+AH48-AQ47)))</f>
        <v>148.16375000000011</v>
      </c>
      <c r="AJ48" s="13">
        <f>AI48*VLOOKUP('Données projet'!$B$10,Paramètres!$A$1:$I$89,3,0)*VLOOKUP('Données projet'!$B$10,Paramètres!$A$1:$I$89,5,0)</f>
        <v>150.23804250000012</v>
      </c>
      <c r="AK48" s="13">
        <f t="shared" si="35"/>
        <v>38.632676639775759</v>
      </c>
      <c r="AL48" s="20">
        <f t="shared" si="4"/>
        <v>328.94983583510964</v>
      </c>
      <c r="AM48" s="59">
        <f t="shared" si="5"/>
        <v>622.28316916844301</v>
      </c>
      <c r="AN48" s="59">
        <f ca="1">AVERAGE(OFFSET($AM$3,0,0,'Données projet'!$E$10+1,1))-AVERAGE(OFFSET($H$3,0,0,'Données projet'!$E$10+1,1))</f>
        <v>463.77045964052894</v>
      </c>
      <c r="AO48" s="59">
        <f t="shared" si="36"/>
        <v>209.77146243694483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5.8878463888940464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5.8878463888940464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9.3712500000000034</v>
      </c>
      <c r="BD48" s="12">
        <f>IF('Données projet'!$A$88&gt;35,BD47+BC48-BL47,IF(A48&lt;'Données projet'!$A$88,$BA$205^A48,IF(A48='Données projet'!$A$88,'Données projet'!$B$88,BD47+BC48-BL47)))</f>
        <v>148.16375000000011</v>
      </c>
      <c r="BE48" s="13">
        <f>BD48*VLOOKUP('Données projet'!$B$11,Paramètres!$A$1:$I$89,3,0)*VLOOKUP('Données projet'!$B$11,Paramètres!$A$1:$I$89,5,0)</f>
        <v>143.30397900000011</v>
      </c>
      <c r="BF48" s="13">
        <f t="shared" si="37"/>
        <v>37.052870101583345</v>
      </c>
      <c r="BG48" s="20">
        <f t="shared" si="7"/>
        <v>314.12151218525787</v>
      </c>
      <c r="BH48" s="59">
        <f t="shared" si="8"/>
        <v>607.45484551859113</v>
      </c>
      <c r="BI48" s="59">
        <f ca="1">AVERAGE(OFFSET($BH$3,0,0,'Données projet'!$E$11+1,1))-AVERAGE(OFFSET($H$3,0,0,'Données projet'!$E$11+1,1))</f>
        <v>436.0942819360734</v>
      </c>
      <c r="BJ48" s="59">
        <f t="shared" si="38"/>
        <v>198.03942180876311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5.6160996324835519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5.6160996324835519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>
        <f>VLOOKUP(A48,'Données projet'!$A$113:$I$133,2,0)</f>
        <v>200</v>
      </c>
      <c r="BW48" s="12">
        <f>VLOOKUP(A48,'Données projet'!$A$113:$I$133,9,0)</f>
        <v>3.8461538461538454</v>
      </c>
      <c r="BX48" s="12">
        <f t="array" ref="BX48">INDEX(BW:BW,MIN(IF(ISNUMBER(BW48:BW244),ROW(BW48:BW244),"")))</f>
        <v>3.8461538461538454</v>
      </c>
      <c r="BY48" s="12">
        <f>IF('Données projet'!$A$114&gt;35,BY47+BX48-CG47,IF(A48&lt;'Données projet'!$A$114,$BV$205^A48,IF(A48='Données projet'!$A$114,'Données projet'!$B$114,BY47+BX48-CG47)))</f>
        <v>200</v>
      </c>
      <c r="BZ48" s="13">
        <f>BY48*VLOOKUP('Données projet'!$B$12,Paramètres!$A$1:$I$89,3,0)*VLOOKUP('Données projet'!$B$12,Paramètres!$A$1:$I$89,5,0)</f>
        <v>180.95999999999998</v>
      </c>
      <c r="CA48" s="13">
        <f t="shared" si="39"/>
        <v>45.53570231487172</v>
      </c>
      <c r="CB48" s="20">
        <f t="shared" si="10"/>
        <v>394.4800148650682</v>
      </c>
      <c r="CC48" s="59">
        <f t="shared" si="11"/>
        <v>687.81334819840151</v>
      </c>
      <c r="CD48" s="59">
        <f ca="1">AVERAGE(OFFSET($CC$3,0,0,'Données projet'!$E$12+1,1))-AVERAGE(OFFSET($H$3,0,0,'Données projet'!$E$12+1,1))</f>
        <v>183.99578440773581</v>
      </c>
      <c r="CE48" s="59">
        <f t="shared" si="40"/>
        <v>258.43295338669657</v>
      </c>
      <c r="CF48" s="15">
        <f>IF(ISNA(VLOOKUP(A48,'Données projet'!$A$113:$I$133,3,0)),0,VLOOKUP(A48,'Données projet'!$A$113:$I$133,3,0))</f>
        <v>9</v>
      </c>
      <c r="CG48" s="15">
        <f>IF(ISNA(VLOOKUP(A48,'Données projet'!$A$113:$I$133,4,0)),0,VLOOKUP(A48,'Données projet'!$A$113:$I$133,4,0))</f>
        <v>200</v>
      </c>
      <c r="CH48" s="16">
        <f>IF(ISNA(VLOOKUP(A48,'Données projet'!$A$113:$I$133,5,0)),0%,VLOOKUP(A48,'Données projet'!$A$113:$I$133,5,0)*VLOOKUP('Données projet'!$B$12,Paramètres!$A$1:$I$89,7,0))</f>
        <v>0.18</v>
      </c>
      <c r="CI48" s="16">
        <f>IF(ISNA(VLOOKUP(A48,'Données projet'!$A$113:$I$133,6,0)),0%,VLOOKUP(A48,'Données projet'!$A$113:$I$133,6,0)*VLOOKUP('Données projet'!$B$12,Paramètres!$A$1:$I$89,7,0))</f>
        <v>0.09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37.592061886037932</v>
      </c>
      <c r="CL48" s="21">
        <f>EXP(-LN(2)/25)*CL47+(1-EXP(-LN(2)/25))/(LN(2)/25)*Calculateur!CG48*Calculateur!CI48*VLOOKUP('Données projet'!$B$12,Paramètres!$A$1:$I$89,3,0)*0.475*44/12</f>
        <v>22.920890906571415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60.512952792609347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33.727199999999989</v>
      </c>
      <c r="D49" s="11">
        <f t="shared" si="32"/>
        <v>10.319899009829577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340.01269411096507</v>
      </c>
      <c r="H49" s="67">
        <f t="shared" si="1"/>
        <v>370.04869744211982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9.3712500000000034</v>
      </c>
      <c r="N49" s="13">
        <f>IF('Données projet'!$A$36&gt;35,N48+M49-V48,IF(A49&lt;'Données projet'!$A$36,$K$205^A49,IF(A49='Données projet'!$A$36,'Données projet'!$B$36,N48+M49-V48)))</f>
        <v>157.53500000000011</v>
      </c>
      <c r="O49" s="13">
        <f>N49*VLOOKUP('Données projet'!$B$9,Paramètres!$A$1:$I$89,3,0)*VLOOKUP('Données projet'!$B$9,Paramètres!$A$1:$I$89,5,0)</f>
        <v>142.53766800000008</v>
      </c>
      <c r="P49" s="13">
        <f t="shared" si="33"/>
        <v>36.877740410345027</v>
      </c>
      <c r="Q49" s="20">
        <f t="shared" si="53"/>
        <v>312.48183631468436</v>
      </c>
      <c r="R49" s="59">
        <f t="shared" si="0"/>
        <v>605.81516964801767</v>
      </c>
      <c r="S49" s="59">
        <f ca="1">AVERAGE(OFFSET($R$3,0,0,'Données projet'!$E$9+1,1))-AVERAGE(OFFSET($H$3,0,0,'Données projet'!$E$9+1,1))</f>
        <v>399.15057697410413</v>
      </c>
      <c r="T49" s="59">
        <f t="shared" si="34"/>
        <v>182.37700638847298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5.1507473864845013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5.1507473864845013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9.3712500000000034</v>
      </c>
      <c r="AI49" s="13">
        <f>IF('Données projet'!$A$62&gt;35,AI48+AH49-AQ48,IF(A49&lt;'Données projet'!$A$62,$AF$205^A49,IF(A49='Données projet'!$A$62,'Données projet'!$B$62,AI48+AH49-AQ48)))</f>
        <v>157.53500000000011</v>
      </c>
      <c r="AJ49" s="13">
        <f>AI49*VLOOKUP('Données projet'!$B$10,Paramètres!$A$1:$I$89,3,0)*VLOOKUP('Données projet'!$B$10,Paramètres!$A$1:$I$89,5,0)</f>
        <v>159.74049000000011</v>
      </c>
      <c r="AK49" s="13">
        <f t="shared" si="35"/>
        <v>40.783976673134042</v>
      </c>
      <c r="AL49" s="20">
        <f t="shared" si="4"/>
        <v>349.24677945570858</v>
      </c>
      <c r="AM49" s="59">
        <f t="shared" si="5"/>
        <v>642.58011278904189</v>
      </c>
      <c r="AN49" s="59">
        <f ca="1">AVERAGE(OFFSET($AM$3,0,0,'Données projet'!$E$10+1,1))-AVERAGE(OFFSET($H$3,0,0,'Données projet'!$E$10+1,1))</f>
        <v>463.77045964052894</v>
      </c>
      <c r="AO49" s="59">
        <f t="shared" si="36"/>
        <v>209.77146243694483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5.7723893124395271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5.7723893124395271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9.3712500000000034</v>
      </c>
      <c r="BD49" s="12">
        <f>IF('Données projet'!$A$88&gt;35,BD48+BC49-BL48,IF(A49&lt;'Données projet'!$A$88,$BA$205^A49,IF(A49='Données projet'!$A$88,'Données projet'!$B$88,BD48+BC49-BL48)))</f>
        <v>157.53500000000011</v>
      </c>
      <c r="BE49" s="13">
        <f>BD49*VLOOKUP('Données projet'!$B$11,Paramètres!$A$1:$I$89,3,0)*VLOOKUP('Données projet'!$B$11,Paramètres!$A$1:$I$89,5,0)</f>
        <v>152.36785200000011</v>
      </c>
      <c r="BF49" s="13">
        <f t="shared" si="37"/>
        <v>39.116196995259784</v>
      </c>
      <c r="BG49" s="20">
        <f t="shared" si="7"/>
        <v>333.50138533341101</v>
      </c>
      <c r="BH49" s="59">
        <f t="shared" si="8"/>
        <v>626.83471866674427</v>
      </c>
      <c r="BI49" s="59">
        <f ca="1">AVERAGE(OFFSET($BH$3,0,0,'Données projet'!$E$11+1,1))-AVERAGE(OFFSET($H$3,0,0,'Données projet'!$E$11+1,1))</f>
        <v>436.0942819360734</v>
      </c>
      <c r="BJ49" s="59">
        <f t="shared" si="38"/>
        <v>198.03942180876311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5.5059713441730871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5.5059713441730871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>
        <f>BY49*VLOOKUP('Données projet'!$B$12,Paramètres!$A$1:$I$89,3,0)*VLOOKUP('Données projet'!$B$12,Paramètres!$A$1:$I$89,5,0)</f>
        <v>0</v>
      </c>
      <c r="CA49" s="13" t="e">
        <f t="shared" si="39"/>
        <v>#NUM!</v>
      </c>
      <c r="CB49" s="20" t="e">
        <f t="shared" si="10"/>
        <v>#NUM!</v>
      </c>
      <c r="CC49" s="59" t="e">
        <f t="shared" si="11"/>
        <v>#NUM!</v>
      </c>
      <c r="CD49" s="59">
        <f ca="1">AVERAGE(OFFSET($CC$3,0,0,'Données projet'!$E$12+1,1))-AVERAGE(OFFSET($H$3,0,0,'Données projet'!$E$12+1,1))</f>
        <v>183.99578440773581</v>
      </c>
      <c r="CE49" s="59">
        <f t="shared" si="40"/>
        <v>258.43295338669657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36.854904481346438</v>
      </c>
      <c r="CL49" s="21">
        <f>EXP(-LN(2)/25)*CL48+(1-EXP(-LN(2)/25))/(LN(2)/25)*Calculateur!CG49*Calculateur!CI49*VLOOKUP('Données projet'!$B$12,Paramètres!$A$1:$I$89,3,0)*0.475*44/12</f>
        <v>22.294117939373955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59.149022420720392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34.460399999999986</v>
      </c>
      <c r="D50" s="11">
        <f t="shared" si="32"/>
        <v>10.517882008711249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347.20077340057793</v>
      </c>
      <c r="H50" s="67">
        <f t="shared" si="1"/>
        <v>371.67050783183868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9.3712500000000034</v>
      </c>
      <c r="N50" s="13">
        <f>IF('Données projet'!$A$36&gt;35,N49+M50-V49,IF(A50&lt;'Données projet'!$A$36,$K$205^A50,IF(A50='Données projet'!$A$36,'Données projet'!$B$36,N49+M50-V49)))</f>
        <v>166.90625000000011</v>
      </c>
      <c r="O50" s="13">
        <f>N50*VLOOKUP('Données projet'!$B$9,Paramètres!$A$1:$I$89,3,0)*VLOOKUP('Données projet'!$B$9,Paramètres!$A$1:$I$89,5,0)</f>
        <v>151.01677500000011</v>
      </c>
      <c r="P50" s="13">
        <f t="shared" si="33"/>
        <v>38.809560459830927</v>
      </c>
      <c r="Q50" s="20">
        <f t="shared" si="53"/>
        <v>330.61420092587235</v>
      </c>
      <c r="R50" s="59">
        <f t="shared" si="0"/>
        <v>623.94753425920567</v>
      </c>
      <c r="S50" s="59">
        <f ca="1">AVERAGE(OFFSET($R$3,0,0,'Données projet'!$E$9+1,1))-AVERAGE(OFFSET($H$3,0,0,'Données projet'!$E$9+1,1))</f>
        <v>399.15057697410413</v>
      </c>
      <c r="T50" s="59">
        <f t="shared" si="34"/>
        <v>182.37700638847298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5.0497443718812338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5.0497443718812338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9.3712500000000034</v>
      </c>
      <c r="AI50" s="13">
        <f>IF('Données projet'!$A$62&gt;35,AI49+AH50-AQ49,IF(A50&lt;'Données projet'!$A$62,$AF$205^A50,IF(A50='Données projet'!$A$62,'Données projet'!$B$62,AI49+AH50-AQ49)))</f>
        <v>166.90625000000011</v>
      </c>
      <c r="AJ50" s="13">
        <f>AI50*VLOOKUP('Données projet'!$B$10,Paramètres!$A$1:$I$89,3,0)*VLOOKUP('Données projet'!$B$10,Paramètres!$A$1:$I$89,5,0)</f>
        <v>169.24293750000012</v>
      </c>
      <c r="AK50" s="13">
        <f t="shared" si="35"/>
        <v>42.920422750313541</v>
      </c>
      <c r="AL50" s="20">
        <f t="shared" si="4"/>
        <v>369.51785243596299</v>
      </c>
      <c r="AM50" s="59">
        <f t="shared" si="5"/>
        <v>662.85118576929631</v>
      </c>
      <c r="AN50" s="59">
        <f ca="1">AVERAGE(OFFSET($AM$3,0,0,'Données projet'!$E$10+1,1))-AVERAGE(OFFSET($H$3,0,0,'Données projet'!$E$10+1,1))</f>
        <v>463.77045964052894</v>
      </c>
      <c r="AO50" s="59">
        <f t="shared" si="36"/>
        <v>209.77146243694483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5.6591962788324173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5.6591962788324173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9.3712500000000034</v>
      </c>
      <c r="BD50" s="12">
        <f>IF('Données projet'!$A$88&gt;35,BD49+BC50-BL49,IF(A50&lt;'Données projet'!$A$88,$BA$205^A50,IF(A50='Données projet'!$A$88,'Données projet'!$B$88,BD49+BC50-BL49)))</f>
        <v>166.90625000000011</v>
      </c>
      <c r="BE50" s="13">
        <f>BD50*VLOOKUP('Données projet'!$B$11,Paramètres!$A$1:$I$89,3,0)*VLOOKUP('Données projet'!$B$11,Paramètres!$A$1:$I$89,5,0)</f>
        <v>161.43172500000011</v>
      </c>
      <c r="BF50" s="13">
        <f t="shared" si="37"/>
        <v>41.165277355776809</v>
      </c>
      <c r="BG50" s="20">
        <f t="shared" si="7"/>
        <v>352.85644576964478</v>
      </c>
      <c r="BH50" s="59">
        <f t="shared" si="8"/>
        <v>646.18977910297804</v>
      </c>
      <c r="BI50" s="59">
        <f ca="1">AVERAGE(OFFSET($BH$3,0,0,'Données projet'!$E$11+1,1))-AVERAGE(OFFSET($H$3,0,0,'Données projet'!$E$11+1,1))</f>
        <v>436.0942819360734</v>
      </c>
      <c r="BJ50" s="59">
        <f t="shared" si="38"/>
        <v>198.03942180876311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5.3980026044247671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5.3980026044247671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>
        <f>BY50*VLOOKUP('Données projet'!$B$12,Paramètres!$A$1:$I$89,3,0)*VLOOKUP('Données projet'!$B$12,Paramètres!$A$1:$I$89,5,0)</f>
        <v>0</v>
      </c>
      <c r="CA50" s="13" t="e">
        <f t="shared" si="39"/>
        <v>#NUM!</v>
      </c>
      <c r="CB50" s="20" t="e">
        <f t="shared" si="10"/>
        <v>#NUM!</v>
      </c>
      <c r="CC50" s="59" t="e">
        <f t="shared" si="11"/>
        <v>#NUM!</v>
      </c>
      <c r="CD50" s="59">
        <f ca="1">AVERAGE(OFFSET($CC$3,0,0,'Données projet'!$E$12+1,1))-AVERAGE(OFFSET($H$3,0,0,'Données projet'!$E$12+1,1))</f>
        <v>183.99578440773581</v>
      </c>
      <c r="CE50" s="59">
        <f t="shared" si="40"/>
        <v>258.43295338669657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36.132202283739325</v>
      </c>
      <c r="CL50" s="21">
        <f>EXP(-LN(2)/25)*CL49+(1-EXP(-LN(2)/25))/(LN(2)/25)*Calculateur!CG50*Calculateur!CI50*VLOOKUP('Données projet'!$B$12,Paramètres!$A$1:$I$89,3,0)*0.475*44/12</f>
        <v>21.684484111925066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57.816686395664391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35.193599999999982</v>
      </c>
      <c r="D51" s="11">
        <f t="shared" si="32"/>
        <v>10.715375251348382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354.38507211567162</v>
      </c>
      <c r="H51" s="67">
        <f t="shared" si="1"/>
        <v>373.29146522943171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9.3712500000000034</v>
      </c>
      <c r="N51" s="13">
        <f>IF('Données projet'!$A$36&gt;35,N50+M51-V50,IF(A51&lt;'Données projet'!$A$36,$K$205^A51,IF(A51='Données projet'!$A$36,'Données projet'!$B$36,N50+M51-V50)))</f>
        <v>176.27750000000012</v>
      </c>
      <c r="O51" s="13">
        <f>N51*VLOOKUP('Données projet'!$B$9,Paramètres!$A$1:$I$89,3,0)*VLOOKUP('Données projet'!$B$9,Paramètres!$A$1:$I$89,5,0)</f>
        <v>159.49588200000008</v>
      </c>
      <c r="P51" s="13">
        <f t="shared" si="33"/>
        <v>40.728789309687656</v>
      </c>
      <c r="Q51" s="20">
        <f t="shared" si="53"/>
        <v>348.72463586437283</v>
      </c>
      <c r="R51" s="59">
        <f t="shared" si="0"/>
        <v>642.05796919770614</v>
      </c>
      <c r="S51" s="59">
        <f ca="1">AVERAGE(OFFSET($R$3,0,0,'Données projet'!$E$9+1,1))-AVERAGE(OFFSET($H$3,0,0,'Données projet'!$E$9+1,1))</f>
        <v>399.15057697410413</v>
      </c>
      <c r="T51" s="59">
        <f t="shared" si="34"/>
        <v>182.37700638847298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4.9507219647885812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4.9507219647885812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9.3712500000000034</v>
      </c>
      <c r="AI51" s="13">
        <f>IF('Données projet'!$A$62&gt;35,AI50+AH51-AQ50,IF(A51&lt;'Données projet'!$A$62,$AF$205^A51,IF(A51='Données projet'!$A$62,'Données projet'!$B$62,AI50+AH51-AQ50)))</f>
        <v>176.27750000000012</v>
      </c>
      <c r="AJ51" s="13">
        <f>AI51*VLOOKUP('Données projet'!$B$10,Paramètres!$A$1:$I$89,3,0)*VLOOKUP('Données projet'!$B$10,Paramètres!$A$1:$I$89,5,0)</f>
        <v>178.74538500000011</v>
      </c>
      <c r="AK51" s="13">
        <f t="shared" si="35"/>
        <v>45.042943918150705</v>
      </c>
      <c r="AL51" s="20">
        <f t="shared" si="4"/>
        <v>389.76467286577935</v>
      </c>
      <c r="AM51" s="59">
        <f t="shared" si="5"/>
        <v>683.09800619911266</v>
      </c>
      <c r="AN51" s="59">
        <f ca="1">AVERAGE(OFFSET($AM$3,0,0,'Données projet'!$E$10+1,1))-AVERAGE(OFFSET($H$3,0,0,'Données projet'!$E$10+1,1))</f>
        <v>463.77045964052894</v>
      </c>
      <c r="AO51" s="59">
        <f t="shared" si="36"/>
        <v>209.77146243694483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5.5482228915734098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5.5482228915734098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9.3712500000000034</v>
      </c>
      <c r="BD51" s="12">
        <f>IF('Données projet'!$A$88&gt;35,BD50+BC51-BL50,IF(A51&lt;'Données projet'!$A$88,$BA$205^A51,IF(A51='Données projet'!$A$88,'Données projet'!$B$88,BD50+BC51-BL50)))</f>
        <v>176.27750000000012</v>
      </c>
      <c r="BE51" s="13">
        <f>BD51*VLOOKUP('Données projet'!$B$11,Paramètres!$A$1:$I$89,3,0)*VLOOKUP('Données projet'!$B$11,Paramètres!$A$1:$I$89,5,0)</f>
        <v>170.49559800000011</v>
      </c>
      <c r="BF51" s="13">
        <f t="shared" si="37"/>
        <v>43.201002238446733</v>
      </c>
      <c r="BG51" s="20">
        <f t="shared" si="7"/>
        <v>372.18824541529494</v>
      </c>
      <c r="BH51" s="59">
        <f t="shared" si="8"/>
        <v>665.52157874862826</v>
      </c>
      <c r="BI51" s="59">
        <f ca="1">AVERAGE(OFFSET($BH$3,0,0,'Données projet'!$E$11+1,1))-AVERAGE(OFFSET($H$3,0,0,'Données projet'!$E$11+1,1))</f>
        <v>436.0942819360734</v>
      </c>
      <c r="BJ51" s="59">
        <f t="shared" si="38"/>
        <v>198.03942180876311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5.2921510658084827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5.2921510658084827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>
        <f>BY51*VLOOKUP('Données projet'!$B$12,Paramètres!$A$1:$I$89,3,0)*VLOOKUP('Données projet'!$B$12,Paramètres!$A$1:$I$89,5,0)</f>
        <v>0</v>
      </c>
      <c r="CA51" s="13" t="e">
        <f t="shared" si="39"/>
        <v>#NUM!</v>
      </c>
      <c r="CB51" s="20" t="e">
        <f t="shared" si="10"/>
        <v>#NUM!</v>
      </c>
      <c r="CC51" s="59" t="e">
        <f t="shared" si="11"/>
        <v>#NUM!</v>
      </c>
      <c r="CD51" s="59">
        <f ca="1">AVERAGE(OFFSET($CC$3,0,0,'Données projet'!$E$12+1,1))-AVERAGE(OFFSET($H$3,0,0,'Données projet'!$E$12+1,1))</f>
        <v>183.99578440773581</v>
      </c>
      <c r="CE51" s="59">
        <f t="shared" si="40"/>
        <v>258.43295338669657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35.423671835422475</v>
      </c>
      <c r="CL51" s="21">
        <f>EXP(-LN(2)/25)*CL50+(1-EXP(-LN(2)/25))/(LN(2)/25)*Calculateur!CG51*Calculateur!CI51*VLOOKUP('Données projet'!$B$12,Paramètres!$A$1:$I$89,3,0)*0.475*44/12</f>
        <v>21.091520753547016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56.515192588969491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35.926799999999979</v>
      </c>
      <c r="D52" s="11">
        <f t="shared" si="32"/>
        <v>10.912390116516537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361.56567809240823</v>
      </c>
      <c r="H52" s="67">
        <f t="shared" si="1"/>
        <v>374.9115894529329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9.3712500000000034</v>
      </c>
      <c r="N52" s="13">
        <f>IF('Données projet'!$A$36&gt;35,N51+M52-V51,IF(A52&lt;'Données projet'!$A$36,$K$205^A52,IF(A52='Données projet'!$A$36,'Données projet'!$B$36,N51+M52-V51)))</f>
        <v>185.64875000000012</v>
      </c>
      <c r="O52" s="13">
        <f>N52*VLOOKUP('Données projet'!$B$9,Paramètres!$A$1:$I$89,3,0)*VLOOKUP('Données projet'!$B$9,Paramètres!$A$1:$I$89,5,0)</f>
        <v>167.97498900000011</v>
      </c>
      <c r="P52" s="13">
        <f t="shared" si="33"/>
        <v>42.636172660412917</v>
      </c>
      <c r="Q52" s="20">
        <f t="shared" si="53"/>
        <v>366.81443989188602</v>
      </c>
      <c r="R52" s="59">
        <f t="shared" si="0"/>
        <v>660.14777322521934</v>
      </c>
      <c r="S52" s="59">
        <f ca="1">AVERAGE(OFFSET($R$3,0,0,'Données projet'!$E$9+1,1))-AVERAGE(OFFSET($H$3,0,0,'Données projet'!$E$9+1,1))</f>
        <v>399.15057697410413</v>
      </c>
      <c r="T52" s="59">
        <f t="shared" si="34"/>
        <v>182.37700638847298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4.853641326701311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4.853641326701311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9.3712500000000034</v>
      </c>
      <c r="AI52" s="13">
        <f>IF('Données projet'!$A$62&gt;35,AI51+AH52-AQ51,IF(A52&lt;'Données projet'!$A$62,$AF$205^A52,IF(A52='Données projet'!$A$62,'Données projet'!$B$62,AI51+AH52-AQ51)))</f>
        <v>185.64875000000012</v>
      </c>
      <c r="AJ52" s="13">
        <f>AI52*VLOOKUP('Données projet'!$B$10,Paramètres!$A$1:$I$89,3,0)*VLOOKUP('Données projet'!$B$10,Paramètres!$A$1:$I$89,5,0)</f>
        <v>188.24783250000013</v>
      </c>
      <c r="AK52" s="13">
        <f t="shared" si="35"/>
        <v>47.152364864692288</v>
      </c>
      <c r="AL52" s="20">
        <f t="shared" si="4"/>
        <v>409.98867707683922</v>
      </c>
      <c r="AM52" s="59">
        <f t="shared" si="5"/>
        <v>703.32201041017254</v>
      </c>
      <c r="AN52" s="59">
        <f ca="1">AVERAGE(OFFSET($AM$3,0,0,'Données projet'!$E$10+1,1))-AVERAGE(OFFSET($H$3,0,0,'Données projet'!$E$10+1,1))</f>
        <v>463.77045964052894</v>
      </c>
      <c r="AO52" s="59">
        <f t="shared" si="36"/>
        <v>209.77146243694483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5.4394256247514683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5.4394256247514683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9.3712500000000034</v>
      </c>
      <c r="BD52" s="12">
        <f>IF('Données projet'!$A$88&gt;35,BD51+BC52-BL51,IF(A52&lt;'Données projet'!$A$88,$BA$205^A52,IF(A52='Données projet'!$A$88,'Données projet'!$B$88,BD51+BC52-BL51)))</f>
        <v>185.64875000000012</v>
      </c>
      <c r="BE52" s="13">
        <f>BD52*VLOOKUP('Données projet'!$B$11,Paramètres!$A$1:$I$89,3,0)*VLOOKUP('Données projet'!$B$11,Paramètres!$A$1:$I$89,5,0)</f>
        <v>179.55947100000012</v>
      </c>
      <c r="BF52" s="13">
        <f t="shared" si="37"/>
        <v>45.224162607337405</v>
      </c>
      <c r="BG52" s="20">
        <f t="shared" si="7"/>
        <v>391.49816186611287</v>
      </c>
      <c r="BH52" s="59">
        <f t="shared" si="8"/>
        <v>684.83149519944618</v>
      </c>
      <c r="BI52" s="59">
        <f ca="1">AVERAGE(OFFSET($BH$3,0,0,'Données projet'!$E$11+1,1))-AVERAGE(OFFSET($H$3,0,0,'Données projet'!$E$11+1,1))</f>
        <v>436.0942819360734</v>
      </c>
      <c r="BJ52" s="59">
        <f t="shared" si="38"/>
        <v>198.03942180876311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5.1883752113014001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5.1883752113014001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>
        <f>BY52*VLOOKUP('Données projet'!$B$12,Paramètres!$A$1:$I$89,3,0)*VLOOKUP('Données projet'!$B$12,Paramètres!$A$1:$I$89,5,0)</f>
        <v>0</v>
      </c>
      <c r="CA52" s="13" t="e">
        <f t="shared" si="39"/>
        <v>#NUM!</v>
      </c>
      <c r="CB52" s="20" t="e">
        <f t="shared" si="10"/>
        <v>#NUM!</v>
      </c>
      <c r="CC52" s="59" t="e">
        <f t="shared" si="11"/>
        <v>#NUM!</v>
      </c>
      <c r="CD52" s="59">
        <f ca="1">AVERAGE(OFFSET($CC$3,0,0,'Données projet'!$E$12+1,1))-AVERAGE(OFFSET($H$3,0,0,'Données projet'!$E$12+1,1))</f>
        <v>183.99578440773581</v>
      </c>
      <c r="CE52" s="59">
        <f t="shared" si="40"/>
        <v>258.43295338669657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34.729035237036214</v>
      </c>
      <c r="CL52" s="21">
        <f>EXP(-LN(2)/25)*CL51+(1-EXP(-LN(2)/25))/(LN(2)/25)*Calculateur!CG52*Calculateur!CI52*VLOOKUP('Données projet'!$B$12,Paramètres!$A$1:$I$89,3,0)*0.475*44/12</f>
        <v>20.514772009386402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55.24380724642262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36.659999999999975</v>
      </c>
      <c r="D53" s="11">
        <f t="shared" si="32"/>
        <v>11.108937492002092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368.74267537685813</v>
      </c>
      <c r="H53" s="67">
        <f t="shared" si="1"/>
        <v>376.53089946523693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195.02</v>
      </c>
      <c r="L53" s="12">
        <f>VLOOKUP(A53,'Données projet'!$A$35:$I$55,9,0)</f>
        <v>9.3712500000000034</v>
      </c>
      <c r="M53" s="12">
        <f t="array" ref="M53">INDEX(L:L,MIN(IF(ISNUMBER(L53:L249),ROW(L53:L249),"")))</f>
        <v>9.3712500000000034</v>
      </c>
      <c r="N53" s="13">
        <f>IF('Données projet'!$A$36&gt;35,N52+M53-V52,IF(A53&lt;'Données projet'!$A$36,$K$205^A53,IF(A53='Données projet'!$A$36,'Données projet'!$B$36,N52+M53-V52)))</f>
        <v>195.02000000000012</v>
      </c>
      <c r="O53" s="13">
        <f>N53*VLOOKUP('Données projet'!$B$9,Paramètres!$A$1:$I$89,3,0)*VLOOKUP('Données projet'!$B$9,Paramètres!$A$1:$I$89,5,0)</f>
        <v>176.45409600000011</v>
      </c>
      <c r="P53" s="13">
        <f t="shared" si="33"/>
        <v>44.532376676436577</v>
      </c>
      <c r="Q53" s="20">
        <f t="shared" si="53"/>
        <v>384.88477324479385</v>
      </c>
      <c r="R53" s="59">
        <f t="shared" si="0"/>
        <v>678.21810657812716</v>
      </c>
      <c r="S53" s="59">
        <f ca="1">AVERAGE(OFFSET($R$3,0,0,'Données projet'!$E$9+1,1))-AVERAGE(OFFSET($H$3,0,0,'Données projet'!$E$9+1,1))</f>
        <v>399.15057697410413</v>
      </c>
      <c r="T53" s="59">
        <f t="shared" si="34"/>
        <v>182.37700638847298</v>
      </c>
      <c r="U53" s="15">
        <f>IF(ISNA(VLOOKUP(A53,'Données projet'!$A$35:$I$55,3,0)),0,VLOOKUP(A53,'Données projet'!$A$35:$I$55,3,0))</f>
        <v>2</v>
      </c>
      <c r="V53" s="15">
        <f>IF(ISNA(VLOOKUP(A53,'Données projet'!$A$35:$I$55,4,0)),0,VLOOKUP(A53,'Données projet'!$A$35:$I$55,4,0))</f>
        <v>35.58</v>
      </c>
      <c r="W53" s="16">
        <f>IF(ISNA(VLOOKUP(A53,'Données projet'!$A$35:$I$55,5,0)),0%,VLOOKUP(A53,'Données projet'!$A$35:$I$55,5,0)*VLOOKUP('Données projet'!$B$9,Paramètres!$A$1:$I$89,7,0))</f>
        <v>0.129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9.3493382006381829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9.3493382006381829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195.02</v>
      </c>
      <c r="AG53" s="12">
        <f>VLOOKUP(A53,'Données projet'!$A$61:$I$81,9,0)</f>
        <v>9.3712500000000034</v>
      </c>
      <c r="AH53" s="12">
        <f t="array" ref="AH53">INDEX(AG:AG,MIN(IF(ISNUMBER(AG53:AG249),ROW(AG53:AG249),"")))</f>
        <v>9.3712500000000034</v>
      </c>
      <c r="AI53" s="13">
        <f>IF('Données projet'!$A$62&gt;35,AI52+AH53-AQ52,IF(A53&lt;'Données projet'!$A$62,$AF$205^A53,IF(A53='Données projet'!$A$62,'Données projet'!$B$62,AI52+AH53-AQ52)))</f>
        <v>195.02000000000012</v>
      </c>
      <c r="AJ53" s="13">
        <f>AI53*VLOOKUP('Données projet'!$B$10,Paramètres!$A$1:$I$89,3,0)*VLOOKUP('Données projet'!$B$10,Paramètres!$A$1:$I$89,5,0)</f>
        <v>197.75028000000015</v>
      </c>
      <c r="AK53" s="13">
        <f t="shared" si="35"/>
        <v>49.24942231714175</v>
      </c>
      <c r="AL53" s="20">
        <f t="shared" si="4"/>
        <v>430.19114820235546</v>
      </c>
      <c r="AM53" s="59">
        <f t="shared" si="5"/>
        <v>723.52448153568878</v>
      </c>
      <c r="AN53" s="59">
        <f ca="1">AVERAGE(OFFSET($AM$3,0,0,'Données projet'!$E$10+1,1))-AVERAGE(OFFSET($H$3,0,0,'Données projet'!$E$10+1,1))</f>
        <v>463.77045964052894</v>
      </c>
      <c r="AO53" s="59">
        <f t="shared" si="36"/>
        <v>209.77146243694483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0.129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10.477706604163481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10.477706604163481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195.02</v>
      </c>
      <c r="BB53" s="12">
        <f>VLOOKUP(A53,'Données projet'!$A$87:$I$107,9,0)</f>
        <v>9.3712500000000034</v>
      </c>
      <c r="BC53" s="12">
        <f t="array" ref="BC53">INDEX(BB:BB,MIN(IF(ISNUMBER(BB53:BB249),ROW(BB53:BB249),"")))</f>
        <v>9.3712500000000034</v>
      </c>
      <c r="BD53" s="12">
        <f>IF('Données projet'!$A$88&gt;35,BD52+BC53-BL52,IF(A53&lt;'Données projet'!$A$88,$BA$205^A53,IF(A53='Données projet'!$A$88,'Données projet'!$B$88,BD52+BC53-BL52)))</f>
        <v>195.02000000000012</v>
      </c>
      <c r="BE53" s="13">
        <f>BD53*VLOOKUP('Données projet'!$B$11,Paramètres!$A$1:$I$89,3,0)*VLOOKUP('Données projet'!$B$11,Paramètres!$A$1:$I$89,5,0)</f>
        <v>188.62334400000012</v>
      </c>
      <c r="BF53" s="13">
        <f t="shared" si="37"/>
        <v>47.235465062657511</v>
      </c>
      <c r="BG53" s="20">
        <f t="shared" si="7"/>
        <v>410.78742578412863</v>
      </c>
      <c r="BH53" s="59">
        <f t="shared" si="8"/>
        <v>704.12075911746194</v>
      </c>
      <c r="BI53" s="59">
        <f ca="1">AVERAGE(OFFSET($BH$3,0,0,'Données projet'!$E$11+1,1))-AVERAGE(OFFSET($H$3,0,0,'Données projet'!$E$11+1,1))</f>
        <v>436.0942819360734</v>
      </c>
      <c r="BJ53" s="59">
        <f t="shared" si="38"/>
        <v>198.03942180876311</v>
      </c>
      <c r="BK53" s="15">
        <f>IF(ISNA(VLOOKUP(A53,'Données projet'!$A$87:$I$107,3,0)),0,VLOOKUP(A53,'Données projet'!$A$87:$I$107,3,0))</f>
        <v>2</v>
      </c>
      <c r="BL53" s="15">
        <f>IF(ISNA(VLOOKUP(A53,'Données projet'!$A$87:$I$107,4,0)),0,VLOOKUP(A53,'Données projet'!$A$87:$I$107,4,0))</f>
        <v>35.58</v>
      </c>
      <c r="BM53" s="16">
        <f>IF(ISNA(VLOOKUP(A53,'Données projet'!$A$87:$I$107,5,0)),0%,VLOOKUP(A53,'Données projet'!$A$87:$I$107,5,0)*VLOOKUP('Données projet'!$B$11,Paramètres!$A$1:$I$89,7,0))</f>
        <v>0.129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9.9941201455097826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9.9941201455097826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>
        <f>BY53*VLOOKUP('Données projet'!$B$12,Paramètres!$A$1:$I$89,3,0)*VLOOKUP('Données projet'!$B$12,Paramètres!$A$1:$I$89,5,0)</f>
        <v>0</v>
      </c>
      <c r="CA53" s="13" t="e">
        <f t="shared" si="39"/>
        <v>#NUM!</v>
      </c>
      <c r="CB53" s="20" t="e">
        <f t="shared" si="10"/>
        <v>#NUM!</v>
      </c>
      <c r="CC53" s="59" t="e">
        <f t="shared" si="11"/>
        <v>#NUM!</v>
      </c>
      <c r="CD53" s="59">
        <f ca="1">AVERAGE(OFFSET($CC$3,0,0,'Données projet'!$E$12+1,1))-AVERAGE(OFFSET($H$3,0,0,'Données projet'!$E$12+1,1))</f>
        <v>183.99578440773581</v>
      </c>
      <c r="CE53" s="59">
        <f t="shared" si="40"/>
        <v>258.43295338669657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34.048020038657818</v>
      </c>
      <c r="CL53" s="21">
        <f>EXP(-LN(2)/25)*CL52+(1-EXP(-LN(2)/25))/(LN(2)/25)*Calculateur!CG53*Calculateur!CI53*VLOOKUP('Données projet'!$B$12,Paramètres!$A$1:$I$89,3,0)*0.475*44/12</f>
        <v>19.953794489964757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54.001814528622575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37.393199999999972</v>
      </c>
      <c r="D54" s="11">
        <f t="shared" si="32"/>
        <v>11.305027805177126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375.91614446101624</v>
      </c>
      <c r="H54" s="67">
        <f t="shared" si="1"/>
        <v>378.14941342735011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9.5537500000000009</v>
      </c>
      <c r="N54" s="13">
        <f>IF('Données projet'!$A$36&gt;35,N53+M54-V53,IF(A54&lt;'Données projet'!$A$36,$K$205^A54,IF(A54='Données projet'!$A$36,'Données projet'!$B$36,N53+M54-V53)))</f>
        <v>168.99375000000015</v>
      </c>
      <c r="O54" s="13">
        <f>N54*VLOOKUP('Données projet'!$B$9,Paramètres!$A$1:$I$89,3,0)*VLOOKUP('Données projet'!$B$9,Paramètres!$A$1:$I$89,5,0)</f>
        <v>152.90554500000013</v>
      </c>
      <c r="P54" s="13">
        <f t="shared" si="33"/>
        <v>39.238142074568863</v>
      </c>
      <c r="Q54" s="20">
        <f t="shared" si="53"/>
        <v>334.65025498820768</v>
      </c>
      <c r="R54" s="59">
        <f t="shared" si="0"/>
        <v>627.98358832154099</v>
      </c>
      <c r="S54" s="59">
        <f ca="1">AVERAGE(OFFSET($R$3,0,0,'Données projet'!$E$9+1,1))-AVERAGE(OFFSET($H$3,0,0,'Données projet'!$E$9+1,1))</f>
        <v>399.15057697410413</v>
      </c>
      <c r="T54" s="59">
        <f t="shared" si="34"/>
        <v>182.37700638847298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9.1660033810568926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9.1660033810568926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9.5537500000000009</v>
      </c>
      <c r="AI54" s="13">
        <f>IF('Données projet'!$A$62&gt;35,AI53+AH54-AQ53,IF(A54&lt;'Données projet'!$A$62,$AF$205^A54,IF(A54='Données projet'!$A$62,'Données projet'!$B$62,AI53+AH54-AQ53)))</f>
        <v>168.99375000000015</v>
      </c>
      <c r="AJ54" s="13">
        <f>AI54*VLOOKUP('Données projet'!$B$10,Paramètres!$A$1:$I$89,3,0)*VLOOKUP('Données projet'!$B$10,Paramètres!$A$1:$I$89,5,0)</f>
        <v>171.35966250000016</v>
      </c>
      <c r="AK54" s="13">
        <f t="shared" si="35"/>
        <v>43.39440142643388</v>
      </c>
      <c r="AL54" s="20">
        <f t="shared" si="4"/>
        <v>374.0299946718726</v>
      </c>
      <c r="AM54" s="59">
        <f t="shared" si="5"/>
        <v>667.36332800520586</v>
      </c>
      <c r="AN54" s="59">
        <f ca="1">AVERAGE(OFFSET($AM$3,0,0,'Données projet'!$E$10+1,1))-AVERAGE(OFFSET($H$3,0,0,'Données projet'!$E$10+1,1))</f>
        <v>463.77045964052894</v>
      </c>
      <c r="AO54" s="59">
        <f t="shared" si="36"/>
        <v>209.77146243694483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10.272245168425828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10.272245168425828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9.5537500000000009</v>
      </c>
      <c r="BD54" s="12">
        <f>IF('Données projet'!$A$88&gt;35,BD53+BC54-BL53,IF(A54&lt;'Données projet'!$A$88,$BA$205^A54,IF(A54='Données projet'!$A$88,'Données projet'!$B$88,BD53+BC54-BL53)))</f>
        <v>168.99375000000015</v>
      </c>
      <c r="BE54" s="13">
        <f>BD54*VLOOKUP('Données projet'!$B$11,Paramètres!$A$1:$I$89,3,0)*VLOOKUP('Données projet'!$B$11,Paramètres!$A$1:$I$89,5,0)</f>
        <v>163.45075500000016</v>
      </c>
      <c r="BF54" s="13">
        <f t="shared" si="37"/>
        <v>41.619873615853834</v>
      </c>
      <c r="BG54" s="20">
        <f t="shared" si="7"/>
        <v>357.16467817261235</v>
      </c>
      <c r="BH54" s="59">
        <f t="shared" si="8"/>
        <v>650.49801150594567</v>
      </c>
      <c r="BI54" s="59">
        <f ca="1">AVERAGE(OFFSET($BH$3,0,0,'Données projet'!$E$11+1,1))-AVERAGE(OFFSET($H$3,0,0,'Données projet'!$E$11+1,1))</f>
        <v>436.0942819360734</v>
      </c>
      <c r="BJ54" s="59">
        <f t="shared" si="38"/>
        <v>198.03942180876311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9.798141545267713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9.798141545267713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>
        <f>BY54*VLOOKUP('Données projet'!$B$12,Paramètres!$A$1:$I$89,3,0)*VLOOKUP('Données projet'!$B$12,Paramètres!$A$1:$I$89,5,0)</f>
        <v>0</v>
      </c>
      <c r="CA54" s="13" t="e">
        <f t="shared" si="39"/>
        <v>#NUM!</v>
      </c>
      <c r="CB54" s="20" t="e">
        <f t="shared" si="10"/>
        <v>#NUM!</v>
      </c>
      <c r="CC54" s="59" t="e">
        <f t="shared" si="11"/>
        <v>#NUM!</v>
      </c>
      <c r="CD54" s="59">
        <f ca="1">AVERAGE(OFFSET($CC$3,0,0,'Données projet'!$E$12+1,1))-AVERAGE(OFFSET($H$3,0,0,'Données projet'!$E$12+1,1))</f>
        <v>183.99578440773581</v>
      </c>
      <c r="CE54" s="59">
        <f t="shared" si="40"/>
        <v>258.43295338669657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33.380359132941365</v>
      </c>
      <c r="CL54" s="21">
        <f>EXP(-LN(2)/25)*CL53+(1-EXP(-LN(2)/25))/(LN(2)/25)*Calculateur!CG54*Calculateur!CI54*VLOOKUP('Données projet'!$B$12,Paramètres!$A$1:$I$89,3,0)*0.475*44/12</f>
        <v>19.408156930312224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52.788516063253589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38.126399999999968</v>
      </c>
      <c r="D55" s="11">
        <f t="shared" si="32"/>
        <v>11.500671051108624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383.08616249978564</v>
      </c>
      <c r="H55" s="67">
        <f t="shared" si="1"/>
        <v>379.76714874734745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9.5537500000000009</v>
      </c>
      <c r="N55" s="13">
        <f>IF('Données projet'!$A$36&gt;35,N54+M55-V54,IF(A55&lt;'Données projet'!$A$36,$K$205^A55,IF(A55='Données projet'!$A$36,'Données projet'!$B$36,N54+M55-V54)))</f>
        <v>178.54750000000016</v>
      </c>
      <c r="O55" s="13">
        <f>N55*VLOOKUP('Données projet'!$B$9,Paramètres!$A$1:$I$89,3,0)*VLOOKUP('Données projet'!$B$9,Paramètres!$A$1:$I$89,5,0)</f>
        <v>161.54977800000012</v>
      </c>
      <c r="P55" s="13">
        <f t="shared" si="33"/>
        <v>41.191875810979205</v>
      </c>
      <c r="Q55" s="20">
        <f t="shared" si="53"/>
        <v>353.10838038745561</v>
      </c>
      <c r="R55" s="59">
        <f t="shared" si="0"/>
        <v>646.44171372078893</v>
      </c>
      <c r="S55" s="59">
        <f ca="1">AVERAGE(OFFSET($R$3,0,0,'Données projet'!$E$9+1,1))-AVERAGE(OFFSET($H$3,0,0,'Données projet'!$E$9+1,1))</f>
        <v>399.15057697410413</v>
      </c>
      <c r="T55" s="59">
        <f t="shared" si="34"/>
        <v>182.37700638847298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8.9862636454643923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8.9862636454643923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9.5537500000000009</v>
      </c>
      <c r="AI55" s="13">
        <f>IF('Données projet'!$A$62&gt;35,AI54+AH55-AQ54,IF(A55&lt;'Données projet'!$A$62,$AF$205^A55,IF(A55='Données projet'!$A$62,'Données projet'!$B$62,AI54+AH55-AQ54)))</f>
        <v>178.54750000000016</v>
      </c>
      <c r="AJ55" s="13">
        <f>AI55*VLOOKUP('Données projet'!$B$10,Paramètres!$A$1:$I$89,3,0)*VLOOKUP('Données projet'!$B$10,Paramètres!$A$1:$I$89,5,0)</f>
        <v>181.04716500000015</v>
      </c>
      <c r="AK55" s="13">
        <f t="shared" si="35"/>
        <v>45.55508237501288</v>
      </c>
      <c r="AL55" s="20">
        <f t="shared" si="4"/>
        <v>394.66558084481431</v>
      </c>
      <c r="AM55" s="59">
        <f t="shared" si="5"/>
        <v>687.99891417814763</v>
      </c>
      <c r="AN55" s="59">
        <f ca="1">AVERAGE(OFFSET($AM$3,0,0,'Données projet'!$E$10+1,1))-AVERAGE(OFFSET($H$3,0,0,'Données projet'!$E$10+1,1))</f>
        <v>463.77045964052894</v>
      </c>
      <c r="AO55" s="59">
        <f t="shared" si="36"/>
        <v>209.77146243694483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10.070812706123888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10.070812706123888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9.5537500000000009</v>
      </c>
      <c r="BD55" s="12">
        <f>IF('Données projet'!$A$88&gt;35,BD54+BC55-BL54,IF(A55&lt;'Données projet'!$A$88,$BA$205^A55,IF(A55='Données projet'!$A$88,'Données projet'!$B$88,BD54+BC55-BL54)))</f>
        <v>178.54750000000016</v>
      </c>
      <c r="BE55" s="13">
        <f>BD55*VLOOKUP('Données projet'!$B$11,Paramètres!$A$1:$I$89,3,0)*VLOOKUP('Données projet'!$B$11,Paramètres!$A$1:$I$89,5,0)</f>
        <v>172.69114200000016</v>
      </c>
      <c r="BF55" s="13">
        <f t="shared" si="37"/>
        <v>43.69219781086543</v>
      </c>
      <c r="BG55" s="20">
        <f t="shared" si="7"/>
        <v>376.86765017059088</v>
      </c>
      <c r="BH55" s="59">
        <f t="shared" si="8"/>
        <v>670.20098350392414</v>
      </c>
      <c r="BI55" s="59">
        <f ca="1">AVERAGE(OFFSET($BH$3,0,0,'Données projet'!$E$11+1,1))-AVERAGE(OFFSET($H$3,0,0,'Données projet'!$E$11+1,1))</f>
        <v>436.0942819360734</v>
      </c>
      <c r="BJ55" s="59">
        <f t="shared" si="38"/>
        <v>198.03942180876311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9.6060059658412467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9.6060059658412467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>
        <f>BY55*VLOOKUP('Données projet'!$B$12,Paramètres!$A$1:$I$89,3,0)*VLOOKUP('Données projet'!$B$12,Paramètres!$A$1:$I$89,5,0)</f>
        <v>0</v>
      </c>
      <c r="CA55" s="13" t="e">
        <f t="shared" si="39"/>
        <v>#NUM!</v>
      </c>
      <c r="CB55" s="20" t="e">
        <f t="shared" si="10"/>
        <v>#NUM!</v>
      </c>
      <c r="CC55" s="59" t="e">
        <f t="shared" si="11"/>
        <v>#NUM!</v>
      </c>
      <c r="CD55" s="59">
        <f ca="1">AVERAGE(OFFSET($CC$3,0,0,'Données projet'!$E$12+1,1))-AVERAGE(OFFSET($H$3,0,0,'Données projet'!$E$12+1,1))</f>
        <v>183.99578440773581</v>
      </c>
      <c r="CE55" s="59">
        <f t="shared" si="40"/>
        <v>258.43295338669657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32.725790650353069</v>
      </c>
      <c r="CL55" s="21">
        <f>EXP(-LN(2)/25)*CL54+(1-EXP(-LN(2)/25))/(LN(2)/25)*Calculateur!CG55*Calculateur!CI55*VLOOKUP('Données projet'!$B$12,Paramètres!$A$1:$I$89,3,0)*0.475*44/12</f>
        <v>18.877439858422221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51.60323050877529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38.859599999999965</v>
      </c>
      <c r="D56" s="11">
        <f t="shared" si="32"/>
        <v>11.695876818444219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390.25280351079726</v>
      </c>
      <c r="H56" s="67">
        <f t="shared" si="1"/>
        <v>381.38412212545694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9.5537500000000009</v>
      </c>
      <c r="N56" s="13">
        <f>IF('Données projet'!$A$36&gt;35,N55+M56-V55,IF(A56&lt;'Données projet'!$A$36,$K$205^A56,IF(A56='Données projet'!$A$36,'Données projet'!$B$36,N55+M56-V55)))</f>
        <v>188.10125000000016</v>
      </c>
      <c r="O56" s="13">
        <f>N56*VLOOKUP('Données projet'!$B$9,Paramètres!$A$1:$I$89,3,0)*VLOOKUP('Données projet'!$B$9,Paramètres!$A$1:$I$89,5,0)</f>
        <v>170.19401100000013</v>
      </c>
      <c r="P56" s="13">
        <f t="shared" si="33"/>
        <v>43.133472710542861</v>
      </c>
      <c r="Q56" s="20">
        <f t="shared" si="53"/>
        <v>371.54536746252899</v>
      </c>
      <c r="R56" s="59">
        <f t="shared" si="0"/>
        <v>664.8787007958623</v>
      </c>
      <c r="S56" s="59">
        <f ca="1">AVERAGE(OFFSET($R$3,0,0,'Données projet'!$E$9+1,1))-AVERAGE(OFFSET($H$3,0,0,'Données projet'!$E$9+1,1))</f>
        <v>399.15057697410413</v>
      </c>
      <c r="T56" s="59">
        <f t="shared" si="34"/>
        <v>182.37700638847298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8.8100484964564476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8.8100484964564476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9.5537500000000009</v>
      </c>
      <c r="AI56" s="13">
        <f>IF('Données projet'!$A$62&gt;35,AI55+AH56-AQ55,IF(A56&lt;'Données projet'!$A$62,$AF$205^A56,IF(A56='Données projet'!$A$62,'Données projet'!$B$62,AI55+AH56-AQ55)))</f>
        <v>188.10125000000016</v>
      </c>
      <c r="AJ56" s="13">
        <f>AI56*VLOOKUP('Données projet'!$B$10,Paramètres!$A$1:$I$89,3,0)*VLOOKUP('Données projet'!$B$10,Paramètres!$A$1:$I$89,5,0)</f>
        <v>190.73466750000017</v>
      </c>
      <c r="AK56" s="13">
        <f t="shared" si="35"/>
        <v>47.70234090493684</v>
      </c>
      <c r="AL56" s="20">
        <f t="shared" si="4"/>
        <v>415.27778963859856</v>
      </c>
      <c r="AM56" s="59">
        <f t="shared" si="5"/>
        <v>708.61112297193188</v>
      </c>
      <c r="AN56" s="59">
        <f ca="1">AVERAGE(OFFSET($AM$3,0,0,'Données projet'!$E$10+1,1))-AVERAGE(OFFSET($H$3,0,0,'Données projet'!$E$10+1,1))</f>
        <v>463.77045964052894</v>
      </c>
      <c r="AO56" s="59">
        <f t="shared" si="36"/>
        <v>209.77146243694483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9.8733302115460191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9.8733302115460191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9.5537500000000009</v>
      </c>
      <c r="BD56" s="12">
        <f>IF('Données projet'!$A$88&gt;35,BD55+BC56-BL55,IF(A56&lt;'Données projet'!$A$88,$BA$205^A56,IF(A56='Données projet'!$A$88,'Données projet'!$B$88,BD55+BC56-BL55)))</f>
        <v>188.10125000000016</v>
      </c>
      <c r="BE56" s="13">
        <f>BD56*VLOOKUP('Données projet'!$B$11,Paramètres!$A$1:$I$89,3,0)*VLOOKUP('Données projet'!$B$11,Paramètres!$A$1:$I$89,5,0)</f>
        <v>181.93152900000015</v>
      </c>
      <c r="BF56" s="13">
        <f t="shared" si="37"/>
        <v>45.751648470358951</v>
      </c>
      <c r="BG56" s="20">
        <f t="shared" si="7"/>
        <v>396.54820076087543</v>
      </c>
      <c r="BH56" s="59">
        <f t="shared" si="8"/>
        <v>689.88153409420875</v>
      </c>
      <c r="BI56" s="59">
        <f ca="1">AVERAGE(OFFSET($BH$3,0,0,'Données projet'!$E$11+1,1))-AVERAGE(OFFSET($H$3,0,0,'Données projet'!$E$11+1,1))</f>
        <v>436.0942819360734</v>
      </c>
      <c r="BJ56" s="59">
        <f t="shared" si="38"/>
        <v>198.03942180876311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9.4176380479362027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9.4176380479362027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>
        <f>BY56*VLOOKUP('Données projet'!$B$12,Paramètres!$A$1:$I$89,3,0)*VLOOKUP('Données projet'!$B$12,Paramètres!$A$1:$I$89,5,0)</f>
        <v>0</v>
      </c>
      <c r="CA56" s="13" t="e">
        <f t="shared" si="39"/>
        <v>#NUM!</v>
      </c>
      <c r="CB56" s="20" t="e">
        <f t="shared" si="10"/>
        <v>#NUM!</v>
      </c>
      <c r="CC56" s="59" t="e">
        <f t="shared" si="11"/>
        <v>#NUM!</v>
      </c>
      <c r="CD56" s="59">
        <f ca="1">AVERAGE(OFFSET($CC$3,0,0,'Données projet'!$E$12+1,1))-AVERAGE(OFFSET($H$3,0,0,'Données projet'!$E$12+1,1))</f>
        <v>183.99578440773581</v>
      </c>
      <c r="CE56" s="59">
        <f t="shared" si="40"/>
        <v>258.43295338669657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32.08405785646098</v>
      </c>
      <c r="CL56" s="21">
        <f>EXP(-LN(2)/25)*CL55+(1-EXP(-LN(2)/25))/(LN(2)/25)*Calculateur!CG56*Calculateur!CI56*VLOOKUP('Données projet'!$B$12,Paramètres!$A$1:$I$89,3,0)*0.475*44/12</f>
        <v>18.361235272772248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50.445293129233228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39.592799999999961</v>
      </c>
      <c r="D57" s="11">
        <f t="shared" si="32"/>
        <v>11.890654313289092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397.41613855872248</v>
      </c>
      <c r="H57" s="67">
        <f t="shared" si="1"/>
        <v>383.0003495956451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9.5537500000000009</v>
      </c>
      <c r="N57" s="13">
        <f>IF('Données projet'!$A$36&gt;35,N56+M57-V56,IF(A57&lt;'Données projet'!$A$36,$K$205^A57,IF(A57='Données projet'!$A$36,'Données projet'!$B$36,N56+M57-V56)))</f>
        <v>197.65500000000017</v>
      </c>
      <c r="O57" s="13">
        <f>N57*VLOOKUP('Données projet'!$B$9,Paramètres!$A$1:$I$89,3,0)*VLOOKUP('Données projet'!$B$9,Paramètres!$A$1:$I$89,5,0)</f>
        <v>178.83824400000015</v>
      </c>
      <c r="P57" s="13">
        <f t="shared" si="33"/>
        <v>45.06361953668285</v>
      </c>
      <c r="Q57" s="20">
        <f t="shared" si="53"/>
        <v>389.96241232638954</v>
      </c>
      <c r="R57" s="59">
        <f t="shared" si="0"/>
        <v>683.2957456597228</v>
      </c>
      <c r="S57" s="59">
        <f ca="1">AVERAGE(OFFSET($R$3,0,0,'Données projet'!$E$9+1,1))-AVERAGE(OFFSET($H$3,0,0,'Données projet'!$E$9+1,1))</f>
        <v>399.15057697410413</v>
      </c>
      <c r="T57" s="59">
        <f t="shared" si="34"/>
        <v>182.37700638847298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8.6372888190399202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8.6372888190399202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9.5537500000000009</v>
      </c>
      <c r="AI57" s="13">
        <f>IF('Données projet'!$A$62&gt;35,AI56+AH57-AQ56,IF(A57&lt;'Données projet'!$A$62,$AF$205^A57,IF(A57='Données projet'!$A$62,'Données projet'!$B$62,AI56+AH57-AQ56)))</f>
        <v>197.65500000000017</v>
      </c>
      <c r="AJ57" s="13">
        <f>AI57*VLOOKUP('Données projet'!$B$10,Paramètres!$A$1:$I$89,3,0)*VLOOKUP('Données projet'!$B$10,Paramètres!$A$1:$I$89,5,0)</f>
        <v>200.42217000000019</v>
      </c>
      <c r="AK57" s="13">
        <f t="shared" si="35"/>
        <v>49.83693652432936</v>
      </c>
      <c r="AL57" s="20">
        <f t="shared" si="4"/>
        <v>435.8679438632073</v>
      </c>
      <c r="AM57" s="59">
        <f t="shared" si="5"/>
        <v>729.20127719654056</v>
      </c>
      <c r="AN57" s="59">
        <f ca="1">AVERAGE(OFFSET($AM$3,0,0,'Données projet'!$E$10+1,1))-AVERAGE(OFFSET($H$3,0,0,'Données projet'!$E$10+1,1))</f>
        <v>463.77045964052894</v>
      </c>
      <c r="AO57" s="59">
        <f t="shared" si="36"/>
        <v>209.77146243694483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9.6797202282343946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9.6797202282343946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9.5537500000000009</v>
      </c>
      <c r="BD57" s="12">
        <f>IF('Données projet'!$A$88&gt;35,BD56+BC57-BL56,IF(A57&lt;'Données projet'!$A$88,$BA$205^A57,IF(A57='Données projet'!$A$88,'Données projet'!$B$88,BD56+BC57-BL56)))</f>
        <v>197.65500000000017</v>
      </c>
      <c r="BE57" s="13">
        <f>BD57*VLOOKUP('Données projet'!$B$11,Paramètres!$A$1:$I$89,3,0)*VLOOKUP('Données projet'!$B$11,Paramètres!$A$1:$I$89,5,0)</f>
        <v>191.17191600000018</v>
      </c>
      <c r="BF57" s="13">
        <f t="shared" si="37"/>
        <v>47.798954043882908</v>
      </c>
      <c r="BG57" s="20">
        <f t="shared" si="7"/>
        <v>416.20759865976305</v>
      </c>
      <c r="BH57" s="59">
        <f t="shared" si="8"/>
        <v>709.54093199309636</v>
      </c>
      <c r="BI57" s="59">
        <f ca="1">AVERAGE(OFFSET($BH$3,0,0,'Données projet'!$E$11+1,1))-AVERAGE(OFFSET($H$3,0,0,'Données projet'!$E$11+1,1))</f>
        <v>436.0942819360734</v>
      </c>
      <c r="BJ57" s="59">
        <f t="shared" si="38"/>
        <v>198.03942180876311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9.2329639100081913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9.2329639100081913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>
        <f>BY57*VLOOKUP('Données projet'!$B$12,Paramètres!$A$1:$I$89,3,0)*VLOOKUP('Données projet'!$B$12,Paramètres!$A$1:$I$89,5,0)</f>
        <v>0</v>
      </c>
      <c r="CA57" s="13" t="e">
        <f t="shared" si="39"/>
        <v>#NUM!</v>
      </c>
      <c r="CB57" s="20" t="e">
        <f t="shared" si="10"/>
        <v>#NUM!</v>
      </c>
      <c r="CC57" s="59" t="e">
        <f t="shared" si="11"/>
        <v>#NUM!</v>
      </c>
      <c r="CD57" s="59">
        <f ca="1">AVERAGE(OFFSET($CC$3,0,0,'Données projet'!$E$12+1,1))-AVERAGE(OFFSET($H$3,0,0,'Données projet'!$E$12+1,1))</f>
        <v>183.99578440773581</v>
      </c>
      <c r="CE57" s="59">
        <f t="shared" si="40"/>
        <v>258.43295338669657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31.454909051238761</v>
      </c>
      <c r="CL57" s="21">
        <f>EXP(-LN(2)/25)*CL56+(1-EXP(-LN(2)/25))/(LN(2)/25)*Calculateur!CG57*Calculateur!CI57*VLOOKUP('Données projet'!$B$12,Paramètres!$A$1:$I$89,3,0)*0.475*44/12</f>
        <v>17.859146328662892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49.314055379901653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40.325999999999958</v>
      </c>
      <c r="D58" s="11">
        <f t="shared" si="32"/>
        <v>12.085012381264168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404.57623592554768</v>
      </c>
      <c r="H58" s="67">
        <f t="shared" si="1"/>
        <v>384.615846564035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9.5537500000000009</v>
      </c>
      <c r="N58" s="13">
        <f>IF('Données projet'!$A$36&gt;35,N57+M58-V57,IF(A58&lt;'Données projet'!$A$36,$K$205^A58,IF(A58='Données projet'!$A$36,'Données projet'!$B$36,N57+M58-V57)))</f>
        <v>207.20875000000018</v>
      </c>
      <c r="O58" s="13">
        <f>N58*VLOOKUP('Données projet'!$B$9,Paramètres!$A$1:$I$89,3,0)*VLOOKUP('Données projet'!$B$9,Paramètres!$A$1:$I$89,5,0)</f>
        <v>187.48247700000016</v>
      </c>
      <c r="P58" s="13">
        <f t="shared" si="33"/>
        <v>46.982932911694917</v>
      </c>
      <c r="Q58" s="20">
        <f t="shared" si="53"/>
        <v>408.3605889295356</v>
      </c>
      <c r="R58" s="59">
        <f t="shared" si="0"/>
        <v>701.69392226286891</v>
      </c>
      <c r="S58" s="59">
        <f ca="1">AVERAGE(OFFSET($R$3,0,0,'Données projet'!$E$9+1,1))-AVERAGE(OFFSET($H$3,0,0,'Données projet'!$E$9+1,1))</f>
        <v>399.15057697410413</v>
      </c>
      <c r="T58" s="59">
        <f t="shared" si="34"/>
        <v>182.37700638847298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8.4679168535245335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8.4679168535245335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9.5537500000000009</v>
      </c>
      <c r="AI58" s="13">
        <f>IF('Données projet'!$A$62&gt;35,AI57+AH58-AQ57,IF(A58&lt;'Données projet'!$A$62,$AF$205^A58,IF(A58='Données projet'!$A$62,'Données projet'!$B$62,AI57+AH58-AQ57)))</f>
        <v>207.20875000000018</v>
      </c>
      <c r="AJ58" s="13">
        <f>AI58*VLOOKUP('Données projet'!$B$10,Paramètres!$A$1:$I$89,3,0)*VLOOKUP('Données projet'!$B$10,Paramètres!$A$1:$I$89,5,0)</f>
        <v>210.10967250000019</v>
      </c>
      <c r="AK58" s="13">
        <f t="shared" si="35"/>
        <v>51.959551170560943</v>
      </c>
      <c r="AL58" s="20">
        <f t="shared" si="4"/>
        <v>456.43723122622731</v>
      </c>
      <c r="AM58" s="59">
        <f t="shared" si="5"/>
        <v>749.77056455956063</v>
      </c>
      <c r="AN58" s="59">
        <f ca="1">AVERAGE(OFFSET($AM$3,0,0,'Données projet'!$E$10+1,1))-AVERAGE(OFFSET($H$3,0,0,'Données projet'!$E$10+1,1))</f>
        <v>463.77045964052894</v>
      </c>
      <c r="AO58" s="59">
        <f t="shared" si="36"/>
        <v>209.77146243694483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9.4899068186050819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9.4899068186050819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9.5537500000000009</v>
      </c>
      <c r="BD58" s="12">
        <f>IF('Données projet'!$A$88&gt;35,BD57+BC58-BL57,IF(A58&lt;'Données projet'!$A$88,$BA$205^A58,IF(A58='Données projet'!$A$88,'Données projet'!$B$88,BD57+BC58-BL57)))</f>
        <v>207.20875000000018</v>
      </c>
      <c r="BE58" s="13">
        <f>BD58*VLOOKUP('Données projet'!$B$11,Paramètres!$A$1:$I$89,3,0)*VLOOKUP('Données projet'!$B$11,Paramètres!$A$1:$I$89,5,0)</f>
        <v>200.41230300000018</v>
      </c>
      <c r="BF58" s="13">
        <f t="shared" si="37"/>
        <v>49.834768582334036</v>
      </c>
      <c r="BG58" s="20">
        <f t="shared" si="7"/>
        <v>435.84698300589872</v>
      </c>
      <c r="BH58" s="59">
        <f t="shared" si="8"/>
        <v>729.18031633923204</v>
      </c>
      <c r="BI58" s="59">
        <f ca="1">AVERAGE(OFFSET($BH$3,0,0,'Données projet'!$E$11+1,1))-AVERAGE(OFFSET($H$3,0,0,'Données projet'!$E$11+1,1))</f>
        <v>436.0942819360734</v>
      </c>
      <c r="BJ58" s="59">
        <f t="shared" si="38"/>
        <v>198.03942180876311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9.0519111192848456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9.0519111192848456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>
        <f>BY58*VLOOKUP('Données projet'!$B$12,Paramètres!$A$1:$I$89,3,0)*VLOOKUP('Données projet'!$B$12,Paramètres!$A$1:$I$89,5,0)</f>
        <v>0</v>
      </c>
      <c r="CA58" s="13" t="e">
        <f t="shared" si="39"/>
        <v>#NUM!</v>
      </c>
      <c r="CB58" s="20" t="e">
        <f t="shared" si="10"/>
        <v>#NUM!</v>
      </c>
      <c r="CC58" s="59" t="e">
        <f t="shared" si="11"/>
        <v>#NUM!</v>
      </c>
      <c r="CD58" s="59">
        <f ca="1">AVERAGE(OFFSET($CC$3,0,0,'Données projet'!$E$12+1,1))-AVERAGE(OFFSET($H$3,0,0,'Données projet'!$E$12+1,1))</f>
        <v>183.99578440773581</v>
      </c>
      <c r="CE58" s="59">
        <f t="shared" si="40"/>
        <v>258.43295338669657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30.838097470344071</v>
      </c>
      <c r="CL58" s="21">
        <f>EXP(-LN(2)/25)*CL57+(1-EXP(-LN(2)/25))/(LN(2)/25)*Calculateur!CG58*Calculateur!CI58*VLOOKUP('Données projet'!$B$12,Paramètres!$A$1:$I$89,3,0)*0.475*44/12</f>
        <v>17.370787033133919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48.208884503477989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41.059199999999954</v>
      </c>
      <c r="D59" s="11">
        <f t="shared" si="32"/>
        <v>12.278959527914731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411.73316126811329</v>
      </c>
      <c r="H59" s="67">
        <f t="shared" si="1"/>
        <v>386.23062784445136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9.5537500000000009</v>
      </c>
      <c r="N59" s="13">
        <f>IF('Données projet'!$A$36&gt;35,N58+M59-V58,IF(A59&lt;'Données projet'!$A$36,$K$205^A59,IF(A59='Données projet'!$A$36,'Données projet'!$B$36,N58+M59-V58)))</f>
        <v>216.76250000000019</v>
      </c>
      <c r="O59" s="13">
        <f>N59*VLOOKUP('Données projet'!$B$9,Paramètres!$A$1:$I$89,3,0)*VLOOKUP('Données projet'!$B$9,Paramètres!$A$1:$I$89,5,0)</f>
        <v>196.12671000000017</v>
      </c>
      <c r="P59" s="13">
        <f t="shared" si="33"/>
        <v>48.891969383051702</v>
      </c>
      <c r="Q59" s="20">
        <f t="shared" si="53"/>
        <v>426.74086659214868</v>
      </c>
      <c r="R59" s="59">
        <f t="shared" si="0"/>
        <v>720.07419992548193</v>
      </c>
      <c r="S59" s="59">
        <f ca="1">AVERAGE(OFFSET($R$3,0,0,'Données projet'!$E$9+1,1))-AVERAGE(OFFSET($H$3,0,0,'Données projet'!$E$9+1,1))</f>
        <v>399.15057697410413</v>
      </c>
      <c r="T59" s="59">
        <f t="shared" si="34"/>
        <v>182.37700638847298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8.301866168946205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8.301866168946205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9.5537500000000009</v>
      </c>
      <c r="AI59" s="13">
        <f>IF('Données projet'!$A$62&gt;35,AI58+AH59-AQ58,IF(A59&lt;'Données projet'!$A$62,$AF$205^A59,IF(A59='Données projet'!$A$62,'Données projet'!$B$62,AI58+AH59-AQ58)))</f>
        <v>216.76250000000019</v>
      </c>
      <c r="AJ59" s="13">
        <f>AI59*VLOOKUP('Données projet'!$B$10,Paramètres!$A$1:$I$89,3,0)*VLOOKUP('Données projet'!$B$10,Paramètres!$A$1:$I$89,5,0)</f>
        <v>219.79717500000021</v>
      </c>
      <c r="AK59" s="13">
        <f t="shared" si="35"/>
        <v>54.070800342815986</v>
      </c>
      <c r="AL59" s="20">
        <f t="shared" si="4"/>
        <v>476.98672372207147</v>
      </c>
      <c r="AM59" s="59">
        <f t="shared" si="5"/>
        <v>770.32005705540473</v>
      </c>
      <c r="AN59" s="59">
        <f ca="1">AVERAGE(OFFSET($AM$3,0,0,'Données projet'!$E$10+1,1))-AVERAGE(OFFSET($H$3,0,0,'Données projet'!$E$10+1,1))</f>
        <v>463.77045964052894</v>
      </c>
      <c r="AO59" s="59">
        <f t="shared" si="36"/>
        <v>209.77146243694483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9.3038155341638511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9.3038155341638511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9.5537500000000009</v>
      </c>
      <c r="BD59" s="12">
        <f>IF('Données projet'!$A$88&gt;35,BD58+BC59-BL58,IF(A59&lt;'Données projet'!$A$88,$BA$205^A59,IF(A59='Données projet'!$A$88,'Données projet'!$B$88,BD58+BC59-BL58)))</f>
        <v>216.76250000000019</v>
      </c>
      <c r="BE59" s="13">
        <f>BD59*VLOOKUP('Données projet'!$B$11,Paramètres!$A$1:$I$89,3,0)*VLOOKUP('Données projet'!$B$11,Paramètres!$A$1:$I$89,5,0)</f>
        <v>209.65269000000021</v>
      </c>
      <c r="BF59" s="13">
        <f t="shared" si="37"/>
        <v>51.859682415280766</v>
      </c>
      <c r="BG59" s="20">
        <f t="shared" si="7"/>
        <v>455.46738195661436</v>
      </c>
      <c r="BH59" s="59">
        <f t="shared" si="8"/>
        <v>748.80071528994768</v>
      </c>
      <c r="BI59" s="59">
        <f ca="1">AVERAGE(OFFSET($BH$3,0,0,'Données projet'!$E$11+1,1))-AVERAGE(OFFSET($H$3,0,0,'Données projet'!$E$11+1,1))</f>
        <v>436.0942819360734</v>
      </c>
      <c r="BJ59" s="59">
        <f t="shared" si="38"/>
        <v>198.03942180876311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8.874408663356288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8.874408663356288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>
        <f>BY59*VLOOKUP('Données projet'!$B$12,Paramètres!$A$1:$I$89,3,0)*VLOOKUP('Données projet'!$B$12,Paramètres!$A$1:$I$89,5,0)</f>
        <v>0</v>
      </c>
      <c r="CA59" s="13" t="e">
        <f t="shared" si="39"/>
        <v>#NUM!</v>
      </c>
      <c r="CB59" s="20" t="e">
        <f t="shared" si="10"/>
        <v>#NUM!</v>
      </c>
      <c r="CC59" s="59" t="e">
        <f t="shared" si="11"/>
        <v>#NUM!</v>
      </c>
      <c r="CD59" s="59">
        <f ca="1">AVERAGE(OFFSET($CC$3,0,0,'Données projet'!$E$12+1,1))-AVERAGE(OFFSET($H$3,0,0,'Données projet'!$E$12+1,1))</f>
        <v>183.99578440773581</v>
      </c>
      <c r="CE59" s="59">
        <f t="shared" si="40"/>
        <v>258.43295338669657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30.233381188332807</v>
      </c>
      <c r="CL59" s="21">
        <f>EXP(-LN(2)/25)*CL58+(1-EXP(-LN(2)/25))/(LN(2)/25)*Calculateur!CG59*Calculateur!CI59*VLOOKUP('Données projet'!$B$12,Paramètres!$A$1:$I$89,3,0)*0.475*44/12</f>
        <v>16.895781948222883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47.12916313655569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41.792399999999951</v>
      </c>
      <c r="D60" s="11">
        <f t="shared" si="32"/>
        <v>12.472503937619955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418.8869777640835</v>
      </c>
      <c r="H60" s="67">
        <f t="shared" si="1"/>
        <v>387.84470769135464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9.5537500000000009</v>
      </c>
      <c r="N60" s="13">
        <f>IF('Données projet'!$A$36&gt;35,N59+M60-V59,IF(A60&lt;'Données projet'!$A$36,$K$205^A60,IF(A60='Données projet'!$A$36,'Données projet'!$B$36,N59+M60-V59)))</f>
        <v>226.3162500000002</v>
      </c>
      <c r="O60" s="13">
        <f>N60*VLOOKUP('Données projet'!$B$9,Paramètres!$A$1:$I$89,3,0)*VLOOKUP('Données projet'!$B$9,Paramètres!$A$1:$I$89,5,0)</f>
        <v>204.77094300000016</v>
      </c>
      <c r="P60" s="13">
        <f t="shared" si="33"/>
        <v>50.791233664926693</v>
      </c>
      <c r="Q60" s="20">
        <f t="shared" si="53"/>
        <v>445.10412435808092</v>
      </c>
      <c r="R60" s="59">
        <f t="shared" si="0"/>
        <v>738.43745769141424</v>
      </c>
      <c r="S60" s="59">
        <f ca="1">AVERAGE(OFFSET($R$3,0,0,'Données projet'!$E$9+1,1))-AVERAGE(OFFSET($H$3,0,0,'Données projet'!$E$9+1,1))</f>
        <v>399.15057697410413</v>
      </c>
      <c r="T60" s="59">
        <f t="shared" si="34"/>
        <v>182.37700638847298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8.1390716370115399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8.1390716370115399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9.5537500000000009</v>
      </c>
      <c r="AI60" s="13">
        <f>IF('Données projet'!$A$62&gt;35,AI59+AH60-AQ59,IF(A60&lt;'Données projet'!$A$62,$AF$205^A60,IF(A60='Données projet'!$A$62,'Données projet'!$B$62,AI59+AH60-AQ59)))</f>
        <v>226.3162500000002</v>
      </c>
      <c r="AJ60" s="13">
        <f>AI60*VLOOKUP('Données projet'!$B$10,Paramètres!$A$1:$I$89,3,0)*VLOOKUP('Données projet'!$B$10,Paramètres!$A$1:$I$89,5,0)</f>
        <v>229.4846775000002</v>
      </c>
      <c r="AK60" s="13">
        <f t="shared" si="35"/>
        <v>56.171242216591338</v>
      </c>
      <c r="AL60" s="20">
        <f t="shared" si="4"/>
        <v>497.51739350639696</v>
      </c>
      <c r="AM60" s="59">
        <f t="shared" si="5"/>
        <v>790.85072683973021</v>
      </c>
      <c r="AN60" s="59">
        <f ca="1">AVERAGE(OFFSET($AM$3,0,0,'Données projet'!$E$10+1,1))-AVERAGE(OFFSET($H$3,0,0,'Données projet'!$E$10+1,1))</f>
        <v>463.77045964052894</v>
      </c>
      <c r="AO60" s="59">
        <f t="shared" si="36"/>
        <v>209.77146243694483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9.1213733863060362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9.1213733863060362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9.5537500000000009</v>
      </c>
      <c r="BD60" s="12">
        <f>IF('Données projet'!$A$88&gt;35,BD59+BC60-BL59,IF(A60&lt;'Données projet'!$A$88,$BA$205^A60,IF(A60='Données projet'!$A$88,'Données projet'!$B$88,BD59+BC60-BL59)))</f>
        <v>226.3162500000002</v>
      </c>
      <c r="BE60" s="13">
        <f>BD60*VLOOKUP('Données projet'!$B$11,Paramètres!$A$1:$I$89,3,0)*VLOOKUP('Données projet'!$B$11,Paramètres!$A$1:$I$89,5,0)</f>
        <v>218.8930770000002</v>
      </c>
      <c r="BF60" s="13">
        <f t="shared" si="37"/>
        <v>53.874230892742354</v>
      </c>
      <c r="BG60" s="20">
        <f t="shared" si="7"/>
        <v>475.06972791319322</v>
      </c>
      <c r="BH60" s="59">
        <f t="shared" si="8"/>
        <v>768.40306124652648</v>
      </c>
      <c r="BI60" s="59">
        <f ca="1">AVERAGE(OFFSET($BH$3,0,0,'Données projet'!$E$11+1,1))-AVERAGE(OFFSET($H$3,0,0,'Données projet'!$E$11+1,1))</f>
        <v>436.0942819360734</v>
      </c>
      <c r="BJ60" s="59">
        <f t="shared" si="38"/>
        <v>198.03942180876311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8.7003869223226804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8.7003869223226804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>
        <f>BY60*VLOOKUP('Données projet'!$B$12,Paramètres!$A$1:$I$89,3,0)*VLOOKUP('Données projet'!$B$12,Paramètres!$A$1:$I$89,5,0)</f>
        <v>0</v>
      </c>
      <c r="CA60" s="13" t="e">
        <f t="shared" si="39"/>
        <v>#NUM!</v>
      </c>
      <c r="CB60" s="20" t="e">
        <f t="shared" si="10"/>
        <v>#NUM!</v>
      </c>
      <c r="CC60" s="59" t="e">
        <f t="shared" si="11"/>
        <v>#NUM!</v>
      </c>
      <c r="CD60" s="59">
        <f ca="1">AVERAGE(OFFSET($CC$3,0,0,'Données projet'!$E$12+1,1))-AVERAGE(OFFSET($H$3,0,0,'Données projet'!$E$12+1,1))</f>
        <v>183.99578440773581</v>
      </c>
      <c r="CE60" s="59">
        <f t="shared" si="40"/>
        <v>258.43295338669657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29.640523023771273</v>
      </c>
      <c r="CL60" s="21">
        <f>EXP(-LN(2)/25)*CL59+(1-EXP(-LN(2)/25))/(LN(2)/25)*Calculateur!CG60*Calculateur!CI60*VLOOKUP('Données projet'!$B$12,Paramètres!$A$1:$I$89,3,0)*0.475*44/12</f>
        <v>16.43376590233817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46.074288926109446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42.525599999999947</v>
      </c>
      <c r="D61" s="11">
        <f t="shared" si="32"/>
        <v>12.665653491137919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426.03774624738003</v>
      </c>
      <c r="H61" s="67">
        <f t="shared" si="1"/>
        <v>389.4580998303984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>
        <f>VLOOKUP(A61,'Données projet'!$A$35:$I$55,2,0)</f>
        <v>235.87</v>
      </c>
      <c r="L61" s="12">
        <f>VLOOKUP(A61,'Données projet'!$A$35:$I$55,9,0)</f>
        <v>9.5537500000000009</v>
      </c>
      <c r="M61" s="12">
        <f t="array" ref="M61">INDEX(L:L,MIN(IF(ISNUMBER(L61:L257),ROW(L61:L257),"")))</f>
        <v>9.5537500000000009</v>
      </c>
      <c r="N61" s="13">
        <f>IF('Données projet'!$A$36&gt;35,N60+M61-V60,IF(A61&lt;'Données projet'!$A$36,$K$205^A61,IF(A61='Données projet'!$A$36,'Données projet'!$B$36,N60+M61-V60)))</f>
        <v>235.8700000000002</v>
      </c>
      <c r="O61" s="13">
        <f>N61*VLOOKUP('Données projet'!$B$9,Paramètres!$A$1:$I$89,3,0)*VLOOKUP('Données projet'!$B$9,Paramètres!$A$1:$I$89,5,0)</f>
        <v>213.41517600000017</v>
      </c>
      <c r="P61" s="13">
        <f t="shared" si="33"/>
        <v>52.681185448853228</v>
      </c>
      <c r="Q61" s="20">
        <f t="shared" si="53"/>
        <v>463.45116285675294</v>
      </c>
      <c r="R61" s="59">
        <f t="shared" si="0"/>
        <v>756.7844961900862</v>
      </c>
      <c r="S61" s="59">
        <f ca="1">AVERAGE(OFFSET($R$3,0,0,'Données projet'!$E$9+1,1))-AVERAGE(OFFSET($H$3,0,0,'Données projet'!$E$9+1,1))</f>
        <v>399.15057697410413</v>
      </c>
      <c r="T61" s="59">
        <f t="shared" si="34"/>
        <v>182.37700638847298</v>
      </c>
      <c r="U61" s="15">
        <f>IF(ISNA(VLOOKUP(A61,'Données projet'!$A$35:$I$55,3,0)),0,VLOOKUP(A61,'Données projet'!$A$35:$I$55,3,0))</f>
        <v>3</v>
      </c>
      <c r="V61" s="15">
        <f>IF(ISNA(VLOOKUP(A61,'Données projet'!$A$35:$I$55,4,0)),0,VLOOKUP(A61,'Données projet'!$A$35:$I$55,4,0))</f>
        <v>44.93</v>
      </c>
      <c r="W61" s="16">
        <f>IF(ISNA(VLOOKUP(A61,'Données projet'!$A$35:$I$55,5,0)),0%,VLOOKUP(A61,'Données projet'!$A$35:$I$55,5,0)*VLOOKUP('Données projet'!$B$9,Paramètres!$A$1:$I$89,7,0))</f>
        <v>0.129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13.776770157795863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13.776770157795863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235.87</v>
      </c>
      <c r="AG61" s="12">
        <f>VLOOKUP(A61,'Données projet'!$A$61:$I$81,9,0)</f>
        <v>9.5537500000000009</v>
      </c>
      <c r="AH61" s="12">
        <f t="array" ref="AH61">INDEX(AG:AG,MIN(IF(ISNUMBER(AG61:AG257),ROW(AG61:AG257),"")))</f>
        <v>9.5537500000000009</v>
      </c>
      <c r="AI61" s="13">
        <f>IF('Données projet'!$A$62&gt;35,AI60+AH61-AQ60,IF(A61&lt;'Données projet'!$A$62,$AF$205^A61,IF(A61='Données projet'!$A$62,'Données projet'!$B$62,AI60+AH61-AQ60)))</f>
        <v>235.8700000000002</v>
      </c>
      <c r="AJ61" s="13">
        <f>AI61*VLOOKUP('Données projet'!$B$10,Paramètres!$A$1:$I$89,3,0)*VLOOKUP('Données projet'!$B$10,Paramètres!$A$1:$I$89,5,0)</f>
        <v>239.1721800000002</v>
      </c>
      <c r="AK61" s="13">
        <f t="shared" si="35"/>
        <v>58.261385175767472</v>
      </c>
      <c r="AL61" s="20">
        <f t="shared" si="4"/>
        <v>518.0301260144621</v>
      </c>
      <c r="AM61" s="59">
        <f t="shared" si="5"/>
        <v>811.36345934779547</v>
      </c>
      <c r="AN61" s="59">
        <f ca="1">AVERAGE(OFFSET($AM$3,0,0,'Données projet'!$E$10+1,1))-AVERAGE(OFFSET($H$3,0,0,'Données projet'!$E$10+1,1))</f>
        <v>463.77045964052894</v>
      </c>
      <c r="AO61" s="59">
        <f t="shared" si="36"/>
        <v>209.77146243694483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0.129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15.439483797529846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15.439483797529846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>
        <f>VLOOKUP(A61,'Données projet'!$A$87:$I$107,2,0)</f>
        <v>235.87</v>
      </c>
      <c r="BB61" s="12">
        <f>VLOOKUP(A61,'Données projet'!$A$87:$I$107,9,0)</f>
        <v>9.5537500000000009</v>
      </c>
      <c r="BC61" s="12">
        <f t="array" ref="BC61">INDEX(BB:BB,MIN(IF(ISNUMBER(BB61:BB257),ROW(BB61:BB257),"")))</f>
        <v>9.5537500000000009</v>
      </c>
      <c r="BD61" s="12">
        <f>IF('Données projet'!$A$88&gt;35,BD60+BC61-BL60,IF(A61&lt;'Données projet'!$A$88,$BA$205^A61,IF(A61='Données projet'!$A$88,'Données projet'!$B$88,BD60+BC61-BL60)))</f>
        <v>235.8700000000002</v>
      </c>
      <c r="BE61" s="13">
        <f>BD61*VLOOKUP('Données projet'!$B$11,Paramètres!$A$1:$I$89,3,0)*VLOOKUP('Données projet'!$B$11,Paramètres!$A$1:$I$89,5,0)</f>
        <v>228.1334640000002</v>
      </c>
      <c r="BF61" s="13">
        <f t="shared" si="37"/>
        <v>55.87890160925069</v>
      </c>
      <c r="BG61" s="20">
        <f t="shared" si="7"/>
        <v>494.6548701027786</v>
      </c>
      <c r="BH61" s="59">
        <f t="shared" si="8"/>
        <v>787.98820343611192</v>
      </c>
      <c r="BI61" s="59">
        <f ca="1">AVERAGE(OFFSET($BH$3,0,0,'Données projet'!$E$11+1,1))-AVERAGE(OFFSET($H$3,0,0,'Données projet'!$E$11+1,1))</f>
        <v>436.0942819360734</v>
      </c>
      <c r="BJ61" s="59">
        <f t="shared" si="38"/>
        <v>198.03942180876311</v>
      </c>
      <c r="BK61" s="15">
        <f>IF(ISNA(VLOOKUP(A61,'Données projet'!$A$87:$I$107,3,0)),0,VLOOKUP(A61,'Données projet'!$A$87:$I$107,3,0))</f>
        <v>3</v>
      </c>
      <c r="BL61" s="15">
        <f>IF(ISNA(VLOOKUP(A61,'Données projet'!$A$87:$I$107,4,0)),0,VLOOKUP(A61,'Données projet'!$A$87:$I$107,4,0))</f>
        <v>44.93</v>
      </c>
      <c r="BM61" s="16">
        <f>IF(ISNA(VLOOKUP(A61,'Données projet'!$A$87:$I$107,5,0)),0%,VLOOKUP(A61,'Données projet'!$A$87:$I$107,5,0)*VLOOKUP('Données projet'!$B$11,Paramètres!$A$1:$I$89,7,0))</f>
        <v>0.129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14.726892237643852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14.726892237643852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>
        <f>BY61*VLOOKUP('Données projet'!$B$12,Paramètres!$A$1:$I$89,3,0)*VLOOKUP('Données projet'!$B$12,Paramètres!$A$1:$I$89,5,0)</f>
        <v>0</v>
      </c>
      <c r="CA61" s="13" t="e">
        <f t="shared" si="39"/>
        <v>#NUM!</v>
      </c>
      <c r="CB61" s="20" t="e">
        <f t="shared" si="10"/>
        <v>#NUM!</v>
      </c>
      <c r="CC61" s="59" t="e">
        <f t="shared" si="11"/>
        <v>#NUM!</v>
      </c>
      <c r="CD61" s="59">
        <f ca="1">AVERAGE(OFFSET($CC$3,0,0,'Données projet'!$E$12+1,1))-AVERAGE(OFFSET($H$3,0,0,'Données projet'!$E$12+1,1))</f>
        <v>183.99578440773581</v>
      </c>
      <c r="CE61" s="59">
        <f t="shared" si="40"/>
        <v>258.43295338669657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29.059290446209015</v>
      </c>
      <c r="CL61" s="21">
        <f>EXP(-LN(2)/25)*CL60+(1-EXP(-LN(2)/25))/(LN(2)/25)*Calculateur!CG61*Calculateur!CI61*VLOOKUP('Données projet'!$B$12,Paramètres!$A$1:$I$89,3,0)*0.475*44/12</f>
        <v>15.984383709524543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45.043674155733555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43.258799999999944</v>
      </c>
      <c r="D62" s="11">
        <f t="shared" si="32"/>
        <v>12.858415781906336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433.18552533401339</v>
      </c>
      <c r="H62" s="67">
        <f t="shared" si="1"/>
        <v>391.07081748682009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9.2524999999999977</v>
      </c>
      <c r="N62" s="13">
        <f>IF('Données projet'!$A$36&gt;35,N61+M62-V61,IF(A62&lt;'Données projet'!$A$36,$K$205^A62,IF(A62='Données projet'!$A$36,'Données projet'!$B$36,N61+M62-V61)))</f>
        <v>200.19250000000019</v>
      </c>
      <c r="O62" s="13">
        <f>N62*VLOOKUP('Données projet'!$B$9,Paramètres!$A$1:$I$89,3,0)*VLOOKUP('Données projet'!$B$9,Paramètres!$A$1:$I$89,5,0)</f>
        <v>181.13417400000017</v>
      </c>
      <c r="P62" s="13">
        <f t="shared" si="33"/>
        <v>45.574426667354729</v>
      </c>
      <c r="Q62" s="20">
        <f t="shared" si="53"/>
        <v>394.85081282897653</v>
      </c>
      <c r="R62" s="59">
        <f t="shared" si="0"/>
        <v>688.18414616230984</v>
      </c>
      <c r="S62" s="59">
        <f ca="1">AVERAGE(OFFSET($R$3,0,0,'Données projet'!$E$9+1,1))-AVERAGE(OFFSET($H$3,0,0,'Données projet'!$E$9+1,1))</f>
        <v>399.15057697410413</v>
      </c>
      <c r="T62" s="59">
        <f t="shared" si="34"/>
        <v>182.37700638847298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13.506616098001555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13.506616098001555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9.2524999999999977</v>
      </c>
      <c r="AI62" s="13">
        <f>IF('Données projet'!$A$62&gt;35,AI61+AH62-AQ61,IF(A62&lt;'Données projet'!$A$62,$AF$205^A62,IF(A62='Données projet'!$A$62,'Données projet'!$B$62,AI61+AH62-AQ61)))</f>
        <v>200.19250000000019</v>
      </c>
      <c r="AJ62" s="13">
        <f>AI62*VLOOKUP('Données projet'!$B$10,Paramètres!$A$1:$I$89,3,0)*VLOOKUP('Données projet'!$B$10,Paramètres!$A$1:$I$89,5,0)</f>
        <v>202.99519500000022</v>
      </c>
      <c r="AK62" s="13">
        <f t="shared" si="35"/>
        <v>50.40185036856122</v>
      </c>
      <c r="AL62" s="20">
        <f t="shared" si="4"/>
        <v>441.33318735024449</v>
      </c>
      <c r="AM62" s="59">
        <f t="shared" si="5"/>
        <v>734.6665206835778</v>
      </c>
      <c r="AN62" s="59">
        <f ca="1">AVERAGE(OFFSET($AM$3,0,0,'Données projet'!$E$10+1,1))-AVERAGE(OFFSET($H$3,0,0,'Données projet'!$E$10+1,1))</f>
        <v>463.77045964052894</v>
      </c>
      <c r="AO62" s="59">
        <f t="shared" si="36"/>
        <v>209.77146243694483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15.136724937415535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15.136724937415535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9.2524999999999977</v>
      </c>
      <c r="BD62" s="12">
        <f>IF('Données projet'!$A$88&gt;35,BD61+BC62-BL61,IF(A62&lt;'Données projet'!$A$88,$BA$205^A62,IF(A62='Données projet'!$A$88,'Données projet'!$B$88,BD61+BC62-BL61)))</f>
        <v>200.19250000000019</v>
      </c>
      <c r="BE62" s="13">
        <f>BD62*VLOOKUP('Données projet'!$B$11,Paramètres!$A$1:$I$89,3,0)*VLOOKUP('Données projet'!$B$11,Paramètres!$A$1:$I$89,5,0)</f>
        <v>193.62618600000019</v>
      </c>
      <c r="BF62" s="13">
        <f t="shared" si="37"/>
        <v>48.340766859082926</v>
      </c>
      <c r="BG62" s="20">
        <f t="shared" si="7"/>
        <v>421.42577622956969</v>
      </c>
      <c r="BH62" s="59">
        <f t="shared" si="8"/>
        <v>714.75910956290295</v>
      </c>
      <c r="BI62" s="59">
        <f ca="1">AVERAGE(OFFSET($BH$3,0,0,'Données projet'!$E$11+1,1))-AVERAGE(OFFSET($H$3,0,0,'Données projet'!$E$11+1,1))</f>
        <v>436.0942819360734</v>
      </c>
      <c r="BJ62" s="59">
        <f t="shared" si="38"/>
        <v>198.03942180876311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14.438106863380971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14.438106863380971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>
        <f>BY62*VLOOKUP('Données projet'!$B$12,Paramètres!$A$1:$I$89,3,0)*VLOOKUP('Données projet'!$B$12,Paramètres!$A$1:$I$89,5,0)</f>
        <v>0</v>
      </c>
      <c r="CA62" s="13" t="e">
        <f t="shared" si="39"/>
        <v>#NUM!</v>
      </c>
      <c r="CB62" s="20" t="e">
        <f t="shared" si="10"/>
        <v>#NUM!</v>
      </c>
      <c r="CC62" s="59" t="e">
        <f t="shared" si="11"/>
        <v>#NUM!</v>
      </c>
      <c r="CD62" s="59">
        <f ca="1">AVERAGE(OFFSET($CC$3,0,0,'Données projet'!$E$12+1,1))-AVERAGE(OFFSET($H$3,0,0,'Données projet'!$E$12+1,1))</f>
        <v>183.99578440773581</v>
      </c>
      <c r="CE62" s="59">
        <f t="shared" si="40"/>
        <v>258.43295338669657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28.489455484975888</v>
      </c>
      <c r="CL62" s="21">
        <f>EXP(-LN(2)/25)*CL61+(1-EXP(-LN(2)/25))/(LN(2)/25)*Calculateur!CG62*Calculateur!CI62*VLOOKUP('Données projet'!$B$12,Paramètres!$A$1:$I$89,3,0)*0.475*44/12</f>
        <v>15.547289896405388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44.03674538138128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43.99199999999994</v>
      </c>
      <c r="D63" s="11">
        <f t="shared" si="32"/>
        <v>13.050798131206863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440.33037153914029</v>
      </c>
      <c r="H63" s="67">
        <f t="shared" si="1"/>
        <v>392.6828734118518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9.2524999999999977</v>
      </c>
      <c r="N63" s="13">
        <f>IF('Données projet'!$A$36&gt;35,N62+M63-V62,IF(A63&lt;'Données projet'!$A$36,$K$205^A63,IF(A63='Données projet'!$A$36,'Données projet'!$B$36,N62+M63-V62)))</f>
        <v>209.44500000000019</v>
      </c>
      <c r="O63" s="13">
        <f>N63*VLOOKUP('Données projet'!$B$9,Paramètres!$A$1:$I$89,3,0)*VLOOKUP('Données projet'!$B$9,Paramètres!$A$1:$I$89,5,0)</f>
        <v>189.50583600000016</v>
      </c>
      <c r="P63" s="13">
        <f t="shared" si="33"/>
        <v>47.430683653447495</v>
      </c>
      <c r="Q63" s="20">
        <f t="shared" si="53"/>
        <v>412.6644383964213</v>
      </c>
      <c r="R63" s="59">
        <f t="shared" si="0"/>
        <v>705.99777172975462</v>
      </c>
      <c r="S63" s="59">
        <f ca="1">AVERAGE(OFFSET($R$3,0,0,'Données projet'!$E$9+1,1))-AVERAGE(OFFSET($H$3,0,0,'Données projet'!$E$9+1,1))</f>
        <v>399.15057697410413</v>
      </c>
      <c r="T63" s="59">
        <f t="shared" si="34"/>
        <v>182.37700638847298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13.241759594542106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13.241759594542106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9.2524999999999977</v>
      </c>
      <c r="AI63" s="13">
        <f>IF('Données projet'!$A$62&gt;35,AI62+AH63-AQ62,IF(A63&lt;'Données projet'!$A$62,$AF$205^A63,IF(A63='Données projet'!$A$62,'Données projet'!$B$62,AI62+AH63-AQ62)))</f>
        <v>209.44500000000019</v>
      </c>
      <c r="AJ63" s="13">
        <f>AI63*VLOOKUP('Données projet'!$B$10,Paramètres!$A$1:$I$89,3,0)*VLOOKUP('Données projet'!$B$10,Paramètres!$A$1:$I$89,5,0)</f>
        <v>212.3772300000002</v>
      </c>
      <c r="AK63" s="13">
        <f t="shared" si="35"/>
        <v>52.454729443519689</v>
      </c>
      <c r="AL63" s="20">
        <f t="shared" si="4"/>
        <v>461.24899603079712</v>
      </c>
      <c r="AM63" s="59">
        <f t="shared" si="5"/>
        <v>754.58232936413037</v>
      </c>
      <c r="AN63" s="59">
        <f ca="1">AVERAGE(OFFSET($AM$3,0,0,'Données projet'!$E$10+1,1))-AVERAGE(OFFSET($H$3,0,0,'Données projet'!$E$10+1,1))</f>
        <v>463.77045964052894</v>
      </c>
      <c r="AO63" s="59">
        <f t="shared" si="36"/>
        <v>209.77146243694483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14.839902993883396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14.839902993883396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9.2524999999999977</v>
      </c>
      <c r="BD63" s="12">
        <f>IF('Données projet'!$A$88&gt;35,BD62+BC63-BL62,IF(A63&lt;'Données projet'!$A$88,$BA$205^A63,IF(A63='Données projet'!$A$88,'Données projet'!$B$88,BD62+BC63-BL62)))</f>
        <v>209.44500000000019</v>
      </c>
      <c r="BE63" s="13">
        <f>BD63*VLOOKUP('Données projet'!$B$11,Paramètres!$A$1:$I$89,3,0)*VLOOKUP('Données projet'!$B$11,Paramètres!$A$1:$I$89,5,0)</f>
        <v>202.57520400000018</v>
      </c>
      <c r="BF63" s="13">
        <f t="shared" si="37"/>
        <v>50.309697523865829</v>
      </c>
      <c r="BG63" s="20">
        <f t="shared" si="7"/>
        <v>440.44120348739995</v>
      </c>
      <c r="BH63" s="59">
        <f t="shared" si="8"/>
        <v>733.77453682073326</v>
      </c>
      <c r="BI63" s="59">
        <f ca="1">AVERAGE(OFFSET($BH$3,0,0,'Données projet'!$E$11+1,1))-AVERAGE(OFFSET($H$3,0,0,'Données projet'!$E$11+1,1))</f>
        <v>436.0942819360734</v>
      </c>
      <c r="BJ63" s="59">
        <f t="shared" si="38"/>
        <v>198.03942180876311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14.1549843941657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14.1549843941657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>
        <f>BY63*VLOOKUP('Données projet'!$B$12,Paramètres!$A$1:$I$89,3,0)*VLOOKUP('Données projet'!$B$12,Paramètres!$A$1:$I$89,5,0)</f>
        <v>0</v>
      </c>
      <c r="CA63" s="13" t="e">
        <f t="shared" si="39"/>
        <v>#NUM!</v>
      </c>
      <c r="CB63" s="20" t="e">
        <f t="shared" si="10"/>
        <v>#NUM!</v>
      </c>
      <c r="CC63" s="59" t="e">
        <f t="shared" si="11"/>
        <v>#NUM!</v>
      </c>
      <c r="CD63" s="59">
        <f ca="1">AVERAGE(OFFSET($CC$3,0,0,'Données projet'!$E$12+1,1))-AVERAGE(OFFSET($H$3,0,0,'Données projet'!$E$12+1,1))</f>
        <v>183.99578440773581</v>
      </c>
      <c r="CE63" s="59">
        <f t="shared" si="40"/>
        <v>258.43295338669657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27.930794639767534</v>
      </c>
      <c r="CL63" s="21">
        <f>EXP(-LN(2)/25)*CL62+(1-EXP(-LN(2)/25))/(LN(2)/25)*Calculateur!CG63*Calculateur!CI63*VLOOKUP('Données projet'!$B$12,Paramètres!$A$1:$I$89,3,0)*0.475*44/12</f>
        <v>15.122148436591742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43.052943076359277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44.725199999999937</v>
      </c>
      <c r="D64" s="11">
        <f t="shared" si="32"/>
        <v>13.24280760228976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447.47233938609594</v>
      </c>
      <c r="H64" s="67">
        <f t="shared" si="1"/>
        <v>394.2942799073212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9.2524999999999977</v>
      </c>
      <c r="N64" s="13">
        <f>IF('Données projet'!$A$36&gt;35,N63+M64-V63,IF(A64&lt;'Données projet'!$A$36,$K$205^A64,IF(A64='Données projet'!$A$36,'Données projet'!$B$36,N63+M64-V63)))</f>
        <v>218.69750000000019</v>
      </c>
      <c r="O64" s="13">
        <f>N64*VLOOKUP('Données projet'!$B$9,Paramètres!$A$1:$I$89,3,0)*VLOOKUP('Données projet'!$B$9,Paramètres!$A$1:$I$89,5,0)</f>
        <v>197.87749800000014</v>
      </c>
      <c r="P64" s="13">
        <f t="shared" si="33"/>
        <v>49.277416774103372</v>
      </c>
      <c r="Q64" s="20">
        <f t="shared" si="53"/>
        <v>430.46147656489694</v>
      </c>
      <c r="R64" s="59">
        <f t="shared" si="0"/>
        <v>723.79480989823026</v>
      </c>
      <c r="S64" s="59">
        <f ca="1">AVERAGE(OFFSET($R$3,0,0,'Données projet'!$E$9+1,1))-AVERAGE(OFFSET($H$3,0,0,'Données projet'!$E$9+1,1))</f>
        <v>399.15057697410413</v>
      </c>
      <c r="T64" s="59">
        <f t="shared" si="34"/>
        <v>182.37700638847298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12.982096765568983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12.982096765568983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9.2524999999999977</v>
      </c>
      <c r="AI64" s="13">
        <f>IF('Données projet'!$A$62&gt;35,AI63+AH64-AQ63,IF(A64&lt;'Données projet'!$A$62,$AF$205^A64,IF(A64='Données projet'!$A$62,'Données projet'!$B$62,AI63+AH64-AQ63)))</f>
        <v>218.69750000000019</v>
      </c>
      <c r="AJ64" s="13">
        <f>AI64*VLOOKUP('Données projet'!$B$10,Paramètres!$A$1:$I$89,3,0)*VLOOKUP('Données projet'!$B$10,Paramètres!$A$1:$I$89,5,0)</f>
        <v>221.7592650000002</v>
      </c>
      <c r="AK64" s="13">
        <f t="shared" si="35"/>
        <v>54.497075847509379</v>
      </c>
      <c r="AL64" s="20">
        <f t="shared" si="4"/>
        <v>481.14646030941248</v>
      </c>
      <c r="AM64" s="59">
        <f t="shared" si="5"/>
        <v>774.47979364274579</v>
      </c>
      <c r="AN64" s="59">
        <f ca="1">AVERAGE(OFFSET($AM$3,0,0,'Données projet'!$E$10+1,1))-AVERAGE(OFFSET($H$3,0,0,'Données projet'!$E$10+1,1))</f>
        <v>463.77045964052894</v>
      </c>
      <c r="AO64" s="59">
        <f t="shared" si="36"/>
        <v>209.77146243694483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14.548901547620412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14.548901547620412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9.2524999999999977</v>
      </c>
      <c r="BD64" s="12">
        <f>IF('Données projet'!$A$88&gt;35,BD63+BC64-BL63,IF(A64&lt;'Données projet'!$A$88,$BA$205^A64,IF(A64='Données projet'!$A$88,'Données projet'!$B$88,BD63+BC64-BL63)))</f>
        <v>218.69750000000019</v>
      </c>
      <c r="BE64" s="13">
        <f>BD64*VLOOKUP('Données projet'!$B$11,Paramètres!$A$1:$I$89,3,0)*VLOOKUP('Données projet'!$B$11,Paramètres!$A$1:$I$89,5,0)</f>
        <v>211.52422200000021</v>
      </c>
      <c r="BF64" s="13">
        <f t="shared" si="37"/>
        <v>52.268526230328021</v>
      </c>
      <c r="BG64" s="20">
        <f t="shared" si="7"/>
        <v>459.43903650115499</v>
      </c>
      <c r="BH64" s="59">
        <f t="shared" si="8"/>
        <v>752.77236983448825</v>
      </c>
      <c r="BI64" s="59">
        <f ca="1">AVERAGE(OFFSET($BH$3,0,0,'Données projet'!$E$11+1,1))-AVERAGE(OFFSET($H$3,0,0,'Données projet'!$E$11+1,1))</f>
        <v>436.0942819360734</v>
      </c>
      <c r="BJ64" s="59">
        <f t="shared" si="38"/>
        <v>198.03942180876311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13.877413783884085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13.877413783884085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>
        <f>BY64*VLOOKUP('Données projet'!$B$12,Paramètres!$A$1:$I$89,3,0)*VLOOKUP('Données projet'!$B$12,Paramètres!$A$1:$I$89,5,0)</f>
        <v>0</v>
      </c>
      <c r="CA64" s="13" t="e">
        <f t="shared" si="39"/>
        <v>#NUM!</v>
      </c>
      <c r="CB64" s="20" t="e">
        <f t="shared" si="10"/>
        <v>#NUM!</v>
      </c>
      <c r="CC64" s="59" t="e">
        <f t="shared" si="11"/>
        <v>#NUM!</v>
      </c>
      <c r="CD64" s="59">
        <f ca="1">AVERAGE(OFFSET($CC$3,0,0,'Données projet'!$E$12+1,1))-AVERAGE(OFFSET($H$3,0,0,'Données projet'!$E$12+1,1))</f>
        <v>183.99578440773581</v>
      </c>
      <c r="CE64" s="59">
        <f t="shared" si="40"/>
        <v>258.43295338669657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27.383088792984246</v>
      </c>
      <c r="CL64" s="21">
        <f>EXP(-LN(2)/25)*CL63+(1-EXP(-LN(2)/25))/(LN(2)/25)*Calculateur!CG64*Calculateur!CI64*VLOOKUP('Données projet'!$B$12,Paramètres!$A$1:$I$89,3,0)*0.475*44/12</f>
        <v>14.708632492353916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42.09172128533816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45.458399999999934</v>
      </c>
      <c r="D65" s="11">
        <f t="shared" si="32"/>
        <v>13.434451013546127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454.61148150807486</v>
      </c>
      <c r="H65" s="67">
        <f t="shared" si="1"/>
        <v>395.90504884859268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9.2524999999999977</v>
      </c>
      <c r="N65" s="13">
        <f>IF('Données projet'!$A$36&gt;35,N64+M65-V64,IF(A65&lt;'Données projet'!$A$36,$K$205^A65,IF(A65='Données projet'!$A$36,'Données projet'!$B$36,N64+M65-V64)))</f>
        <v>227.95000000000019</v>
      </c>
      <c r="O65" s="13">
        <f>N65*VLOOKUP('Données projet'!$B$9,Paramètres!$A$1:$I$89,3,0)*VLOOKUP('Données projet'!$B$9,Paramètres!$A$1:$I$89,5,0)</f>
        <v>206.24916000000016</v>
      </c>
      <c r="P65" s="13">
        <f t="shared" si="33"/>
        <v>51.115075026737237</v>
      </c>
      <c r="Q65" s="20">
        <f t="shared" si="53"/>
        <v>448.24270933823431</v>
      </c>
      <c r="R65" s="59">
        <f t="shared" si="0"/>
        <v>741.57604267156762</v>
      </c>
      <c r="S65" s="59">
        <f ca="1">AVERAGE(OFFSET($R$3,0,0,'Données projet'!$E$9+1,1))-AVERAGE(OFFSET($H$3,0,0,'Données projet'!$E$9+1,1))</f>
        <v>399.15057697410413</v>
      </c>
      <c r="T65" s="59">
        <f t="shared" si="34"/>
        <v>182.37700638847298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12.727525766293335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12.727525766293335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9.2524999999999977</v>
      </c>
      <c r="AI65" s="13">
        <f>IF('Données projet'!$A$62&gt;35,AI64+AH65-AQ64,IF(A65&lt;'Données projet'!$A$62,$AF$205^A65,IF(A65='Données projet'!$A$62,'Données projet'!$B$62,AI64+AH65-AQ64)))</f>
        <v>227.95000000000019</v>
      </c>
      <c r="AJ65" s="13">
        <f>AI65*VLOOKUP('Données projet'!$B$10,Paramètres!$A$1:$I$89,3,0)*VLOOKUP('Données projet'!$B$10,Paramètres!$A$1:$I$89,5,0)</f>
        <v>231.1413000000002</v>
      </c>
      <c r="AK65" s="13">
        <f t="shared" si="35"/>
        <v>56.529386137528874</v>
      </c>
      <c r="AL65" s="20">
        <f t="shared" si="4"/>
        <v>501.02644502286307</v>
      </c>
      <c r="AM65" s="59">
        <f t="shared" si="5"/>
        <v>794.35977835619633</v>
      </c>
      <c r="AN65" s="59">
        <f ca="1">AVERAGE(OFFSET($AM$3,0,0,'Données projet'!$E$10+1,1))-AVERAGE(OFFSET($H$3,0,0,'Données projet'!$E$10+1,1))</f>
        <v>463.77045964052894</v>
      </c>
      <c r="AO65" s="59">
        <f t="shared" si="36"/>
        <v>209.77146243694483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14.26360646222529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14.26360646222529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9.2524999999999977</v>
      </c>
      <c r="BD65" s="12">
        <f>IF('Données projet'!$A$88&gt;35,BD64+BC65-BL64,IF(A65&lt;'Données projet'!$A$88,$BA$205^A65,IF(A65='Données projet'!$A$88,'Données projet'!$B$88,BD64+BC65-BL64)))</f>
        <v>227.95000000000019</v>
      </c>
      <c r="BE65" s="13">
        <f>BD65*VLOOKUP('Données projet'!$B$11,Paramètres!$A$1:$I$89,3,0)*VLOOKUP('Données projet'!$B$11,Paramètres!$A$1:$I$89,5,0)</f>
        <v>220.4732400000002</v>
      </c>
      <c r="BF65" s="13">
        <f t="shared" si="37"/>
        <v>54.2177292297565</v>
      </c>
      <c r="BG65" s="20">
        <f t="shared" si="7"/>
        <v>478.42010474182621</v>
      </c>
      <c r="BH65" s="59">
        <f t="shared" si="8"/>
        <v>771.75343807515947</v>
      </c>
      <c r="BI65" s="59">
        <f ca="1">AVERAGE(OFFSET($BH$3,0,0,'Données projet'!$E$11+1,1))-AVERAGE(OFFSET($H$3,0,0,'Données projet'!$E$11+1,1))</f>
        <v>436.0942819360734</v>
      </c>
      <c r="BJ65" s="59">
        <f t="shared" si="38"/>
        <v>198.03942180876311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13.605286163968739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13.605286163968739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>
        <f>BY65*VLOOKUP('Données projet'!$B$12,Paramètres!$A$1:$I$89,3,0)*VLOOKUP('Données projet'!$B$12,Paramètres!$A$1:$I$89,5,0)</f>
        <v>0</v>
      </c>
      <c r="CA65" s="13" t="e">
        <f t="shared" si="39"/>
        <v>#NUM!</v>
      </c>
      <c r="CB65" s="20" t="e">
        <f t="shared" si="10"/>
        <v>#NUM!</v>
      </c>
      <c r="CC65" s="59" t="e">
        <f t="shared" si="11"/>
        <v>#NUM!</v>
      </c>
      <c r="CD65" s="59">
        <f ca="1">AVERAGE(OFFSET($CC$3,0,0,'Données projet'!$E$12+1,1))-AVERAGE(OFFSET($H$3,0,0,'Données projet'!$E$12+1,1))</f>
        <v>183.99578440773581</v>
      </c>
      <c r="CE65" s="59">
        <f t="shared" si="40"/>
        <v>258.43295338669657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26.8461231237888</v>
      </c>
      <c r="CL65" s="21">
        <f>EXP(-LN(2)/25)*CL64+(1-EXP(-LN(2)/25))/(LN(2)/25)*Calculateur!CG65*Calculateur!CI65*VLOOKUP('Données projet'!$B$12,Paramètres!$A$1:$I$89,3,0)*0.475*44/12</f>
        <v>14.306424163357132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41.152547287145936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46.19159999999993</v>
      </c>
      <c r="D66" s="11">
        <f t="shared" si="32"/>
        <v>13.625734950806207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461.74784874306488</v>
      </c>
      <c r="H66" s="67">
        <f t="shared" si="1"/>
        <v>397.51519170598732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9.2524999999999977</v>
      </c>
      <c r="N66" s="13">
        <f>IF('Données projet'!$A$36&gt;35,N65+M66-V65,IF(A66&lt;'Données projet'!$A$36,$K$205^A66,IF(A66='Données projet'!$A$36,'Données projet'!$B$36,N65+M66-V65)))</f>
        <v>237.20250000000019</v>
      </c>
      <c r="O66" s="13">
        <f>N66*VLOOKUP('Données projet'!$B$9,Paramètres!$A$1:$I$89,3,0)*VLOOKUP('Données projet'!$B$9,Paramètres!$A$1:$I$89,5,0)</f>
        <v>214.62082200000015</v>
      </c>
      <c r="P66" s="13">
        <f t="shared" si="33"/>
        <v>52.944068896315315</v>
      </c>
      <c r="Q66" s="20">
        <f t="shared" si="53"/>
        <v>466.0088516444161</v>
      </c>
      <c r="R66" s="59">
        <f t="shared" si="0"/>
        <v>759.34218497774941</v>
      </c>
      <c r="S66" s="59">
        <f ca="1">AVERAGE(OFFSET($R$3,0,0,'Données projet'!$E$9+1,1))-AVERAGE(OFFSET($H$3,0,0,'Données projet'!$E$9+1,1))</f>
        <v>399.15057697410413</v>
      </c>
      <c r="T66" s="59">
        <f t="shared" si="34"/>
        <v>182.37700638847298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12.477946749040505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12.477946749040505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9.2524999999999977</v>
      </c>
      <c r="AI66" s="13">
        <f>IF('Données projet'!$A$62&gt;35,AI65+AH66-AQ65,IF(A66&lt;'Données projet'!$A$62,$AF$205^A66,IF(A66='Données projet'!$A$62,'Données projet'!$B$62,AI65+AH66-AQ65)))</f>
        <v>237.20250000000019</v>
      </c>
      <c r="AJ66" s="13">
        <f>AI66*VLOOKUP('Données projet'!$B$10,Paramètres!$A$1:$I$89,3,0)*VLOOKUP('Données projet'!$B$10,Paramètres!$A$1:$I$89,5,0)</f>
        <v>240.52333500000023</v>
      </c>
      <c r="AK66" s="13">
        <f t="shared" si="35"/>
        <v>58.552114278737164</v>
      </c>
      <c r="AL66" s="20">
        <f t="shared" si="4"/>
        <v>520.88974082713423</v>
      </c>
      <c r="AM66" s="59">
        <f t="shared" si="5"/>
        <v>814.2230741604676</v>
      </c>
      <c r="AN66" s="59">
        <f ca="1">AVERAGE(OFFSET($AM$3,0,0,'Données projet'!$E$10+1,1))-AVERAGE(OFFSET($H$3,0,0,'Données projet'!$E$10+1,1))</f>
        <v>463.77045964052894</v>
      </c>
      <c r="AO66" s="59">
        <f t="shared" si="36"/>
        <v>209.77146243694483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13.983905839441947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13.983905839441947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9.2524999999999977</v>
      </c>
      <c r="BD66" s="12">
        <f>IF('Données projet'!$A$88&gt;35,BD65+BC66-BL65,IF(A66&lt;'Données projet'!$A$88,$BA$205^A66,IF(A66='Données projet'!$A$88,'Données projet'!$B$88,BD65+BC66-BL65)))</f>
        <v>237.20250000000019</v>
      </c>
      <c r="BE66" s="13">
        <f>BD66*VLOOKUP('Données projet'!$B$11,Paramètres!$A$1:$I$89,3,0)*VLOOKUP('Données projet'!$B$11,Paramètres!$A$1:$I$89,5,0)</f>
        <v>229.4222580000002</v>
      </c>
      <c r="BF66" s="13">
        <f t="shared" si="37"/>
        <v>56.157741923307334</v>
      </c>
      <c r="BG66" s="20">
        <f t="shared" si="7"/>
        <v>497.38516653309392</v>
      </c>
      <c r="BH66" s="59">
        <f t="shared" si="8"/>
        <v>790.71849986642724</v>
      </c>
      <c r="BI66" s="59">
        <f ca="1">AVERAGE(OFFSET($BH$3,0,0,'Données projet'!$E$11+1,1))-AVERAGE(OFFSET($H$3,0,0,'Données projet'!$E$11+1,1))</f>
        <v>436.0942819360734</v>
      </c>
      <c r="BJ66" s="59">
        <f t="shared" si="38"/>
        <v>198.03942180876311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13.338494800698472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13.338494800698472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>
        <f>BY66*VLOOKUP('Données projet'!$B$12,Paramètres!$A$1:$I$89,3,0)*VLOOKUP('Données projet'!$B$12,Paramètres!$A$1:$I$89,5,0)</f>
        <v>0</v>
      </c>
      <c r="CA66" s="13" t="e">
        <f t="shared" si="39"/>
        <v>#NUM!</v>
      </c>
      <c r="CB66" s="20" t="e">
        <f t="shared" si="10"/>
        <v>#NUM!</v>
      </c>
      <c r="CC66" s="59" t="e">
        <f t="shared" si="11"/>
        <v>#NUM!</v>
      </c>
      <c r="CD66" s="59">
        <f ca="1">AVERAGE(OFFSET($CC$3,0,0,'Données projet'!$E$12+1,1))-AVERAGE(OFFSET($H$3,0,0,'Données projet'!$E$12+1,1))</f>
        <v>183.99578440773581</v>
      </c>
      <c r="CE66" s="59">
        <f t="shared" si="40"/>
        <v>258.43295338669657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26.319687023849557</v>
      </c>
      <c r="CL66" s="21">
        <f>EXP(-LN(2)/25)*CL65+(1-EXP(-LN(2)/25))/(LN(2)/25)*Calculateur!CG66*Calculateur!CI66*VLOOKUP('Données projet'!$B$12,Paramètres!$A$1:$I$89,3,0)*0.475*44/12</f>
        <v>13.915214242267982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40.234901266117539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46.924799999999927</v>
      </c>
      <c r="D67" s="11">
        <f t="shared" si="32"/>
        <v>13.816665778834693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468.88149022258307</v>
      </c>
      <c r="H67" s="67">
        <f t="shared" si="1"/>
        <v>399.12471956480363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9.2524999999999977</v>
      </c>
      <c r="N67" s="13">
        <f>IF('Données projet'!$A$36&gt;35,N66+M67-V66,IF(A67&lt;'Données projet'!$A$36,$K$205^A67,IF(A67='Données projet'!$A$36,'Données projet'!$B$36,N66+M67-V66)))</f>
        <v>246.45500000000018</v>
      </c>
      <c r="O67" s="13">
        <f>N67*VLOOKUP('Données projet'!$B$9,Paramètres!$A$1:$I$89,3,0)*VLOOKUP('Données projet'!$B$9,Paramètres!$A$1:$I$89,5,0)</f>
        <v>222.99248400000016</v>
      </c>
      <c r="P67" s="13">
        <f t="shared" si="33"/>
        <v>54.764775031234961</v>
      </c>
      <c r="Q67" s="20">
        <f t="shared" ref="Q67:Q98" si="54">(O67+P67)*0.475*44/12</f>
        <v>483.76055947940108</v>
      </c>
      <c r="R67" s="59">
        <f t="shared" ref="R67:R130" si="55">Q67+(I67+J67)*44/12</f>
        <v>777.09389281273434</v>
      </c>
      <c r="S67" s="59">
        <f ca="1">AVERAGE(OFFSET($R$3,0,0,'Données projet'!$E$9+1,1))-AVERAGE(OFFSET($H$3,0,0,'Données projet'!$E$9+1,1))</f>
        <v>399.15057697410413</v>
      </c>
      <c r="T67" s="59">
        <f t="shared" si="34"/>
        <v>182.37700638847298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12.233261824087835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12.233261824087835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9.2524999999999977</v>
      </c>
      <c r="AI67" s="13">
        <f>IF('Données projet'!$A$62&gt;35,AI66+AH67-AQ66,IF(A67&lt;'Données projet'!$A$62,$AF$205^A67,IF(A67='Données projet'!$A$62,'Données projet'!$B$62,AI66+AH67-AQ66)))</f>
        <v>246.45500000000018</v>
      </c>
      <c r="AJ67" s="13">
        <f>AI67*VLOOKUP('Données projet'!$B$10,Paramètres!$A$1:$I$89,3,0)*VLOOKUP('Données projet'!$B$10,Paramètres!$A$1:$I$89,5,0)</f>
        <v>249.9053700000002</v>
      </c>
      <c r="AK67" s="13">
        <f t="shared" si="35"/>
        <v>60.565676815620975</v>
      </c>
      <c r="AL67" s="20">
        <f t="shared" si="4"/>
        <v>540.73707320387359</v>
      </c>
      <c r="AM67" s="59">
        <f t="shared" si="5"/>
        <v>834.07040653720696</v>
      </c>
      <c r="AN67" s="59">
        <f ca="1">AVERAGE(OFFSET($AM$3,0,0,'Données projet'!$E$10+1,1))-AVERAGE(OFFSET($H$3,0,0,'Données projet'!$E$10+1,1))</f>
        <v>463.77045964052894</v>
      </c>
      <c r="AO67" s="59">
        <f t="shared" si="36"/>
        <v>209.77146243694483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13.70968997527085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13.70968997527085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9.2524999999999977</v>
      </c>
      <c r="BD67" s="12">
        <f>IF('Données projet'!$A$88&gt;35,BD66+BC67-BL66,IF(A67&lt;'Données projet'!$A$88,$BA$205^A67,IF(A67='Données projet'!$A$88,'Données projet'!$B$88,BD66+BC67-BL66)))</f>
        <v>246.45500000000018</v>
      </c>
      <c r="BE67" s="13">
        <f>BD67*VLOOKUP('Données projet'!$B$11,Paramètres!$A$1:$I$89,3,0)*VLOOKUP('Données projet'!$B$11,Paramètres!$A$1:$I$89,5,0)</f>
        <v>238.37127600000017</v>
      </c>
      <c r="BF67" s="13">
        <f t="shared" si="37"/>
        <v>58.088963821708049</v>
      </c>
      <c r="BG67" s="20">
        <f t="shared" si="7"/>
        <v>516.33491768947522</v>
      </c>
      <c r="BH67" s="59">
        <f t="shared" si="8"/>
        <v>809.66825102280859</v>
      </c>
      <c r="BI67" s="59">
        <f ca="1">AVERAGE(OFFSET($BH$3,0,0,'Données projet'!$E$11+1,1))-AVERAGE(OFFSET($H$3,0,0,'Données projet'!$E$11+1,1))</f>
        <v>436.0942819360734</v>
      </c>
      <c r="BJ67" s="59">
        <f t="shared" si="38"/>
        <v>198.03942180876311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13.076935053335271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13.076935053335271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>
        <f>BY67*VLOOKUP('Données projet'!$B$12,Paramètres!$A$1:$I$89,3,0)*VLOOKUP('Données projet'!$B$12,Paramètres!$A$1:$I$89,5,0)</f>
        <v>0</v>
      </c>
      <c r="CA67" s="13" t="e">
        <f t="shared" si="39"/>
        <v>#NUM!</v>
      </c>
      <c r="CB67" s="20" t="e">
        <f t="shared" si="10"/>
        <v>#NUM!</v>
      </c>
      <c r="CC67" s="59" t="e">
        <f t="shared" si="11"/>
        <v>#NUM!</v>
      </c>
      <c r="CD67" s="59">
        <f ca="1">AVERAGE(OFFSET($CC$3,0,0,'Données projet'!$E$12+1,1))-AVERAGE(OFFSET($H$3,0,0,'Données projet'!$E$12+1,1))</f>
        <v>183.99578440773581</v>
      </c>
      <c r="CE67" s="59">
        <f t="shared" si="40"/>
        <v>258.43295338669657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25.803574014735808</v>
      </c>
      <c r="CL67" s="21">
        <f>EXP(-LN(2)/25)*CL66+(1-EXP(-LN(2)/25))/(LN(2)/25)*Calculateur!CG67*Calculateur!CI67*VLOOKUP('Données projet'!$B$12,Paramètres!$A$1:$I$89,3,0)*0.475*44/12</f>
        <v>13.53470197704385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39.338275991779661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47.657999999999923</v>
      </c>
      <c r="D68" s="11">
        <f t="shared" si="32"/>
        <v>14.007249652087188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476.01245345470755</v>
      </c>
      <c r="H68" s="67">
        <f t="shared" ref="H68:H131" si="56">(B68+E68+F68)*44/12+(C68+D68)*0.475*44/12</f>
        <v>400.73364314405171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9.2524999999999977</v>
      </c>
      <c r="N68" s="13">
        <f>IF('Données projet'!$A$36&gt;35,N67+M68-V67,IF(A68&lt;'Données projet'!$A$36,$K$205^A68,IF(A68='Données projet'!$A$36,'Données projet'!$B$36,N67+M68-V67)))</f>
        <v>255.70750000000018</v>
      </c>
      <c r="O68" s="13">
        <f>N68*VLOOKUP('Données projet'!$B$9,Paramètres!$A$1:$I$89,3,0)*VLOOKUP('Données projet'!$B$9,Paramètres!$A$1:$I$89,5,0)</f>
        <v>231.36414600000015</v>
      </c>
      <c r="P68" s="13">
        <f t="shared" si="33"/>
        <v>56.57754019728695</v>
      </c>
      <c r="Q68" s="20">
        <f t="shared" si="54"/>
        <v>501.49843679360833</v>
      </c>
      <c r="R68" s="59">
        <f t="shared" si="55"/>
        <v>794.83177012694159</v>
      </c>
      <c r="S68" s="59">
        <f ca="1">AVERAGE(OFFSET($R$3,0,0,'Données projet'!$E$9+1,1))-AVERAGE(OFFSET($H$3,0,0,'Données projet'!$E$9+1,1))</f>
        <v>399.15057697410413</v>
      </c>
      <c r="T68" s="59">
        <f t="shared" si="34"/>
        <v>182.37700638847298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11.993375021270419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11.993375021270419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9.2524999999999977</v>
      </c>
      <c r="AI68" s="13">
        <f>IF('Données projet'!$A$62&gt;35,AI67+AH68-AQ67,IF(A68&lt;'Données projet'!$A$62,$AF$205^A68,IF(A68='Données projet'!$A$62,'Données projet'!$B$62,AI67+AH68-AQ67)))</f>
        <v>255.70750000000018</v>
      </c>
      <c r="AJ68" s="13">
        <f>AI68*VLOOKUP('Données projet'!$B$10,Paramètres!$A$1:$I$89,3,0)*VLOOKUP('Données projet'!$B$10,Paramètres!$A$1:$I$89,5,0)</f>
        <v>259.28740500000021</v>
      </c>
      <c r="AK68" s="13">
        <f t="shared" si="35"/>
        <v>62.570457244776364</v>
      </c>
      <c r="AL68" s="20">
        <f t="shared" ref="AL68:AL131" si="58">(AJ68+AK68)*0.475*44/12</f>
        <v>560.56911007631913</v>
      </c>
      <c r="AM68" s="59">
        <f t="shared" ref="AM68:AM131" si="59">AL68+(AD68+AE68)*44/12</f>
        <v>853.90244340965251</v>
      </c>
      <c r="AN68" s="59">
        <f ca="1">AVERAGE(OFFSET($AM$3,0,0,'Données projet'!$E$10+1,1))-AVERAGE(OFFSET($H$3,0,0,'Données projet'!$E$10+1,1))</f>
        <v>463.77045964052894</v>
      </c>
      <c r="AO68" s="59">
        <f t="shared" si="36"/>
        <v>209.77146243694483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13.440851316940986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13.440851316940986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9.2524999999999977</v>
      </c>
      <c r="BD68" s="12">
        <f>IF('Données projet'!$A$88&gt;35,BD67+BC68-BL67,IF(A68&lt;'Données projet'!$A$88,$BA$205^A68,IF(A68='Données projet'!$A$88,'Données projet'!$B$88,BD67+BC68-BL67)))</f>
        <v>255.70750000000018</v>
      </c>
      <c r="BE68" s="13">
        <f>BD68*VLOOKUP('Données projet'!$B$11,Paramètres!$A$1:$I$89,3,0)*VLOOKUP('Données projet'!$B$11,Paramètres!$A$1:$I$89,5,0)</f>
        <v>247.32029400000016</v>
      </c>
      <c r="BF68" s="13">
        <f t="shared" si="37"/>
        <v>60.011762739223698</v>
      </c>
      <c r="BG68" s="20">
        <f t="shared" ref="BG68:BG131" si="61">(BE68+BF68)*0.475*44/12</f>
        <v>535.26999882081486</v>
      </c>
      <c r="BH68" s="59">
        <f t="shared" ref="BH68:BH131" si="62">BG68+(AY68+AZ68)*44/12</f>
        <v>828.60333215414812</v>
      </c>
      <c r="BI68" s="59">
        <f ca="1">AVERAGE(OFFSET($BH$3,0,0,'Données projet'!$E$11+1,1))-AVERAGE(OFFSET($H$3,0,0,'Données projet'!$E$11+1,1))</f>
        <v>436.0942819360734</v>
      </c>
      <c r="BJ68" s="59">
        <f t="shared" si="38"/>
        <v>198.03942180876311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12.82050433308217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12.82050433308217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>
        <f>BY68*VLOOKUP('Données projet'!$B$12,Paramètres!$A$1:$I$89,3,0)*VLOOKUP('Données projet'!$B$12,Paramètres!$A$1:$I$89,5,0)</f>
        <v>0</v>
      </c>
      <c r="CA68" s="13" t="e">
        <f t="shared" si="39"/>
        <v>#NUM!</v>
      </c>
      <c r="CB68" s="20" t="e">
        <f t="shared" ref="CB68:CB131" si="64">(BZ68+CA68)*0.475*44/12</f>
        <v>#NUM!</v>
      </c>
      <c r="CC68" s="59" t="e">
        <f t="shared" ref="CC68:CC131" si="65">CB68+(BT68+BU68)*44/12</f>
        <v>#NUM!</v>
      </c>
      <c r="CD68" s="59">
        <f ca="1">AVERAGE(OFFSET($CC$3,0,0,'Données projet'!$E$12+1,1))-AVERAGE(OFFSET($H$3,0,0,'Données projet'!$E$12+1,1))</f>
        <v>183.99578440773581</v>
      </c>
      <c r="CE68" s="59">
        <f t="shared" si="40"/>
        <v>258.43295338669657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25.297581666932928</v>
      </c>
      <c r="CL68" s="21">
        <f>EXP(-LN(2)/25)*CL67+(1-EXP(-LN(2)/25))/(LN(2)/25)*Calculateur!CG68*Calculateur!CI68*VLOOKUP('Données projet'!$B$12,Paramètres!$A$1:$I$89,3,0)*0.475*44/12</f>
        <v>13.164594839722543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38.462176506655467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48.39119999999992</v>
      </c>
      <c r="D69" s="11">
        <f t="shared" ref="D69:D132" si="86">IFERROR(EXP(-1.0587+0.8836*LN(C69)+0.284),0)</f>
        <v>14.197492524785963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483.14078440185591</v>
      </c>
      <c r="H69" s="67">
        <f t="shared" si="56"/>
        <v>402.34197281400208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>
        <f>VLOOKUP(A69,'Données projet'!$A$35:$I$55,2,0)</f>
        <v>264.95999999999998</v>
      </c>
      <c r="L69" s="12">
        <f>VLOOKUP(A69,'Données projet'!$A$35:$I$55,9,0)</f>
        <v>9.2524999999999977</v>
      </c>
      <c r="M69" s="12">
        <f t="array" ref="M69">INDEX(L:L,MIN(IF(ISNUMBER(L69:L265),ROW(L69:L265),"")))</f>
        <v>9.2524999999999977</v>
      </c>
      <c r="N69" s="13">
        <f>IF('Données projet'!$A$36&gt;35,N68+M69-V68,IF(A69&lt;'Données projet'!$A$36,$K$205^A69,IF(A69='Données projet'!$A$36,'Données projet'!$B$36,N68+M69-V68)))</f>
        <v>264.96000000000015</v>
      </c>
      <c r="O69" s="13">
        <f>N69*VLOOKUP('Données projet'!$B$9,Paramètres!$A$1:$I$89,3,0)*VLOOKUP('Données projet'!$B$9,Paramètres!$A$1:$I$89,5,0)</f>
        <v>239.73580800000011</v>
      </c>
      <c r="P69" s="13">
        <f t="shared" ref="P69:P132" si="87">EXP(-1.0587+0.8836*LN(O69)+0.284)</f>
        <v>58.38268464325516</v>
      </c>
      <c r="Q69" s="20">
        <f t="shared" si="54"/>
        <v>519.22304135366949</v>
      </c>
      <c r="R69" s="59">
        <f t="shared" si="55"/>
        <v>812.55637468700274</v>
      </c>
      <c r="S69" s="59">
        <f ca="1">AVERAGE(OFFSET($R$3,0,0,'Données projet'!$E$9+1,1))-AVERAGE(OFFSET($H$3,0,0,'Données projet'!$E$9+1,1))</f>
        <v>399.15057697410413</v>
      </c>
      <c r="T69" s="59">
        <f t="shared" ref="T69:T132" si="88">$T$3</f>
        <v>182.37700638847298</v>
      </c>
      <c r="U69" s="15">
        <f>IF(ISNA(VLOOKUP(A69,'Données projet'!$A$35:$I$55,3,0)),0,VLOOKUP(A69,'Données projet'!$A$35:$I$55,3,0))</f>
        <v>4</v>
      </c>
      <c r="V69" s="15">
        <f>IF(ISNA(VLOOKUP(A69,'Données projet'!$A$35:$I$55,4,0)),0,VLOOKUP(A69,'Données projet'!$A$35:$I$55,4,0))</f>
        <v>49.91</v>
      </c>
      <c r="W69" s="16">
        <f>IF(ISNA(VLOOKUP(A69,'Données projet'!$A$35:$I$55,5,0)),0%,VLOOKUP(A69,'Données projet'!$A$35:$I$55,5,0)*VLOOKUP('Données projet'!$B$9,Paramètres!$A$1:$I$89,7,0))</f>
        <v>0.25800000000000001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24.637928753319876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24.637928753319876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264.95999999999998</v>
      </c>
      <c r="AG69" s="12">
        <f>VLOOKUP(A69,'Données projet'!$A$61:$I$81,9,0)</f>
        <v>9.2524999999999977</v>
      </c>
      <c r="AH69" s="12">
        <f t="array" ref="AH69">INDEX(AG:AG,MIN(IF(ISNUMBER(AG69:AG265),ROW(AG69:AG265),"")))</f>
        <v>9.2524999999999977</v>
      </c>
      <c r="AI69" s="13">
        <f>IF('Données projet'!$A$62&gt;35,AI68+AH69-AQ68,IF(A69&lt;'Données projet'!$A$62,$AF$205^A69,IF(A69='Données projet'!$A$62,'Données projet'!$B$62,AI68+AH69-AQ68)))</f>
        <v>264.96000000000015</v>
      </c>
      <c r="AJ69" s="13">
        <f>AI69*VLOOKUP('Données projet'!$B$10,Paramètres!$A$1:$I$89,3,0)*VLOOKUP('Données projet'!$B$10,Paramètres!$A$1:$I$89,5,0)</f>
        <v>268.66944000000018</v>
      </c>
      <c r="AK69" s="13">
        <f t="shared" ref="AK69:AK132" si="89">EXP(-1.0587+0.8836*LN(AJ69)+0.284)</f>
        <v>64.566809737006352</v>
      </c>
      <c r="AL69" s="20">
        <f t="shared" si="58"/>
        <v>580.38646829195295</v>
      </c>
      <c r="AM69" s="59">
        <f t="shared" si="59"/>
        <v>873.71980162528621</v>
      </c>
      <c r="AN69" s="59">
        <f ca="1">AVERAGE(OFFSET($AM$3,0,0,'Données projet'!$E$10+1,1))-AVERAGE(OFFSET($H$3,0,0,'Données projet'!$E$10+1,1))</f>
        <v>463.77045964052894</v>
      </c>
      <c r="AO69" s="59">
        <f t="shared" ref="AO69:AO132" si="90">$AO$3</f>
        <v>209.77146243694483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0.25800000000000001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27.611471878720558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27.611471878720558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>
        <f>VLOOKUP(A69,'Données projet'!$A$87:$I$107,2,0)</f>
        <v>264.95999999999998</v>
      </c>
      <c r="BB69" s="12">
        <f>VLOOKUP(A69,'Données projet'!$A$87:$I$107,9,0)</f>
        <v>9.2524999999999977</v>
      </c>
      <c r="BC69" s="12">
        <f t="array" ref="BC69">INDEX(BB:BB,MIN(IF(ISNUMBER(BB69:BB265),ROW(BB69:BB265),"")))</f>
        <v>9.2524999999999977</v>
      </c>
      <c r="BD69" s="12">
        <f>IF('Données projet'!$A$88&gt;35,BD68+BC69-BL68,IF(A69&lt;'Données projet'!$A$88,$BA$205^A69,IF(A69='Données projet'!$A$88,'Données projet'!$B$88,BD68+BC69-BL68)))</f>
        <v>264.96000000000015</v>
      </c>
      <c r="BE69" s="13">
        <f>BD69*VLOOKUP('Données projet'!$B$11,Paramètres!$A$1:$I$89,3,0)*VLOOKUP('Données projet'!$B$11,Paramètres!$A$1:$I$89,5,0)</f>
        <v>256.26931200000018</v>
      </c>
      <c r="BF69" s="13">
        <f t="shared" ref="BF69:BF132" si="91">EXP(-1.0587+0.8836*LN(BE69)+0.284)</f>
        <v>61.926478363546003</v>
      </c>
      <c r="BG69" s="20">
        <f t="shared" si="61"/>
        <v>554.19100154984289</v>
      </c>
      <c r="BH69" s="59">
        <f t="shared" si="62"/>
        <v>847.52433488317615</v>
      </c>
      <c r="BI69" s="59">
        <f ca="1">AVERAGE(OFFSET($BH$3,0,0,'Données projet'!$E$11+1,1))-AVERAGE(OFFSET($H$3,0,0,'Données projet'!$E$11+1,1))</f>
        <v>436.0942819360734</v>
      </c>
      <c r="BJ69" s="59">
        <f t="shared" ref="BJ69:BJ132" si="92">$BJ$3</f>
        <v>198.03942180876311</v>
      </c>
      <c r="BK69" s="15">
        <f>IF(ISNA(VLOOKUP(A69,'Données projet'!$A$87:$I$107,3,0)),0,VLOOKUP(A69,'Données projet'!$A$87:$I$107,3,0))</f>
        <v>4</v>
      </c>
      <c r="BL69" s="15">
        <f>IF(ISNA(VLOOKUP(A69,'Données projet'!$A$87:$I$107,4,0)),0,VLOOKUP(A69,'Données projet'!$A$87:$I$107,4,0))</f>
        <v>49.91</v>
      </c>
      <c r="BM69" s="16">
        <f>IF(ISNA(VLOOKUP(A69,'Données projet'!$A$87:$I$107,5,0)),0%,VLOOKUP(A69,'Données projet'!$A$87:$I$107,5,0)*VLOOKUP('Données projet'!$B$11,Paramètres!$A$1:$I$89,7,0))</f>
        <v>0.25800000000000001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26.337096253548836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26.337096253548836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>
        <f>BY69*VLOOKUP('Données projet'!$B$12,Paramètres!$A$1:$I$89,3,0)*VLOOKUP('Données projet'!$B$12,Paramètres!$A$1:$I$89,5,0)</f>
        <v>0</v>
      </c>
      <c r="CA69" s="13" t="e">
        <f t="shared" ref="CA69:CA132" si="93">EXP(-1.0587+0.8836*LN(BZ69)+0.284)</f>
        <v>#NUM!</v>
      </c>
      <c r="CB69" s="20" t="e">
        <f t="shared" si="64"/>
        <v>#NUM!</v>
      </c>
      <c r="CC69" s="59" t="e">
        <f t="shared" si="65"/>
        <v>#NUM!</v>
      </c>
      <c r="CD69" s="59">
        <f ca="1">AVERAGE(OFFSET($CC$3,0,0,'Données projet'!$E$12+1,1))-AVERAGE(OFFSET($H$3,0,0,'Données projet'!$E$12+1,1))</f>
        <v>183.99578440773581</v>
      </c>
      <c r="CE69" s="59">
        <f t="shared" ref="CE69:CE132" si="94">$CE$3</f>
        <v>258.43295338669657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24.801511520445604</v>
      </c>
      <c r="CL69" s="21">
        <f>EXP(-LN(2)/25)*CL68+(1-EXP(-LN(2)/25))/(LN(2)/25)*Calculateur!CG69*Calculateur!CI69*VLOOKUP('Données projet'!$B$12,Paramètres!$A$1:$I$89,3,0)*0.475*44/12</f>
        <v>12.804608301534376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37.606119821979981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49.124399999999916</v>
      </c>
      <c r="D70" s="11">
        <f t="shared" si="86"/>
        <v>14.387400160367701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490.26652755371492</v>
      </c>
      <c r="H70" s="67">
        <f t="shared" si="56"/>
        <v>403.94971861264025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8.8662500000000044</v>
      </c>
      <c r="N70" s="13">
        <f>IF('Données projet'!$A$36&gt;35,N69+M70-V69,IF(A70&lt;'Données projet'!$A$36,$K$205^A70,IF(A70='Données projet'!$A$36,'Données projet'!$B$36,N69+M70-V69)))</f>
        <v>223.91625000000013</v>
      </c>
      <c r="O70" s="13">
        <f>N70*VLOOKUP('Données projet'!$B$9,Paramètres!$A$1:$I$89,3,0)*VLOOKUP('Données projet'!$B$9,Paramètres!$A$1:$I$89,5,0)</f>
        <v>202.59942300000012</v>
      </c>
      <c r="P70" s="13">
        <f t="shared" si="87"/>
        <v>50.315012169520465</v>
      </c>
      <c r="Q70" s="20">
        <f t="shared" si="54"/>
        <v>440.49264125358167</v>
      </c>
      <c r="R70" s="59">
        <f t="shared" si="55"/>
        <v>733.82597458691498</v>
      </c>
      <c r="S70" s="59">
        <f ca="1">AVERAGE(OFFSET($R$3,0,0,'Données projet'!$E$9+1,1))-AVERAGE(OFFSET($H$3,0,0,'Données projet'!$E$9+1,1))</f>
        <v>399.15057697410413</v>
      </c>
      <c r="T70" s="59">
        <f t="shared" si="88"/>
        <v>182.37700638847298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24.154793998119956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24.154793998119956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8.8662500000000044</v>
      </c>
      <c r="AI70" s="13">
        <f>IF('Données projet'!$A$62&gt;35,AI69+AH70-AQ69,IF(A70&lt;'Données projet'!$A$62,$AF$205^A70,IF(A70='Données projet'!$A$62,'Données projet'!$B$62,AI69+AH70-AQ69)))</f>
        <v>223.91625000000013</v>
      </c>
      <c r="AJ70" s="13">
        <f>AI70*VLOOKUP('Données projet'!$B$10,Paramètres!$A$1:$I$89,3,0)*VLOOKUP('Données projet'!$B$10,Paramètres!$A$1:$I$89,5,0)</f>
        <v>227.05107750000016</v>
      </c>
      <c r="AK70" s="13">
        <f t="shared" si="89"/>
        <v>55.644577455036639</v>
      </c>
      <c r="AL70" s="20">
        <f t="shared" si="58"/>
        <v>492.36159904668904</v>
      </c>
      <c r="AM70" s="59">
        <f t="shared" si="59"/>
        <v>785.69493238002235</v>
      </c>
      <c r="AN70" s="59">
        <f ca="1">AVERAGE(OFFSET($AM$3,0,0,'Données projet'!$E$10+1,1))-AVERAGE(OFFSET($H$3,0,0,'Données projet'!$E$10+1,1))</f>
        <v>463.77045964052894</v>
      </c>
      <c r="AO70" s="59">
        <f t="shared" si="90"/>
        <v>209.77146243694483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27.070027756513749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27.070027756513749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8.8662500000000044</v>
      </c>
      <c r="BD70" s="12">
        <f>IF('Données projet'!$A$88&gt;35,BD69+BC70-BL69,IF(A70&lt;'Données projet'!$A$88,$BA$205^A70,IF(A70='Données projet'!$A$88,'Données projet'!$B$88,BD69+BC70-BL69)))</f>
        <v>223.91625000000013</v>
      </c>
      <c r="BE70" s="13">
        <f>BD70*VLOOKUP('Données projet'!$B$11,Paramètres!$A$1:$I$89,3,0)*VLOOKUP('Données projet'!$B$11,Paramètres!$A$1:$I$89,5,0)</f>
        <v>216.57179700000012</v>
      </c>
      <c r="BF70" s="13">
        <f t="shared" si="91"/>
        <v>53.369103039994094</v>
      </c>
      <c r="BG70" s="20">
        <f t="shared" si="61"/>
        <v>470.14706756965666</v>
      </c>
      <c r="BH70" s="59">
        <f t="shared" si="62"/>
        <v>763.48040090298991</v>
      </c>
      <c r="BI70" s="59">
        <f ca="1">AVERAGE(OFFSET($BH$3,0,0,'Données projet'!$E$11+1,1))-AVERAGE(OFFSET($H$3,0,0,'Données projet'!$E$11+1,1))</f>
        <v>436.0942819360734</v>
      </c>
      <c r="BJ70" s="59">
        <f t="shared" si="92"/>
        <v>198.03942180876311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25.820641860059265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25.820641860059265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>
        <f>BY70*VLOOKUP('Données projet'!$B$12,Paramètres!$A$1:$I$89,3,0)*VLOOKUP('Données projet'!$B$12,Paramètres!$A$1:$I$89,5,0)</f>
        <v>0</v>
      </c>
      <c r="CA70" s="13" t="e">
        <f t="shared" si="93"/>
        <v>#NUM!</v>
      </c>
      <c r="CB70" s="20" t="e">
        <f t="shared" si="64"/>
        <v>#NUM!</v>
      </c>
      <c r="CC70" s="59" t="e">
        <f t="shared" si="65"/>
        <v>#NUM!</v>
      </c>
      <c r="CD70" s="59">
        <f ca="1">AVERAGE(OFFSET($CC$3,0,0,'Données projet'!$E$12+1,1))-AVERAGE(OFFSET($H$3,0,0,'Données projet'!$E$12+1,1))</f>
        <v>183.99578440773581</v>
      </c>
      <c r="CE70" s="59">
        <f t="shared" si="94"/>
        <v>258.43295338669657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24.315169006957984</v>
      </c>
      <c r="CL70" s="21">
        <f>EXP(-LN(2)/25)*CL69+(1-EXP(-LN(2)/25))/(LN(2)/25)*Calculateur!CG70*Calculateur!CI70*VLOOKUP('Données projet'!$B$12,Paramètres!$A$1:$I$89,3,0)*0.475*44/12</f>
        <v>12.454465614163833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36.769634621121817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49.857599999999913</v>
      </c>
      <c r="D71" s="11">
        <f t="shared" si="86"/>
        <v>14.576978140351192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497.38972599569274</v>
      </c>
      <c r="H71" s="67">
        <f t="shared" si="56"/>
        <v>405.5568902611115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8.8662500000000044</v>
      </c>
      <c r="N71" s="13">
        <f>IF('Données projet'!$A$36&gt;35,N70+M71-V70,IF(A71&lt;'Données projet'!$A$36,$K$205^A71,IF(A71='Données projet'!$A$36,'Données projet'!$B$36,N70+M71-V70)))</f>
        <v>232.78250000000014</v>
      </c>
      <c r="O71" s="13">
        <f>N71*VLOOKUP('Données projet'!$B$9,Paramètres!$A$1:$I$89,3,0)*VLOOKUP('Données projet'!$B$9,Paramètres!$A$1:$I$89,5,0)</f>
        <v>210.62160600000013</v>
      </c>
      <c r="P71" s="13">
        <f t="shared" si="87"/>
        <v>52.071398873356536</v>
      </c>
      <c r="Q71" s="20">
        <f t="shared" si="54"/>
        <v>457.5236501544295</v>
      </c>
      <c r="R71" s="59">
        <f t="shared" si="55"/>
        <v>750.85698348776282</v>
      </c>
      <c r="S71" s="59">
        <f ca="1">AVERAGE(OFFSET($R$3,0,0,'Données projet'!$E$9+1,1))-AVERAGE(OFFSET($H$3,0,0,'Données projet'!$E$9+1,1))</f>
        <v>399.15057697410413</v>
      </c>
      <c r="T71" s="59">
        <f t="shared" si="88"/>
        <v>182.37700638847298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23.681133220786403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23.681133220786403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8.8662500000000044</v>
      </c>
      <c r="AI71" s="13">
        <f>IF('Données projet'!$A$62&gt;35,AI70+AH71-AQ70,IF(A71&lt;'Données projet'!$A$62,$AF$205^A71,IF(A71='Données projet'!$A$62,'Données projet'!$B$62,AI70+AH71-AQ70)))</f>
        <v>232.78250000000014</v>
      </c>
      <c r="AJ71" s="13">
        <f>AI71*VLOOKUP('Données projet'!$B$10,Paramètres!$A$1:$I$89,3,0)*VLOOKUP('Données projet'!$B$10,Paramètres!$A$1:$I$89,5,0)</f>
        <v>236.04145500000016</v>
      </c>
      <c r="AK71" s="13">
        <f t="shared" si="89"/>
        <v>57.587007592056594</v>
      </c>
      <c r="AL71" s="20">
        <f t="shared" si="58"/>
        <v>511.40290568116535</v>
      </c>
      <c r="AM71" s="59">
        <f t="shared" si="59"/>
        <v>804.73623901449866</v>
      </c>
      <c r="AN71" s="59">
        <f ca="1">AVERAGE(OFFSET($AM$3,0,0,'Données projet'!$E$10+1,1))-AVERAGE(OFFSET($H$3,0,0,'Données projet'!$E$10+1,1))</f>
        <v>463.77045964052894</v>
      </c>
      <c r="AO71" s="59">
        <f t="shared" si="90"/>
        <v>209.77146243694483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26.53920102329511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26.53920102329511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8.8662500000000044</v>
      </c>
      <c r="BD71" s="12">
        <f>IF('Données projet'!$A$88&gt;35,BD70+BC71-BL70,IF(A71&lt;'Données projet'!$A$88,$BA$205^A71,IF(A71='Données projet'!$A$88,'Données projet'!$B$88,BD70+BC71-BL70)))</f>
        <v>232.78250000000014</v>
      </c>
      <c r="BE71" s="13">
        <f>BD71*VLOOKUP('Données projet'!$B$11,Paramètres!$A$1:$I$89,3,0)*VLOOKUP('Données projet'!$B$11,Paramètres!$A$1:$I$89,5,0)</f>
        <v>225.14723400000014</v>
      </c>
      <c r="BF71" s="13">
        <f t="shared" si="91"/>
        <v>55.232101356665147</v>
      </c>
      <c r="BG71" s="20">
        <f t="shared" si="61"/>
        <v>488.32734241285874</v>
      </c>
      <c r="BH71" s="59">
        <f t="shared" si="62"/>
        <v>781.66067574619206</v>
      </c>
      <c r="BI71" s="59">
        <f ca="1">AVERAGE(OFFSET($BH$3,0,0,'Données projet'!$E$11+1,1))-AVERAGE(OFFSET($H$3,0,0,'Données projet'!$E$11+1,1))</f>
        <v>436.0942819360734</v>
      </c>
      <c r="BJ71" s="59">
        <f t="shared" si="92"/>
        <v>198.03942180876311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25.314314822219949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25.314314822219949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>
        <f>BY71*VLOOKUP('Données projet'!$B$12,Paramètres!$A$1:$I$89,3,0)*VLOOKUP('Données projet'!$B$12,Paramètres!$A$1:$I$89,5,0)</f>
        <v>0</v>
      </c>
      <c r="CA71" s="13" t="e">
        <f t="shared" si="93"/>
        <v>#NUM!</v>
      </c>
      <c r="CB71" s="20" t="e">
        <f t="shared" si="64"/>
        <v>#NUM!</v>
      </c>
      <c r="CC71" s="59" t="e">
        <f t="shared" si="65"/>
        <v>#NUM!</v>
      </c>
      <c r="CD71" s="59">
        <f ca="1">AVERAGE(OFFSET($CC$3,0,0,'Données projet'!$E$12+1,1))-AVERAGE(OFFSET($H$3,0,0,'Données projet'!$E$12+1,1))</f>
        <v>183.99578440773581</v>
      </c>
      <c r="CE71" s="59">
        <f t="shared" si="94"/>
        <v>258.43295338669657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23.838363373520213</v>
      </c>
      <c r="CL71" s="21">
        <f>EXP(-LN(2)/25)*CL70+(1-EXP(-LN(2)/25))/(LN(2)/25)*Calculateur!CG71*Calculateur!CI71*VLOOKUP('Données projet'!$B$12,Paramètres!$A$1:$I$89,3,0)*0.475*44/12</f>
        <v>12.113897596992642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35.952260970512853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50.590799999999909</v>
      </c>
      <c r="D72" s="11">
        <f t="shared" si="86"/>
        <v>14.766231872668596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504.51042147323056</v>
      </c>
      <c r="H72" s="67">
        <f t="shared" si="56"/>
        <v>407.16349717823095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8.8662500000000044</v>
      </c>
      <c r="N72" s="13">
        <f>IF('Données projet'!$A$36&gt;35,N71+M72-V71,IF(A72&lt;'Données projet'!$A$36,$K$205^A72,IF(A72='Données projet'!$A$36,'Données projet'!$B$36,N71+M72-V71)))</f>
        <v>241.64875000000015</v>
      </c>
      <c r="O72" s="13">
        <f>N72*VLOOKUP('Données projet'!$B$9,Paramètres!$A$1:$I$89,3,0)*VLOOKUP('Données projet'!$B$9,Paramètres!$A$1:$I$89,5,0)</f>
        <v>218.64378900000014</v>
      </c>
      <c r="P72" s="13">
        <f t="shared" si="87"/>
        <v>53.820013961218514</v>
      </c>
      <c r="Q72" s="20">
        <f t="shared" si="54"/>
        <v>474.54112349078923</v>
      </c>
      <c r="R72" s="59">
        <f t="shared" si="55"/>
        <v>767.87445682412249</v>
      </c>
      <c r="S72" s="59">
        <f ca="1">AVERAGE(OFFSET($R$3,0,0,'Données projet'!$E$9+1,1))-AVERAGE(OFFSET($H$3,0,0,'Données projet'!$E$9+1,1))</f>
        <v>399.15057697410413</v>
      </c>
      <c r="T72" s="59">
        <f t="shared" si="88"/>
        <v>182.37700638847298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23.216760642391815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23.216760642391815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8.8662500000000044</v>
      </c>
      <c r="AI72" s="13">
        <f>IF('Données projet'!$A$62&gt;35,AI71+AH72-AQ71,IF(A72&lt;'Données projet'!$A$62,$AF$205^A72,IF(A72='Données projet'!$A$62,'Données projet'!$B$62,AI71+AH72-AQ71)))</f>
        <v>241.64875000000015</v>
      </c>
      <c r="AJ72" s="13">
        <f>AI72*VLOOKUP('Données projet'!$B$10,Paramètres!$A$1:$I$89,3,0)*VLOOKUP('Données projet'!$B$10,Paramètres!$A$1:$I$89,5,0)</f>
        <v>245.03183250000018</v>
      </c>
      <c r="AK72" s="13">
        <f t="shared" si="89"/>
        <v>59.520842912770703</v>
      </c>
      <c r="AL72" s="20">
        <f t="shared" si="58"/>
        <v>530.42924301057599</v>
      </c>
      <c r="AM72" s="59">
        <f t="shared" si="59"/>
        <v>823.76257634390936</v>
      </c>
      <c r="AN72" s="59">
        <f ca="1">AVERAGE(OFFSET($AM$3,0,0,'Données projet'!$E$10+1,1))-AVERAGE(OFFSET($H$3,0,0,'Données projet'!$E$10+1,1))</f>
        <v>463.77045964052894</v>
      </c>
      <c r="AO72" s="59">
        <f t="shared" si="90"/>
        <v>209.77146243694483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26.018783478542552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26.018783478542552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8.8662500000000044</v>
      </c>
      <c r="BD72" s="12">
        <f>IF('Données projet'!$A$88&gt;35,BD71+BC72-BL71,IF(A72&lt;'Données projet'!$A$88,$BA$205^A72,IF(A72='Données projet'!$A$88,'Données projet'!$B$88,BD71+BC72-BL71)))</f>
        <v>241.64875000000015</v>
      </c>
      <c r="BE72" s="13">
        <f>BD72*VLOOKUP('Données projet'!$B$11,Paramètres!$A$1:$I$89,3,0)*VLOOKUP('Données projet'!$B$11,Paramètres!$A$1:$I$89,5,0)</f>
        <v>233.72267100000013</v>
      </c>
      <c r="BF72" s="13">
        <f t="shared" si="91"/>
        <v>57.086856324963186</v>
      </c>
      <c r="BG72" s="20">
        <f t="shared" si="61"/>
        <v>506.49326009097769</v>
      </c>
      <c r="BH72" s="59">
        <f t="shared" si="62"/>
        <v>799.826593424311</v>
      </c>
      <c r="BI72" s="59">
        <f ca="1">AVERAGE(OFFSET($BH$3,0,0,'Données projet'!$E$11+1,1))-AVERAGE(OFFSET($H$3,0,0,'Données projet'!$E$11+1,1))</f>
        <v>436.0942819360734</v>
      </c>
      <c r="BJ72" s="59">
        <f t="shared" si="92"/>
        <v>198.03942180876311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24.817916548763662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24.817916548763662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>
        <f>BY72*VLOOKUP('Données projet'!$B$12,Paramètres!$A$1:$I$89,3,0)*VLOOKUP('Données projet'!$B$12,Paramètres!$A$1:$I$89,5,0)</f>
        <v>0</v>
      </c>
      <c r="CA72" s="13" t="e">
        <f t="shared" si="93"/>
        <v>#NUM!</v>
      </c>
      <c r="CB72" s="20" t="e">
        <f t="shared" si="64"/>
        <v>#NUM!</v>
      </c>
      <c r="CC72" s="59" t="e">
        <f t="shared" si="65"/>
        <v>#NUM!</v>
      </c>
      <c r="CD72" s="59">
        <f ca="1">AVERAGE(OFFSET($CC$3,0,0,'Données projet'!$E$12+1,1))-AVERAGE(OFFSET($H$3,0,0,'Données projet'!$E$12+1,1))</f>
        <v>183.99578440773581</v>
      </c>
      <c r="CE72" s="59">
        <f t="shared" si="94"/>
        <v>258.43295338669657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23.370907607731436</v>
      </c>
      <c r="CL72" s="21">
        <f>EXP(-LN(2)/25)*CL71+(1-EXP(-LN(2)/25))/(LN(2)/25)*Calculateur!CG72*Calculateur!CI72*VLOOKUP('Données projet'!$B$12,Paramètres!$A$1:$I$89,3,0)*0.475*44/12</f>
        <v>11.78264243016069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35.153550037892124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51.323999999999906</v>
      </c>
      <c r="D73" s="11">
        <f t="shared" si="86"/>
        <v>14.955166599500004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511.62865445228005</v>
      </c>
      <c r="H73" s="67">
        <f t="shared" si="56"/>
        <v>408.76954849412897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8.8662500000000044</v>
      </c>
      <c r="N73" s="13">
        <f>IF('Données projet'!$A$36&gt;35,N72+M73-V72,IF(A73&lt;'Données projet'!$A$36,$K$205^A73,IF(A73='Données projet'!$A$36,'Données projet'!$B$36,N72+M73-V72)))</f>
        <v>250.51500000000016</v>
      </c>
      <c r="O73" s="13">
        <f>N73*VLOOKUP('Données projet'!$B$9,Paramètres!$A$1:$I$89,3,0)*VLOOKUP('Données projet'!$B$9,Paramètres!$A$1:$I$89,5,0)</f>
        <v>226.66597200000012</v>
      </c>
      <c r="P73" s="13">
        <f t="shared" si="87"/>
        <v>55.561175235972904</v>
      </c>
      <c r="Q73" s="20">
        <f t="shared" si="54"/>
        <v>491.54561476931968</v>
      </c>
      <c r="R73" s="59">
        <f t="shared" si="55"/>
        <v>784.878948102653</v>
      </c>
      <c r="S73" s="59">
        <f ca="1">AVERAGE(OFFSET($R$3,0,0,'Données projet'!$E$9+1,1))-AVERAGE(OFFSET($H$3,0,0,'Données projet'!$E$9+1,1))</f>
        <v>399.15057697410413</v>
      </c>
      <c r="T73" s="59">
        <f t="shared" si="88"/>
        <v>182.37700638847298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22.761494127020239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22.761494127020239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8.8662500000000044</v>
      </c>
      <c r="AI73" s="13">
        <f>IF('Données projet'!$A$62&gt;35,AI72+AH73-AQ72,IF(A73&lt;'Données projet'!$A$62,$AF$205^A73,IF(A73='Données projet'!$A$62,'Données projet'!$B$62,AI72+AH73-AQ72)))</f>
        <v>250.51500000000016</v>
      </c>
      <c r="AJ73" s="13">
        <f>AI73*VLOOKUP('Données projet'!$B$10,Paramètres!$A$1:$I$89,3,0)*VLOOKUP('Données projet'!$B$10,Paramètres!$A$1:$I$89,5,0)</f>
        <v>254.02221000000017</v>
      </c>
      <c r="AK73" s="13">
        <f t="shared" si="89"/>
        <v>61.446434882983361</v>
      </c>
      <c r="AL73" s="20">
        <f t="shared" si="58"/>
        <v>549.44122317119627</v>
      </c>
      <c r="AM73" s="59">
        <f t="shared" si="59"/>
        <v>842.77455650452953</v>
      </c>
      <c r="AN73" s="59">
        <f ca="1">AVERAGE(OFFSET($AM$3,0,0,'Données projet'!$E$10+1,1))-AVERAGE(OFFSET($H$3,0,0,'Données projet'!$E$10+1,1))</f>
        <v>463.77045964052894</v>
      </c>
      <c r="AO73" s="59">
        <f t="shared" si="90"/>
        <v>209.77146243694483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25.508571004419235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25.508571004419235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8.8662500000000044</v>
      </c>
      <c r="BD73" s="12">
        <f>IF('Données projet'!$A$88&gt;35,BD72+BC73-BL72,IF(A73&lt;'Données projet'!$A$88,$BA$205^A73,IF(A73='Données projet'!$A$88,'Données projet'!$B$88,BD72+BC73-BL72)))</f>
        <v>250.51500000000016</v>
      </c>
      <c r="BE73" s="13">
        <f>BD73*VLOOKUP('Données projet'!$B$11,Paramètres!$A$1:$I$89,3,0)*VLOOKUP('Données projet'!$B$11,Paramètres!$A$1:$I$89,5,0)</f>
        <v>242.29810800000013</v>
      </c>
      <c r="BF73" s="13">
        <f t="shared" si="91"/>
        <v>58.933705038196834</v>
      </c>
      <c r="BG73" s="20">
        <f t="shared" si="61"/>
        <v>524.64540770819303</v>
      </c>
      <c r="BH73" s="59">
        <f t="shared" si="62"/>
        <v>817.97874104152629</v>
      </c>
      <c r="BI73" s="59">
        <f ca="1">AVERAGE(OFFSET($BH$3,0,0,'Données projet'!$E$11+1,1))-AVERAGE(OFFSET($H$3,0,0,'Données projet'!$E$11+1,1))</f>
        <v>436.0942819360734</v>
      </c>
      <c r="BJ73" s="59">
        <f t="shared" si="92"/>
        <v>198.03942180876311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24.331252342676805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24.331252342676805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>
        <f>BY73*VLOOKUP('Données projet'!$B$12,Paramètres!$A$1:$I$89,3,0)*VLOOKUP('Données projet'!$B$12,Paramètres!$A$1:$I$89,5,0)</f>
        <v>0</v>
      </c>
      <c r="CA73" s="13" t="e">
        <f t="shared" si="93"/>
        <v>#NUM!</v>
      </c>
      <c r="CB73" s="20" t="e">
        <f t="shared" si="64"/>
        <v>#NUM!</v>
      </c>
      <c r="CC73" s="59" t="e">
        <f t="shared" si="65"/>
        <v>#NUM!</v>
      </c>
      <c r="CD73" s="59">
        <f ca="1">AVERAGE(OFFSET($CC$3,0,0,'Données projet'!$E$12+1,1))-AVERAGE(OFFSET($H$3,0,0,'Données projet'!$E$12+1,1))</f>
        <v>183.99578440773581</v>
      </c>
      <c r="CE73" s="59">
        <f t="shared" si="94"/>
        <v>258.43295338669657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22.912618364389914</v>
      </c>
      <c r="CL73" s="21">
        <f>EXP(-LN(2)/25)*CL72+(1-EXP(-LN(2)/25))/(LN(2)/25)*Calculateur!CG73*Calculateur!CI73*VLOOKUP('Données projet'!$B$12,Paramètres!$A$1:$I$89,3,0)*0.475*44/12</f>
        <v>11.460445453285711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34.373063817675629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52.057199999999902</v>
      </c>
      <c r="D74" s="11">
        <f t="shared" si="86"/>
        <v>15.14378740464756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518.74446417622607</v>
      </c>
      <c r="H74" s="67">
        <f t="shared" si="56"/>
        <v>410.3750530630943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8.8662500000000044</v>
      </c>
      <c r="N74" s="13">
        <f>IF('Données projet'!$A$36&gt;35,N73+M74-V73,IF(A74&lt;'Données projet'!$A$36,$K$205^A74,IF(A74='Données projet'!$A$36,'Données projet'!$B$36,N73+M74-V73)))</f>
        <v>259.38125000000014</v>
      </c>
      <c r="O74" s="13">
        <f>N74*VLOOKUP('Données projet'!$B$9,Paramètres!$A$1:$I$89,3,0)*VLOOKUP('Données projet'!$B$9,Paramètres!$A$1:$I$89,5,0)</f>
        <v>234.68815500000011</v>
      </c>
      <c r="P74" s="13">
        <f t="shared" si="87"/>
        <v>57.295176729679312</v>
      </c>
      <c r="Q74" s="20">
        <f t="shared" si="54"/>
        <v>508.53763609585832</v>
      </c>
      <c r="R74" s="59">
        <f t="shared" si="55"/>
        <v>801.87096942919163</v>
      </c>
      <c r="S74" s="59">
        <f ca="1">AVERAGE(OFFSET($R$3,0,0,'Données projet'!$E$9+1,1))-AVERAGE(OFFSET($H$3,0,0,'Données projet'!$E$9+1,1))</f>
        <v>399.15057697410413</v>
      </c>
      <c r="T74" s="59">
        <f t="shared" si="88"/>
        <v>182.37700638847298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22.315155110329943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22.315155110329943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8.8662500000000044</v>
      </c>
      <c r="AI74" s="13">
        <f>IF('Données projet'!$A$62&gt;35,AI73+AH74-AQ73,IF(A74&lt;'Données projet'!$A$62,$AF$205^A74,IF(A74='Données projet'!$A$62,'Données projet'!$B$62,AI73+AH74-AQ73)))</f>
        <v>259.38125000000014</v>
      </c>
      <c r="AJ74" s="13">
        <f>AI74*VLOOKUP('Données projet'!$B$10,Paramètres!$A$1:$I$89,3,0)*VLOOKUP('Données projet'!$B$10,Paramètres!$A$1:$I$89,5,0)</f>
        <v>263.01258750000017</v>
      </c>
      <c r="AK74" s="13">
        <f t="shared" si="89"/>
        <v>63.364108679793951</v>
      </c>
      <c r="AL74" s="20">
        <f t="shared" si="58"/>
        <v>568.43941251314141</v>
      </c>
      <c r="AM74" s="59">
        <f t="shared" si="59"/>
        <v>861.77274584647466</v>
      </c>
      <c r="AN74" s="59">
        <f ca="1">AVERAGE(OFFSET($AM$3,0,0,'Données projet'!$E$10+1,1))-AVERAGE(OFFSET($H$3,0,0,'Données projet'!$E$10+1,1))</f>
        <v>463.77045964052894</v>
      </c>
      <c r="AO74" s="59">
        <f t="shared" si="90"/>
        <v>209.77146243694483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25.008363485714593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25.008363485714593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8.8662500000000044</v>
      </c>
      <c r="BD74" s="12">
        <f>IF('Données projet'!$A$88&gt;35,BD73+BC74-BL73,IF(A74&lt;'Données projet'!$A$88,$BA$205^A74,IF(A74='Données projet'!$A$88,'Données projet'!$B$88,BD73+BC74-BL73)))</f>
        <v>259.38125000000014</v>
      </c>
      <c r="BE74" s="13">
        <f>BD74*VLOOKUP('Données projet'!$B$11,Paramètres!$A$1:$I$89,3,0)*VLOOKUP('Données projet'!$B$11,Paramètres!$A$1:$I$89,5,0)</f>
        <v>250.87354500000012</v>
      </c>
      <c r="BF74" s="13">
        <f t="shared" si="91"/>
        <v>60.772959375994262</v>
      </c>
      <c r="BG74" s="20">
        <f t="shared" si="61"/>
        <v>542.78432845485679</v>
      </c>
      <c r="BH74" s="59">
        <f t="shared" si="62"/>
        <v>836.11766178819016</v>
      </c>
      <c r="BI74" s="59">
        <f ca="1">AVERAGE(OFFSET($BH$3,0,0,'Données projet'!$E$11+1,1))-AVERAGE(OFFSET($H$3,0,0,'Données projet'!$E$11+1,1))</f>
        <v>436.0942819360734</v>
      </c>
      <c r="BJ74" s="59">
        <f t="shared" si="92"/>
        <v>198.03942180876311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23.854131324835453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23.854131324835453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>
        <f>BY74*VLOOKUP('Données projet'!$B$12,Paramètres!$A$1:$I$89,3,0)*VLOOKUP('Données projet'!$B$12,Paramètres!$A$1:$I$89,5,0)</f>
        <v>0</v>
      </c>
      <c r="CA74" s="13" t="e">
        <f t="shared" si="93"/>
        <v>#NUM!</v>
      </c>
      <c r="CB74" s="20" t="e">
        <f t="shared" si="64"/>
        <v>#NUM!</v>
      </c>
      <c r="CC74" s="59" t="e">
        <f t="shared" si="65"/>
        <v>#NUM!</v>
      </c>
      <c r="CD74" s="59">
        <f ca="1">AVERAGE(OFFSET($CC$3,0,0,'Données projet'!$E$12+1,1))-AVERAGE(OFFSET($H$3,0,0,'Données projet'!$E$12+1,1))</f>
        <v>183.99578440773581</v>
      </c>
      <c r="CE74" s="59">
        <f t="shared" si="94"/>
        <v>258.43295338669657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22.463315893581481</v>
      </c>
      <c r="CL74" s="21">
        <f>EXP(-LN(2)/25)*CL73+(1-EXP(-LN(2)/25))/(LN(2)/25)*Calculateur!CG74*Calculateur!CI74*VLOOKUP('Données projet'!$B$12,Paramètres!$A$1:$I$89,3,0)*0.475*44/12</f>
        <v>11.147058969686981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33.610374863268461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52.790399999999899</v>
      </c>
      <c r="D75" s="11">
        <f t="shared" si="86"/>
        <v>15.332099220482363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525.85788871951229</v>
      </c>
      <c r="H75" s="67">
        <f t="shared" si="56"/>
        <v>411.98001947567326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8.8662500000000044</v>
      </c>
      <c r="N75" s="13">
        <f>IF('Données projet'!$A$36&gt;35,N74+M75-V74,IF(A75&lt;'Données projet'!$A$36,$K$205^A75,IF(A75='Données projet'!$A$36,'Données projet'!$B$36,N74+M75-V74)))</f>
        <v>268.24750000000012</v>
      </c>
      <c r="O75" s="13">
        <f>N75*VLOOKUP('Données projet'!$B$9,Paramètres!$A$1:$I$89,3,0)*VLOOKUP('Données projet'!$B$9,Paramètres!$A$1:$I$89,5,0)</f>
        <v>242.71033800000009</v>
      </c>
      <c r="P75" s="13">
        <f t="shared" si="87"/>
        <v>59.022291232778812</v>
      </c>
      <c r="Q75" s="20">
        <f t="shared" si="54"/>
        <v>525.51766258042323</v>
      </c>
      <c r="R75" s="59">
        <f t="shared" si="55"/>
        <v>818.85099591375661</v>
      </c>
      <c r="S75" s="59">
        <f ca="1">AVERAGE(OFFSET($R$3,0,0,'Données projet'!$E$9+1,1))-AVERAGE(OFFSET($H$3,0,0,'Données projet'!$E$9+1,1))</f>
        <v>399.15057697410413</v>
      </c>
      <c r="T75" s="59">
        <f t="shared" si="88"/>
        <v>182.37700638847298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21.877568529517024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21.877568529517024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8.8662500000000044</v>
      </c>
      <c r="AI75" s="13">
        <f>IF('Données projet'!$A$62&gt;35,AI74+AH75-AQ74,IF(A75&lt;'Données projet'!$A$62,$AF$205^A75,IF(A75='Données projet'!$A$62,'Données projet'!$B$62,AI74+AH75-AQ74)))</f>
        <v>268.24750000000012</v>
      </c>
      <c r="AJ75" s="13">
        <f>AI75*VLOOKUP('Données projet'!$B$10,Paramètres!$A$1:$I$89,3,0)*VLOOKUP('Données projet'!$B$10,Paramètres!$A$1:$I$89,5,0)</f>
        <v>272.00296500000013</v>
      </c>
      <c r="AK75" s="13">
        <f t="shared" si="89"/>
        <v>65.274165988687102</v>
      </c>
      <c r="AL75" s="20">
        <f t="shared" si="58"/>
        <v>587.42433647196356</v>
      </c>
      <c r="AM75" s="59">
        <f t="shared" si="59"/>
        <v>880.75766980529693</v>
      </c>
      <c r="AN75" s="59">
        <f ca="1">AVERAGE(OFFSET($AM$3,0,0,'Données projet'!$E$10+1,1))-AVERAGE(OFFSET($H$3,0,0,'Données projet'!$E$10+1,1))</f>
        <v>463.77045964052894</v>
      </c>
      <c r="AO75" s="59">
        <f t="shared" si="90"/>
        <v>209.77146243694483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24.517964731355288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24.517964731355288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8.8662500000000044</v>
      </c>
      <c r="BD75" s="12">
        <f>IF('Données projet'!$A$88&gt;35,BD74+BC75-BL74,IF(A75&lt;'Données projet'!$A$88,$BA$205^A75,IF(A75='Données projet'!$A$88,'Données projet'!$B$88,BD74+BC75-BL74)))</f>
        <v>268.24750000000012</v>
      </c>
      <c r="BE75" s="13">
        <f>BD75*VLOOKUP('Données projet'!$B$11,Paramètres!$A$1:$I$89,3,0)*VLOOKUP('Données projet'!$B$11,Paramètres!$A$1:$I$89,5,0)</f>
        <v>259.44898200000011</v>
      </c>
      <c r="BF75" s="13">
        <f t="shared" si="91"/>
        <v>62.604908687011665</v>
      </c>
      <c r="BG75" s="20">
        <f t="shared" si="61"/>
        <v>560.91052627987881</v>
      </c>
      <c r="BH75" s="59">
        <f t="shared" si="62"/>
        <v>854.24385961321218</v>
      </c>
      <c r="BI75" s="59">
        <f ca="1">AVERAGE(OFFSET($BH$3,0,0,'Données projet'!$E$11+1,1))-AVERAGE(OFFSET($H$3,0,0,'Données projet'!$E$11+1,1))</f>
        <v>436.0942819360734</v>
      </c>
      <c r="BJ75" s="59">
        <f t="shared" si="92"/>
        <v>198.03942180876311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23.386366359138886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23.386366359138886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>
        <f>BY75*VLOOKUP('Données projet'!$B$12,Paramètres!$A$1:$I$89,3,0)*VLOOKUP('Données projet'!$B$12,Paramètres!$A$1:$I$89,5,0)</f>
        <v>0</v>
      </c>
      <c r="CA75" s="13" t="e">
        <f t="shared" si="93"/>
        <v>#NUM!</v>
      </c>
      <c r="CB75" s="20" t="e">
        <f t="shared" si="64"/>
        <v>#NUM!</v>
      </c>
      <c r="CC75" s="59" t="e">
        <f t="shared" si="65"/>
        <v>#NUM!</v>
      </c>
      <c r="CD75" s="59">
        <f ca="1">AVERAGE(OFFSET($CC$3,0,0,'Données projet'!$E$12+1,1))-AVERAGE(OFFSET($H$3,0,0,'Données projet'!$E$12+1,1))</f>
        <v>183.99578440773581</v>
      </c>
      <c r="CE75" s="59">
        <f t="shared" si="94"/>
        <v>258.43295338669657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22.022823970178155</v>
      </c>
      <c r="CL75" s="21">
        <f>EXP(-LN(2)/25)*CL74+(1-EXP(-LN(2)/25))/(LN(2)/25)*Calculateur!CG75*Calculateur!CI75*VLOOKUP('Données projet'!$B$12,Paramètres!$A$1:$I$89,3,0)*0.475*44/12</f>
        <v>10.842242055962537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32.865066026140695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53.523599999999895</v>
      </c>
      <c r="D76" s="11">
        <f t="shared" si="86"/>
        <v>15.520106834494458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532.9689650382021</v>
      </c>
      <c r="H76" s="67">
        <f t="shared" si="56"/>
        <v>413.58445607007764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8.8662500000000044</v>
      </c>
      <c r="N76" s="13">
        <f>IF('Données projet'!$A$36&gt;35,N75+M76-V75,IF(A76&lt;'Données projet'!$A$36,$K$205^A76,IF(A76='Données projet'!$A$36,'Données projet'!$B$36,N75+M76-V75)))</f>
        <v>277.1137500000001</v>
      </c>
      <c r="O76" s="13">
        <f>N76*VLOOKUP('Données projet'!$B$9,Paramètres!$A$1:$I$89,3,0)*VLOOKUP('Données projet'!$B$9,Paramètres!$A$1:$I$89,5,0)</f>
        <v>250.73252100000005</v>
      </c>
      <c r="P76" s="13">
        <f t="shared" si="87"/>
        <v>60.74277247950485</v>
      </c>
      <c r="Q76" s="20">
        <f t="shared" si="54"/>
        <v>542.48613614347107</v>
      </c>
      <c r="R76" s="59">
        <f t="shared" si="55"/>
        <v>835.81946947680444</v>
      </c>
      <c r="S76" s="59">
        <f ca="1">AVERAGE(OFFSET($R$3,0,0,'Données projet'!$E$9+1,1))-AVERAGE(OFFSET($H$3,0,0,'Données projet'!$E$9+1,1))</f>
        <v>399.15057697410413</v>
      </c>
      <c r="T76" s="59">
        <f t="shared" si="88"/>
        <v>182.37700638847298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21.448562754652389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21.448562754652389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8.8662500000000044</v>
      </c>
      <c r="AI76" s="13">
        <f>IF('Données projet'!$A$62&gt;35,AI75+AH76-AQ75,IF(A76&lt;'Données projet'!$A$62,$AF$205^A76,IF(A76='Données projet'!$A$62,'Données projet'!$B$62,AI75+AH76-AQ75)))</f>
        <v>277.1137500000001</v>
      </c>
      <c r="AJ76" s="13">
        <f>AI76*VLOOKUP('Données projet'!$B$10,Paramètres!$A$1:$I$89,3,0)*VLOOKUP('Données projet'!$B$10,Paramètres!$A$1:$I$89,5,0)</f>
        <v>280.9933425000001</v>
      </c>
      <c r="AK76" s="13">
        <f t="shared" si="89"/>
        <v>67.176887420430603</v>
      </c>
      <c r="AL76" s="20">
        <f t="shared" si="58"/>
        <v>606.39648377808339</v>
      </c>
      <c r="AM76" s="59">
        <f t="shared" si="59"/>
        <v>899.72981711141665</v>
      </c>
      <c r="AN76" s="59">
        <f ca="1">AVERAGE(OFFSET($AM$3,0,0,'Données projet'!$E$10+1,1))-AVERAGE(OFFSET($H$3,0,0,'Données projet'!$E$10+1,1))</f>
        <v>463.77045964052894</v>
      </c>
      <c r="AO76" s="59">
        <f t="shared" si="90"/>
        <v>209.77146243694483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24.037182397455265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24.037182397455265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8.8662500000000044</v>
      </c>
      <c r="BD76" s="12">
        <f>IF('Données projet'!$A$88&gt;35,BD75+BC76-BL75,IF(A76&lt;'Données projet'!$A$88,$BA$205^A76,IF(A76='Données projet'!$A$88,'Données projet'!$B$88,BD75+BC76-BL75)))</f>
        <v>277.1137500000001</v>
      </c>
      <c r="BE76" s="13">
        <f>BD76*VLOOKUP('Données projet'!$B$11,Paramètres!$A$1:$I$89,3,0)*VLOOKUP('Données projet'!$B$11,Paramètres!$A$1:$I$89,5,0)</f>
        <v>268.02441900000014</v>
      </c>
      <c r="BF76" s="13">
        <f t="shared" si="91"/>
        <v>64.429822106997378</v>
      </c>
      <c r="BG76" s="20">
        <f t="shared" si="61"/>
        <v>579.02446992802072</v>
      </c>
      <c r="BH76" s="59">
        <f t="shared" si="62"/>
        <v>872.35780326135409</v>
      </c>
      <c r="BI76" s="59">
        <f ca="1">AVERAGE(OFFSET($BH$3,0,0,'Données projet'!$E$11+1,1))-AVERAGE(OFFSET($H$3,0,0,'Données projet'!$E$11+1,1))</f>
        <v>436.0942819360734</v>
      </c>
      <c r="BJ76" s="59">
        <f t="shared" si="92"/>
        <v>198.03942180876311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22.927773979111173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22.927773979111173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>
        <f>BY76*VLOOKUP('Données projet'!$B$12,Paramètres!$A$1:$I$89,3,0)*VLOOKUP('Données projet'!$B$12,Paramètres!$A$1:$I$89,5,0)</f>
        <v>0</v>
      </c>
      <c r="CA76" s="13" t="e">
        <f t="shared" si="93"/>
        <v>#NUM!</v>
      </c>
      <c r="CB76" s="20" t="e">
        <f t="shared" si="64"/>
        <v>#NUM!</v>
      </c>
      <c r="CC76" s="59" t="e">
        <f t="shared" si="65"/>
        <v>#NUM!</v>
      </c>
      <c r="CD76" s="59">
        <f ca="1">AVERAGE(OFFSET($CC$3,0,0,'Données projet'!$E$12+1,1))-AVERAGE(OFFSET($H$3,0,0,'Données projet'!$E$12+1,1))</f>
        <v>183.99578440773581</v>
      </c>
      <c r="CE76" s="59">
        <f t="shared" si="94"/>
        <v>258.43295338669657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21.590969824719224</v>
      </c>
      <c r="CL76" s="21">
        <f>EXP(-LN(2)/25)*CL75+(1-EXP(-LN(2)/25))/(LN(2)/25)*Calculateur!CG76*Calculateur!CI76*VLOOKUP('Données projet'!$B$12,Paramètres!$A$1:$I$89,3,0)*0.475*44/12</f>
        <v>10.545760376773512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32.136730201492739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54.256799999999892</v>
      </c>
      <c r="D77" s="11">
        <f t="shared" si="86"/>
        <v>15.707814895473696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540.07772901769079</v>
      </c>
      <c r="H77" s="67">
        <f t="shared" si="56"/>
        <v>415.1883709429498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>
        <f>VLOOKUP(A77,'Données projet'!$A$35:$I$55,2,0)</f>
        <v>285.98</v>
      </c>
      <c r="L77" s="12">
        <f>VLOOKUP(A77,'Données projet'!$A$35:$I$55,9,0)</f>
        <v>8.8662500000000044</v>
      </c>
      <c r="M77" s="12">
        <f t="array" ref="M77">INDEX(L:L,MIN(IF(ISNUMBER(L77:L273),ROW(L77:L273),"")))</f>
        <v>8.8662500000000044</v>
      </c>
      <c r="N77" s="13">
        <f>IF('Données projet'!$A$36&gt;35,N76+M77-V76,IF(A77&lt;'Données projet'!$A$36,$K$205^A77,IF(A77='Données projet'!$A$36,'Données projet'!$B$36,N76+M77-V76)))</f>
        <v>285.98000000000008</v>
      </c>
      <c r="O77" s="13">
        <f>N77*VLOOKUP('Données projet'!$B$9,Paramètres!$A$1:$I$89,3,0)*VLOOKUP('Données projet'!$B$9,Paramètres!$A$1:$I$89,5,0)</f>
        <v>258.75470400000006</v>
      </c>
      <c r="P77" s="13">
        <f t="shared" si="87"/>
        <v>62.456857045748947</v>
      </c>
      <c r="Q77" s="20">
        <f t="shared" si="54"/>
        <v>559.4434688213463</v>
      </c>
      <c r="R77" s="59">
        <f t="shared" si="55"/>
        <v>852.77680215467967</v>
      </c>
      <c r="S77" s="59">
        <f ca="1">AVERAGE(OFFSET($R$3,0,0,'Données projet'!$E$9+1,1))-AVERAGE(OFFSET($H$3,0,0,'Données projet'!$E$9+1,1))</f>
        <v>399.15057697410413</v>
      </c>
      <c r="T77" s="59">
        <f t="shared" si="88"/>
        <v>182.37700638847298</v>
      </c>
      <c r="U77" s="15">
        <f>IF(ISNA(VLOOKUP(A77,'Données projet'!$A$35:$I$55,3,0)),0,VLOOKUP(A77,'Données projet'!$A$35:$I$55,3,0))</f>
        <v>5</v>
      </c>
      <c r="V77" s="15">
        <f>IF(ISNA(VLOOKUP(A77,'Données projet'!$A$35:$I$55,4,0)),0,VLOOKUP(A77,'Données projet'!$A$35:$I$55,4,0))</f>
        <v>47.4</v>
      </c>
      <c r="W77" s="16">
        <f>IF(ISNA(VLOOKUP(A77,'Données projet'!$A$35:$I$55,5,0)),0%,VLOOKUP(A77,'Données projet'!$A$35:$I$55,5,0)*VLOOKUP('Données projet'!$B$9,Paramètres!$A$1:$I$89,7,0))</f>
        <v>0.25800000000000001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33.259977338364926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33.259977338364926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285.98</v>
      </c>
      <c r="AG77" s="12">
        <f>VLOOKUP(A77,'Données projet'!$A$61:$I$81,9,0)</f>
        <v>8.8662500000000044</v>
      </c>
      <c r="AH77" s="12">
        <f t="array" ref="AH77">INDEX(AG:AG,MIN(IF(ISNUMBER(AG77:AG273),ROW(AG77:AG273),"")))</f>
        <v>8.8662500000000044</v>
      </c>
      <c r="AI77" s="13">
        <f>IF('Données projet'!$A$62&gt;35,AI76+AH77-AQ76,IF(A77&lt;'Données projet'!$A$62,$AF$205^A77,IF(A77='Données projet'!$A$62,'Données projet'!$B$62,AI76+AH77-AQ76)))</f>
        <v>285.98000000000008</v>
      </c>
      <c r="AJ77" s="13">
        <f>AI77*VLOOKUP('Données projet'!$B$10,Paramètres!$A$1:$I$89,3,0)*VLOOKUP('Données projet'!$B$10,Paramètres!$A$1:$I$89,5,0)</f>
        <v>289.98372000000012</v>
      </c>
      <c r="AK77" s="13">
        <f t="shared" si="89"/>
        <v>69.072534609971271</v>
      </c>
      <c r="AL77" s="20">
        <f t="shared" si="58"/>
        <v>625.35631011236683</v>
      </c>
      <c r="AM77" s="59">
        <f t="shared" si="59"/>
        <v>918.68964344570009</v>
      </c>
      <c r="AN77" s="59">
        <f ca="1">AVERAGE(OFFSET($AM$3,0,0,'Données projet'!$E$10+1,1))-AVERAGE(OFFSET($H$3,0,0,'Données projet'!$E$10+1,1))</f>
        <v>463.77045964052894</v>
      </c>
      <c r="AO77" s="59">
        <f t="shared" si="90"/>
        <v>209.77146243694483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0.25800000000000001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37.274112534374488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37.274112534374488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>
        <f>VLOOKUP(A77,'Données projet'!$A$87:$I$107,2,0)</f>
        <v>285.98</v>
      </c>
      <c r="BB77" s="12">
        <f>VLOOKUP(A77,'Données projet'!$A$87:$I$107,9,0)</f>
        <v>8.8662500000000044</v>
      </c>
      <c r="BC77" s="12">
        <f t="array" ref="BC77">INDEX(BB:BB,MIN(IF(ISNUMBER(BB77:BB273),ROW(BB77:BB273),"")))</f>
        <v>8.8662500000000044</v>
      </c>
      <c r="BD77" s="12">
        <f>IF('Données projet'!$A$88&gt;35,BD76+BC77-BL76,IF(A77&lt;'Données projet'!$A$88,$BA$205^A77,IF(A77='Données projet'!$A$88,'Données projet'!$B$88,BD76+BC77-BL76)))</f>
        <v>285.98000000000008</v>
      </c>
      <c r="BE77" s="13">
        <f>BD77*VLOOKUP('Données projet'!$B$11,Paramètres!$A$1:$I$89,3,0)*VLOOKUP('Données projet'!$B$11,Paramètres!$A$1:$I$89,5,0)</f>
        <v>276.59985600000005</v>
      </c>
      <c r="BF77" s="13">
        <f t="shared" si="91"/>
        <v>66.247950571856578</v>
      </c>
      <c r="BG77" s="20">
        <f t="shared" si="61"/>
        <v>597.12659644598352</v>
      </c>
      <c r="BH77" s="59">
        <f t="shared" si="62"/>
        <v>890.45992977931678</v>
      </c>
      <c r="BI77" s="59">
        <f ca="1">AVERAGE(OFFSET($BH$3,0,0,'Données projet'!$E$11+1,1))-AVERAGE(OFFSET($H$3,0,0,'Données projet'!$E$11+1,1))</f>
        <v>436.0942819360734</v>
      </c>
      <c r="BJ77" s="59">
        <f t="shared" si="92"/>
        <v>198.03942180876311</v>
      </c>
      <c r="BK77" s="15">
        <f>IF(ISNA(VLOOKUP(A77,'Données projet'!$A$87:$I$107,3,0)),0,VLOOKUP(A77,'Données projet'!$A$87:$I$107,3,0))</f>
        <v>5</v>
      </c>
      <c r="BL77" s="15">
        <f>IF(ISNA(VLOOKUP(A77,'Données projet'!$A$87:$I$107,4,0)),0,VLOOKUP(A77,'Données projet'!$A$87:$I$107,4,0))</f>
        <v>47.4</v>
      </c>
      <c r="BM77" s="16">
        <f>IF(ISNA(VLOOKUP(A77,'Données projet'!$A$87:$I$107,5,0)),0%,VLOOKUP(A77,'Données projet'!$A$87:$I$107,5,0)*VLOOKUP('Données projet'!$B$11,Paramètres!$A$1:$I$89,7,0))</f>
        <v>0.25800000000000001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35.553768878941817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35.553768878941817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>
        <f>BY77*VLOOKUP('Données projet'!$B$12,Paramètres!$A$1:$I$89,3,0)*VLOOKUP('Données projet'!$B$12,Paramètres!$A$1:$I$89,5,0)</f>
        <v>0</v>
      </c>
      <c r="CA77" s="13" t="e">
        <f t="shared" si="93"/>
        <v>#NUM!</v>
      </c>
      <c r="CB77" s="20" t="e">
        <f t="shared" si="64"/>
        <v>#NUM!</v>
      </c>
      <c r="CC77" s="59" t="e">
        <f t="shared" si="65"/>
        <v>#NUM!</v>
      </c>
      <c r="CD77" s="59">
        <f ca="1">AVERAGE(OFFSET($CC$3,0,0,'Données projet'!$E$12+1,1))-AVERAGE(OFFSET($H$3,0,0,'Données projet'!$E$12+1,1))</f>
        <v>183.99578440773581</v>
      </c>
      <c r="CE77" s="59">
        <f t="shared" si="94"/>
        <v>258.43295338669657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21.167584075647724</v>
      </c>
      <c r="CL77" s="21">
        <f>EXP(-LN(2)/25)*CL76+(1-EXP(-LN(2)/25))/(LN(2)/25)*Calculateur!CG77*Calculateur!CI77*VLOOKUP('Données projet'!$B$12,Paramètres!$A$1:$I$89,3,0)*0.475*44/12</f>
        <v>10.257386004693204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31.424970080340927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54.989999999999888</v>
      </c>
      <c r="D78" s="11">
        <f t="shared" si="86"/>
        <v>15.895227919346986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547.18421551776544</v>
      </c>
      <c r="H78" s="67">
        <f t="shared" si="56"/>
        <v>416.79177195952911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8.6770000000000014</v>
      </c>
      <c r="N78" s="13">
        <f>IF('Données projet'!$A$36&gt;35,N77+M78-V77,IF(A78&lt;'Données projet'!$A$36,$K$205^A78,IF(A78='Données projet'!$A$36,'Données projet'!$B$36,N77+M78-V77)))</f>
        <v>247.25700000000009</v>
      </c>
      <c r="O78" s="13">
        <f>N78*VLOOKUP('Données projet'!$B$9,Paramètres!$A$1:$I$89,3,0)*VLOOKUP('Données projet'!$B$9,Paramètres!$A$1:$I$89,5,0)</f>
        <v>223.71813360000007</v>
      </c>
      <c r="P78" s="13">
        <f t="shared" si="87"/>
        <v>54.92221376571495</v>
      </c>
      <c r="Q78" s="20">
        <f t="shared" si="54"/>
        <v>485.29860499528695</v>
      </c>
      <c r="R78" s="59">
        <f t="shared" si="55"/>
        <v>778.63193832862021</v>
      </c>
      <c r="S78" s="59">
        <f ca="1">AVERAGE(OFFSET($R$3,0,0,'Données projet'!$E$9+1,1))-AVERAGE(OFFSET($H$3,0,0,'Données projet'!$E$9+1,1))</f>
        <v>399.15057697410413</v>
      </c>
      <c r="T78" s="59">
        <f t="shared" si="88"/>
        <v>182.37700638847298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32.607769469342635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32.607769469342635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8.6770000000000014</v>
      </c>
      <c r="AI78" s="13">
        <f>IF('Données projet'!$A$62&gt;35,AI77+AH78-AQ77,IF(A78&lt;'Données projet'!$A$62,$AF$205^A78,IF(A78='Données projet'!$A$62,'Données projet'!$B$62,AI77+AH78-AQ77)))</f>
        <v>247.25700000000009</v>
      </c>
      <c r="AJ78" s="13">
        <f>AI78*VLOOKUP('Données projet'!$B$10,Paramètres!$A$1:$I$89,3,0)*VLOOKUP('Données projet'!$B$10,Paramètres!$A$1:$I$89,5,0)</f>
        <v>250.7185980000001</v>
      </c>
      <c r="AK78" s="13">
        <f t="shared" si="89"/>
        <v>60.739792084155006</v>
      </c>
      <c r="AL78" s="20">
        <f t="shared" si="58"/>
        <v>542.45669606323679</v>
      </c>
      <c r="AM78" s="59">
        <f t="shared" si="59"/>
        <v>835.79002939657016</v>
      </c>
      <c r="AN78" s="59">
        <f ca="1">AVERAGE(OFFSET($AM$3,0,0,'Données projet'!$E$10+1,1))-AVERAGE(OFFSET($H$3,0,0,'Données projet'!$E$10+1,1))</f>
        <v>463.77045964052894</v>
      </c>
      <c r="AO78" s="59">
        <f t="shared" si="90"/>
        <v>209.77146243694483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36.543189922539156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36.543189922539156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8.6770000000000014</v>
      </c>
      <c r="BD78" s="12">
        <f>IF('Données projet'!$A$88&gt;35,BD77+BC78-BL77,IF(A78&lt;'Données projet'!$A$88,$BA$205^A78,IF(A78='Données projet'!$A$88,'Données projet'!$B$88,BD77+BC78-BL77)))</f>
        <v>247.25700000000009</v>
      </c>
      <c r="BE78" s="13">
        <f>BD78*VLOOKUP('Données projet'!$B$11,Paramètres!$A$1:$I$89,3,0)*VLOOKUP('Données projet'!$B$11,Paramètres!$A$1:$I$89,5,0)</f>
        <v>239.1469704000001</v>
      </c>
      <c r="BF78" s="13">
        <f t="shared" si="91"/>
        <v>58.255958992346976</v>
      </c>
      <c r="BG78" s="20">
        <f t="shared" si="61"/>
        <v>517.97676869167117</v>
      </c>
      <c r="BH78" s="59">
        <f t="shared" si="62"/>
        <v>811.31010202500443</v>
      </c>
      <c r="BI78" s="59">
        <f ca="1">AVERAGE(OFFSET($BH$3,0,0,'Données projet'!$E$11+1,1))-AVERAGE(OFFSET($H$3,0,0,'Données projet'!$E$11+1,1))</f>
        <v>436.0942819360734</v>
      </c>
      <c r="BJ78" s="59">
        <f t="shared" si="92"/>
        <v>198.03942180876311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34.8565811568835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34.8565811568835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>
        <f>BY78*VLOOKUP('Données projet'!$B$12,Paramètres!$A$1:$I$89,3,0)*VLOOKUP('Données projet'!$B$12,Paramètres!$A$1:$I$89,5,0)</f>
        <v>0</v>
      </c>
      <c r="CA78" s="13" t="e">
        <f t="shared" si="93"/>
        <v>#NUM!</v>
      </c>
      <c r="CB78" s="20" t="e">
        <f t="shared" si="64"/>
        <v>#NUM!</v>
      </c>
      <c r="CC78" s="59" t="e">
        <f t="shared" si="65"/>
        <v>#NUM!</v>
      </c>
      <c r="CD78" s="59">
        <f ca="1">AVERAGE(OFFSET($CC$3,0,0,'Données projet'!$E$12+1,1))-AVERAGE(OFFSET($H$3,0,0,'Données projet'!$E$12+1,1))</f>
        <v>183.99578440773581</v>
      </c>
      <c r="CE78" s="59">
        <f t="shared" si="94"/>
        <v>258.43295338669657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20.752500662875708</v>
      </c>
      <c r="CL78" s="21">
        <f>EXP(-LN(2)/25)*CL77+(1-EXP(-LN(2)/25))/(LN(2)/25)*Calculateur!CG78*Calculateur!CI78*VLOOKUP('Données projet'!$B$12,Paramètres!$A$1:$I$89,3,0)*0.475*44/12</f>
        <v>9.9768972449823821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30.72939790785809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55.723199999999885</v>
      </c>
      <c r="D79" s="11">
        <f t="shared" si="86"/>
        <v>16.08235029469542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554.28845841519194</v>
      </c>
      <c r="H79" s="67">
        <f t="shared" si="56"/>
        <v>418.394666763261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8.6770000000000014</v>
      </c>
      <c r="N79" s="13">
        <f>IF('Données projet'!$A$36&gt;35,N78+M79-V78,IF(A79&lt;'Données projet'!$A$36,$K$205^A79,IF(A79='Données projet'!$A$36,'Données projet'!$B$36,N78+M79-V78)))</f>
        <v>255.93400000000008</v>
      </c>
      <c r="O79" s="13">
        <f>N79*VLOOKUP('Données projet'!$B$9,Paramètres!$A$1:$I$89,3,0)*VLOOKUP('Données projet'!$B$9,Paramètres!$A$1:$I$89,5,0)</f>
        <v>231.56908320000005</v>
      </c>
      <c r="P79" s="13">
        <f t="shared" si="87"/>
        <v>56.621819638037671</v>
      </c>
      <c r="Q79" s="20">
        <f t="shared" si="54"/>
        <v>501.93248910958238</v>
      </c>
      <c r="R79" s="59">
        <f t="shared" si="55"/>
        <v>795.26582244291569</v>
      </c>
      <c r="S79" s="59">
        <f ca="1">AVERAGE(OFFSET($R$3,0,0,'Données projet'!$E$9+1,1))-AVERAGE(OFFSET($H$3,0,0,'Données projet'!$E$9+1,1))</f>
        <v>399.15057697410413</v>
      </c>
      <c r="T79" s="59">
        <f t="shared" si="88"/>
        <v>182.37700638847298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31.968350998824349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31.968350998824349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8.6770000000000014</v>
      </c>
      <c r="AI79" s="13">
        <f>IF('Données projet'!$A$62&gt;35,AI78+AH79-AQ78,IF(A79&lt;'Données projet'!$A$62,$AF$205^A79,IF(A79='Données projet'!$A$62,'Données projet'!$B$62,AI78+AH79-AQ78)))</f>
        <v>255.93400000000008</v>
      </c>
      <c r="AJ79" s="13">
        <f>AI79*VLOOKUP('Données projet'!$B$10,Paramètres!$A$1:$I$89,3,0)*VLOOKUP('Données projet'!$B$10,Paramètres!$A$1:$I$89,5,0)</f>
        <v>259.51707600000009</v>
      </c>
      <c r="AK79" s="13">
        <f t="shared" si="89"/>
        <v>62.619426939193161</v>
      </c>
      <c r="AL79" s="20">
        <f t="shared" si="58"/>
        <v>561.05440928576149</v>
      </c>
      <c r="AM79" s="59">
        <f t="shared" si="59"/>
        <v>854.38774261909475</v>
      </c>
      <c r="AN79" s="59">
        <f ca="1">AVERAGE(OFFSET($AM$3,0,0,'Données projet'!$E$10+1,1))-AVERAGE(OFFSET($H$3,0,0,'Données projet'!$E$10+1,1))</f>
        <v>463.77045964052894</v>
      </c>
      <c r="AO79" s="59">
        <f t="shared" si="90"/>
        <v>209.77146243694483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35.826600257303149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35.826600257303149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8.6770000000000014</v>
      </c>
      <c r="BD79" s="12">
        <f>IF('Données projet'!$A$88&gt;35,BD78+BC79-BL78,IF(A79&lt;'Données projet'!$A$88,$BA$205^A79,IF(A79='Données projet'!$A$88,'Données projet'!$B$88,BD78+BC79-BL78)))</f>
        <v>255.93400000000008</v>
      </c>
      <c r="BE79" s="13">
        <f>BD79*VLOOKUP('Données projet'!$B$11,Paramètres!$A$1:$I$89,3,0)*VLOOKUP('Données projet'!$B$11,Paramètres!$A$1:$I$89,5,0)</f>
        <v>247.5393648000001</v>
      </c>
      <c r="BF79" s="13">
        <f t="shared" si="91"/>
        <v>60.058729915302607</v>
      </c>
      <c r="BG79" s="20">
        <f t="shared" si="61"/>
        <v>535.73334829581881</v>
      </c>
      <c r="BH79" s="59">
        <f t="shared" si="62"/>
        <v>829.06668162915207</v>
      </c>
      <c r="BI79" s="59">
        <f ca="1">AVERAGE(OFFSET($BH$3,0,0,'Données projet'!$E$11+1,1))-AVERAGE(OFFSET($H$3,0,0,'Données projet'!$E$11+1,1))</f>
        <v>436.0942819360734</v>
      </c>
      <c r="BJ79" s="59">
        <f t="shared" si="92"/>
        <v>198.03942180876311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34.173064860812232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34.173064860812232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>
        <f>BY79*VLOOKUP('Données projet'!$B$12,Paramètres!$A$1:$I$89,3,0)*VLOOKUP('Données projet'!$B$12,Paramètres!$A$1:$I$89,5,0)</f>
        <v>0</v>
      </c>
      <c r="CA79" s="13" t="e">
        <f t="shared" si="93"/>
        <v>#NUM!</v>
      </c>
      <c r="CB79" s="20" t="e">
        <f t="shared" si="64"/>
        <v>#NUM!</v>
      </c>
      <c r="CC79" s="59" t="e">
        <f t="shared" si="65"/>
        <v>#NUM!</v>
      </c>
      <c r="CD79" s="59">
        <f ca="1">AVERAGE(OFFSET($CC$3,0,0,'Données projet'!$E$12+1,1))-AVERAGE(OFFSET($H$3,0,0,'Données projet'!$E$12+1,1))</f>
        <v>183.99578440773581</v>
      </c>
      <c r="CE79" s="59">
        <f t="shared" si="94"/>
        <v>258.43295338669657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20.345556782652267</v>
      </c>
      <c r="CL79" s="21">
        <f>EXP(-LN(2)/25)*CL78+(1-EXP(-LN(2)/25))/(LN(2)/25)*Calculateur!CG79*Calculateur!CI79*VLOOKUP('Données projet'!$B$12,Paramètres!$A$1:$I$89,3,0)*0.475*44/12</f>
        <v>9.7040784651561154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30.049635247808382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56.456399999999881</v>
      </c>
      <c r="D80" s="11">
        <f t="shared" si="86"/>
        <v>16.269186287972673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561.39049064399876</v>
      </c>
      <c r="H80" s="67">
        <f t="shared" si="56"/>
        <v>419.99706278488549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8.6770000000000014</v>
      </c>
      <c r="N80" s="13">
        <f>IF('Données projet'!$A$36&gt;35,N79+M80-V79,IF(A80&lt;'Données projet'!$A$36,$K$205^A80,IF(A80='Données projet'!$A$36,'Données projet'!$B$36,N79+M80-V79)))</f>
        <v>264.6110000000001</v>
      </c>
      <c r="O80" s="13">
        <f>N80*VLOOKUP('Données projet'!$B$9,Paramètres!$A$1:$I$89,3,0)*VLOOKUP('Données projet'!$B$9,Paramètres!$A$1:$I$89,5,0)</f>
        <v>239.42003280000009</v>
      </c>
      <c r="P80" s="13">
        <f t="shared" si="87"/>
        <v>58.314730148380967</v>
      </c>
      <c r="Q80" s="20">
        <f t="shared" si="54"/>
        <v>518.55471213509702</v>
      </c>
      <c r="R80" s="59">
        <f t="shared" si="55"/>
        <v>811.88804546843039</v>
      </c>
      <c r="S80" s="59">
        <f ca="1">AVERAGE(OFFSET($R$3,0,0,'Données projet'!$E$9+1,1))-AVERAGE(OFFSET($H$3,0,0,'Données projet'!$E$9+1,1))</f>
        <v>399.15057697410413</v>
      </c>
      <c r="T80" s="59">
        <f t="shared" si="88"/>
        <v>182.37700638847298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31.341471134506168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31.341471134506168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8.6770000000000014</v>
      </c>
      <c r="AI80" s="13">
        <f>IF('Données projet'!$A$62&gt;35,AI79+AH80-AQ79,IF(A80&lt;'Données projet'!$A$62,$AF$205^A80,IF(A80='Données projet'!$A$62,'Données projet'!$B$62,AI79+AH80-AQ79)))</f>
        <v>264.6110000000001</v>
      </c>
      <c r="AJ80" s="13">
        <f>AI80*VLOOKUP('Données projet'!$B$10,Paramètres!$A$1:$I$89,3,0)*VLOOKUP('Données projet'!$B$10,Paramètres!$A$1:$I$89,5,0)</f>
        <v>268.31555400000013</v>
      </c>
      <c r="AK80" s="13">
        <f t="shared" si="89"/>
        <v>64.491657233004062</v>
      </c>
      <c r="AL80" s="20">
        <f t="shared" si="58"/>
        <v>579.63922623081567</v>
      </c>
      <c r="AM80" s="59">
        <f t="shared" si="59"/>
        <v>872.97255956414892</v>
      </c>
      <c r="AN80" s="59">
        <f ca="1">AVERAGE(OFFSET($AM$3,0,0,'Données projet'!$E$10+1,1))-AVERAGE(OFFSET($H$3,0,0,'Données projet'!$E$10+1,1))</f>
        <v>463.77045964052894</v>
      </c>
      <c r="AO80" s="59">
        <f t="shared" si="90"/>
        <v>209.77146243694483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35.124062478325875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35.124062478325875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8.6770000000000014</v>
      </c>
      <c r="BD80" s="12">
        <f>IF('Données projet'!$A$88&gt;35,BD79+BC80-BL79,IF(A80&lt;'Données projet'!$A$88,$BA$205^A80,IF(A80='Données projet'!$A$88,'Données projet'!$B$88,BD79+BC80-BL79)))</f>
        <v>264.6110000000001</v>
      </c>
      <c r="BE80" s="13">
        <f>BD80*VLOOKUP('Données projet'!$B$11,Paramètres!$A$1:$I$89,3,0)*VLOOKUP('Données projet'!$B$11,Paramètres!$A$1:$I$89,5,0)</f>
        <v>255.9317592000001</v>
      </c>
      <c r="BF80" s="13">
        <f t="shared" si="91"/>
        <v>61.854399071847673</v>
      </c>
      <c r="BG80" s="20">
        <f t="shared" si="61"/>
        <v>553.47755899013487</v>
      </c>
      <c r="BH80" s="59">
        <f t="shared" si="62"/>
        <v>846.81089232346812</v>
      </c>
      <c r="BI80" s="59">
        <f ca="1">AVERAGE(OFFSET($BH$3,0,0,'Données projet'!$E$11+1,1))-AVERAGE(OFFSET($H$3,0,0,'Données projet'!$E$11+1,1))</f>
        <v>436.0942819360734</v>
      </c>
      <c r="BJ80" s="59">
        <f t="shared" si="92"/>
        <v>198.03942180876311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33.50295190240314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33.50295190240314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>
        <f>BY80*VLOOKUP('Données projet'!$B$12,Paramètres!$A$1:$I$89,3,0)*VLOOKUP('Données projet'!$B$12,Paramètres!$A$1:$I$89,5,0)</f>
        <v>0</v>
      </c>
      <c r="CA80" s="13" t="e">
        <f t="shared" si="93"/>
        <v>#NUM!</v>
      </c>
      <c r="CB80" s="20" t="e">
        <f t="shared" si="64"/>
        <v>#NUM!</v>
      </c>
      <c r="CC80" s="59" t="e">
        <f t="shared" si="65"/>
        <v>#NUM!</v>
      </c>
      <c r="CD80" s="59">
        <f ca="1">AVERAGE(OFFSET($CC$3,0,0,'Données projet'!$E$12+1,1))-AVERAGE(OFFSET($H$3,0,0,'Données projet'!$E$12+1,1))</f>
        <v>183.99578440773581</v>
      </c>
      <c r="CE80" s="59">
        <f t="shared" si="94"/>
        <v>258.43295338669657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19.946592823708752</v>
      </c>
      <c r="CL80" s="21">
        <f>EXP(-LN(2)/25)*CL79+(1-EXP(-LN(2)/25))/(LN(2)/25)*Calculateur!CG80*Calculateur!CI80*VLOOKUP('Données projet'!$B$12,Paramètres!$A$1:$I$89,3,0)*0.475*44/12</f>
        <v>9.4387199292111141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29.385312752919866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57.189599999999878</v>
      </c>
      <c r="D81" s="11">
        <f t="shared" si="86"/>
        <v>16.455740048444692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568.49034423360729</v>
      </c>
      <c r="H81" s="67">
        <f t="shared" si="56"/>
        <v>421.5989672510409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8.6770000000000014</v>
      </c>
      <c r="N81" s="13">
        <f>IF('Données projet'!$A$36&gt;35,N80+M81-V80,IF(A81&lt;'Données projet'!$A$36,$K$205^A81,IF(A81='Données projet'!$A$36,'Données projet'!$B$36,N80+M81-V80)))</f>
        <v>273.28800000000012</v>
      </c>
      <c r="O81" s="13">
        <f>N81*VLOOKUP('Données projet'!$B$9,Paramètres!$A$1:$I$89,3,0)*VLOOKUP('Données projet'!$B$9,Paramètres!$A$1:$I$89,5,0)</f>
        <v>247.27098240000012</v>
      </c>
      <c r="P81" s="13">
        <f t="shared" si="87"/>
        <v>60.001190025553029</v>
      </c>
      <c r="Q81" s="20">
        <f t="shared" si="54"/>
        <v>535.16570030783839</v>
      </c>
      <c r="R81" s="59">
        <f t="shared" si="55"/>
        <v>828.49903364117176</v>
      </c>
      <c r="S81" s="59">
        <f ca="1">AVERAGE(OFFSET($R$3,0,0,'Données projet'!$E$9+1,1))-AVERAGE(OFFSET($H$3,0,0,'Données projet'!$E$9+1,1))</f>
        <v>399.15057697410413</v>
      </c>
      <c r="T81" s="59">
        <f t="shared" si="88"/>
        <v>182.37700638847298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30.726884001968305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30.726884001968305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8.6770000000000014</v>
      </c>
      <c r="AI81" s="13">
        <f>IF('Données projet'!$A$62&gt;35,AI80+AH81-AQ80,IF(A81&lt;'Données projet'!$A$62,$AF$205^A81,IF(A81='Données projet'!$A$62,'Données projet'!$B$62,AI80+AH81-AQ80)))</f>
        <v>273.28800000000012</v>
      </c>
      <c r="AJ81" s="13">
        <f>AI81*VLOOKUP('Données projet'!$B$10,Paramètres!$A$1:$I$89,3,0)*VLOOKUP('Données projet'!$B$10,Paramètres!$A$1:$I$89,5,0)</f>
        <v>277.11403200000018</v>
      </c>
      <c r="AK81" s="13">
        <f t="shared" si="89"/>
        <v>66.356753617040368</v>
      </c>
      <c r="AL81" s="20">
        <f t="shared" si="58"/>
        <v>598.21161828301217</v>
      </c>
      <c r="AM81" s="59">
        <f t="shared" si="59"/>
        <v>891.54495161634554</v>
      </c>
      <c r="AN81" s="59">
        <f ca="1">AVERAGE(OFFSET($AM$3,0,0,'Données projet'!$E$10+1,1))-AVERAGE(OFFSET($H$3,0,0,'Données projet'!$E$10+1,1))</f>
        <v>463.77045964052894</v>
      </c>
      <c r="AO81" s="59">
        <f t="shared" si="90"/>
        <v>209.77146243694483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34.435301036688614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34.435301036688614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8.6770000000000014</v>
      </c>
      <c r="BD81" s="12">
        <f>IF('Données projet'!$A$88&gt;35,BD80+BC81-BL80,IF(A81&lt;'Données projet'!$A$88,$BA$205^A81,IF(A81='Données projet'!$A$88,'Données projet'!$B$88,BD80+BC81-BL80)))</f>
        <v>273.28800000000012</v>
      </c>
      <c r="BE81" s="13">
        <f>BD81*VLOOKUP('Données projet'!$B$11,Paramètres!$A$1:$I$89,3,0)*VLOOKUP('Données projet'!$B$11,Paramètres!$A$1:$I$89,5,0)</f>
        <v>264.32415360000016</v>
      </c>
      <c r="BF81" s="13">
        <f t="shared" si="91"/>
        <v>63.643226045681423</v>
      </c>
      <c r="BG81" s="20">
        <f t="shared" si="61"/>
        <v>571.20985288289546</v>
      </c>
      <c r="BH81" s="59">
        <f t="shared" si="62"/>
        <v>864.54318621622883</v>
      </c>
      <c r="BI81" s="59">
        <f ca="1">AVERAGE(OFFSET($BH$3,0,0,'Données projet'!$E$11+1,1))-AVERAGE(OFFSET($H$3,0,0,'Données projet'!$E$11+1,1))</f>
        <v>436.0942819360734</v>
      </c>
      <c r="BJ81" s="59">
        <f t="shared" si="92"/>
        <v>198.03942180876311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32.845979450379907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32.845979450379907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>
        <f>BY81*VLOOKUP('Données projet'!$B$12,Paramètres!$A$1:$I$89,3,0)*VLOOKUP('Données projet'!$B$12,Paramètres!$A$1:$I$89,5,0)</f>
        <v>0</v>
      </c>
      <c r="CA81" s="13" t="e">
        <f t="shared" si="93"/>
        <v>#NUM!</v>
      </c>
      <c r="CB81" s="20" t="e">
        <f t="shared" si="64"/>
        <v>#NUM!</v>
      </c>
      <c r="CC81" s="59" t="e">
        <f t="shared" si="65"/>
        <v>#NUM!</v>
      </c>
      <c r="CD81" s="59">
        <f ca="1">AVERAGE(OFFSET($CC$3,0,0,'Données projet'!$E$12+1,1))-AVERAGE(OFFSET($H$3,0,0,'Données projet'!$E$12+1,1))</f>
        <v>183.99578440773581</v>
      </c>
      <c r="CE81" s="59">
        <f t="shared" si="94"/>
        <v>258.43295338669657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19.555452304656132</v>
      </c>
      <c r="CL81" s="21">
        <f>EXP(-LN(2)/25)*CL80+(1-EXP(-LN(2)/25))/(LN(2)/25)*Calculateur!CG81*Calculateur!CI81*VLOOKUP('Données projet'!$B$12,Paramètres!$A$1:$I$89,3,0)*0.475*44/12</f>
        <v>9.1806176363861276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28.73606994104226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57.922799999999874</v>
      </c>
      <c r="D82" s="11">
        <f t="shared" si="86"/>
        <v>16.642015612868772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575.58805034495106</v>
      </c>
      <c r="H82" s="67">
        <f t="shared" si="56"/>
        <v>423.2003871924129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8.6770000000000014</v>
      </c>
      <c r="N82" s="13">
        <f>IF('Données projet'!$A$36&gt;35,N81+M82-V81,IF(A82&lt;'Données projet'!$A$36,$K$205^A82,IF(A82='Données projet'!$A$36,'Données projet'!$B$36,N81+M82-V81)))</f>
        <v>281.96500000000015</v>
      </c>
      <c r="O82" s="13">
        <f>N82*VLOOKUP('Données projet'!$B$9,Paramètres!$A$1:$I$89,3,0)*VLOOKUP('Données projet'!$B$9,Paramètres!$A$1:$I$89,5,0)</f>
        <v>255.1219320000001</v>
      </c>
      <c r="P82" s="13">
        <f t="shared" si="87"/>
        <v>61.681427575411924</v>
      </c>
      <c r="Q82" s="20">
        <f t="shared" si="54"/>
        <v>551.76585126050918</v>
      </c>
      <c r="R82" s="59">
        <f t="shared" si="55"/>
        <v>845.09918459384244</v>
      </c>
      <c r="S82" s="59">
        <f ca="1">AVERAGE(OFFSET($R$3,0,0,'Données projet'!$E$9+1,1))-AVERAGE(OFFSET($H$3,0,0,'Données projet'!$E$9+1,1))</f>
        <v>399.15057697410413</v>
      </c>
      <c r="T82" s="59">
        <f t="shared" si="88"/>
        <v>182.37700638847298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30.124348548238373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30.124348548238373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8.6770000000000014</v>
      </c>
      <c r="AI82" s="13">
        <f>IF('Données projet'!$A$62&gt;35,AI81+AH82-AQ81,IF(A82&lt;'Données projet'!$A$62,$AF$205^A82,IF(A82='Données projet'!$A$62,'Données projet'!$B$62,AI81+AH82-AQ81)))</f>
        <v>281.96500000000015</v>
      </c>
      <c r="AJ82" s="13">
        <f>AI82*VLOOKUP('Données projet'!$B$10,Paramètres!$A$1:$I$89,3,0)*VLOOKUP('Données projet'!$B$10,Paramètres!$A$1:$I$89,5,0)</f>
        <v>285.91251000000017</v>
      </c>
      <c r="AK82" s="13">
        <f t="shared" si="89"/>
        <v>68.214968580220258</v>
      </c>
      <c r="AL82" s="20">
        <f t="shared" si="58"/>
        <v>616.77202519388391</v>
      </c>
      <c r="AM82" s="59">
        <f t="shared" si="59"/>
        <v>910.10535852721728</v>
      </c>
      <c r="AN82" s="59">
        <f ca="1">AVERAGE(OFFSET($AM$3,0,0,'Données projet'!$E$10+1,1))-AVERAGE(OFFSET($H$3,0,0,'Données projet'!$E$10+1,1))</f>
        <v>463.77045964052894</v>
      </c>
      <c r="AO82" s="59">
        <f t="shared" si="90"/>
        <v>209.77146243694483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33.760045786818864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33.760045786818864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8.6770000000000014</v>
      </c>
      <c r="BD82" s="12">
        <f>IF('Données projet'!$A$88&gt;35,BD81+BC82-BL81,IF(A82&lt;'Données projet'!$A$88,$BA$205^A82,IF(A82='Données projet'!$A$88,'Données projet'!$B$88,BD81+BC82-BL81)))</f>
        <v>281.96500000000015</v>
      </c>
      <c r="BE82" s="13">
        <f>BD82*VLOOKUP('Données projet'!$B$11,Paramètres!$A$1:$I$89,3,0)*VLOOKUP('Données projet'!$B$11,Paramètres!$A$1:$I$89,5,0)</f>
        <v>272.71654800000016</v>
      </c>
      <c r="BF82" s="13">
        <f t="shared" si="91"/>
        <v>65.425453000689586</v>
      </c>
      <c r="BG82" s="20">
        <f t="shared" si="61"/>
        <v>588.93065174286789</v>
      </c>
      <c r="BH82" s="59">
        <f t="shared" si="62"/>
        <v>882.26398507620115</v>
      </c>
      <c r="BI82" s="59">
        <f ca="1">AVERAGE(OFFSET($BH$3,0,0,'Données projet'!$E$11+1,1))-AVERAGE(OFFSET($H$3,0,0,'Données projet'!$E$11+1,1))</f>
        <v>436.0942819360734</v>
      </c>
      <c r="BJ82" s="59">
        <f t="shared" si="92"/>
        <v>198.03942180876311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32.201889827427223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32.201889827427223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>
        <f>BY82*VLOOKUP('Données projet'!$B$12,Paramètres!$A$1:$I$89,3,0)*VLOOKUP('Données projet'!$B$12,Paramètres!$A$1:$I$89,5,0)</f>
        <v>0</v>
      </c>
      <c r="CA82" s="13" t="e">
        <f t="shared" si="93"/>
        <v>#NUM!</v>
      </c>
      <c r="CB82" s="20" t="e">
        <f t="shared" si="64"/>
        <v>#NUM!</v>
      </c>
      <c r="CC82" s="59" t="e">
        <f t="shared" si="65"/>
        <v>#NUM!</v>
      </c>
      <c r="CD82" s="59">
        <f ca="1">AVERAGE(OFFSET($CC$3,0,0,'Données projet'!$E$12+1,1))-AVERAGE(OFFSET($H$3,0,0,'Données projet'!$E$12+1,1))</f>
        <v>183.99578440773581</v>
      </c>
      <c r="CE82" s="59">
        <f t="shared" si="94"/>
        <v>258.43295338669657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19.171981812609975</v>
      </c>
      <c r="CL82" s="21">
        <f>EXP(-LN(2)/25)*CL81+(1-EXP(-LN(2)/25))/(LN(2)/25)*Calculateur!CG82*Calculateur!CI82*VLOOKUP('Données projet'!$B$12,Paramètres!$A$1:$I$89,3,0)*0.475*44/12</f>
        <v>8.9295731643314493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28.101554976941422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58.655999999999871</v>
      </c>
      <c r="D83" s="11">
        <f t="shared" si="86"/>
        <v>16.82801690992903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582.68363930471423</v>
      </c>
      <c r="H83" s="67">
        <f t="shared" si="56"/>
        <v>424.80132945145942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8.6770000000000014</v>
      </c>
      <c r="N83" s="13">
        <f>IF('Données projet'!$A$36&gt;35,N82+M83-V82,IF(A83&lt;'Données projet'!$A$36,$K$205^A83,IF(A83='Données projet'!$A$36,'Données projet'!$B$36,N82+M83-V82)))</f>
        <v>290.64200000000017</v>
      </c>
      <c r="O83" s="13">
        <f>N83*VLOOKUP('Données projet'!$B$9,Paramètres!$A$1:$I$89,3,0)*VLOOKUP('Données projet'!$B$9,Paramètres!$A$1:$I$89,5,0)</f>
        <v>262.97288160000016</v>
      </c>
      <c r="P83" s="13">
        <f t="shared" si="87"/>
        <v>63.355656254051972</v>
      </c>
      <c r="Q83" s="20">
        <f t="shared" si="54"/>
        <v>568.35553676247412</v>
      </c>
      <c r="R83" s="59">
        <f t="shared" si="55"/>
        <v>861.68887009580749</v>
      </c>
      <c r="S83" s="59">
        <f ca="1">AVERAGE(OFFSET($R$3,0,0,'Données projet'!$E$9+1,1))-AVERAGE(OFFSET($H$3,0,0,'Données projet'!$E$9+1,1))</f>
        <v>399.15057697410413</v>
      </c>
      <c r="T83" s="59">
        <f t="shared" si="88"/>
        <v>182.37700638847298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29.533628447245746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29.533628447245746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8.6770000000000014</v>
      </c>
      <c r="AI83" s="13">
        <f>IF('Données projet'!$A$62&gt;35,AI82+AH83-AQ82,IF(A83&lt;'Données projet'!$A$62,$AF$205^A83,IF(A83='Données projet'!$A$62,'Données projet'!$B$62,AI82+AH83-AQ82)))</f>
        <v>290.64200000000017</v>
      </c>
      <c r="AJ83" s="13">
        <f>AI83*VLOOKUP('Données projet'!$B$10,Paramètres!$A$1:$I$89,3,0)*VLOOKUP('Données projet'!$B$10,Paramètres!$A$1:$I$89,5,0)</f>
        <v>294.71098800000021</v>
      </c>
      <c r="AK83" s="13">
        <f t="shared" si="89"/>
        <v>70.066538188752801</v>
      </c>
      <c r="AL83" s="20">
        <f t="shared" si="58"/>
        <v>635.3208581120781</v>
      </c>
      <c r="AM83" s="59">
        <f t="shared" si="59"/>
        <v>928.65419144541147</v>
      </c>
      <c r="AN83" s="59">
        <f ca="1">AVERAGE(OFFSET($AM$3,0,0,'Données projet'!$E$10+1,1))-AVERAGE(OFFSET($H$3,0,0,'Données projet'!$E$10+1,1))</f>
        <v>463.77045964052894</v>
      </c>
      <c r="AO83" s="59">
        <f t="shared" si="90"/>
        <v>209.77146243694483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33.098031880534023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33.098031880534023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8.6770000000000014</v>
      </c>
      <c r="BD83" s="12">
        <f>IF('Données projet'!$A$88&gt;35,BD82+BC83-BL82,IF(A83&lt;'Données projet'!$A$88,$BA$205^A83,IF(A83='Données projet'!$A$88,'Données projet'!$B$88,BD82+BC83-BL82)))</f>
        <v>290.64200000000017</v>
      </c>
      <c r="BE83" s="13">
        <f>BD83*VLOOKUP('Données projet'!$B$11,Paramètres!$A$1:$I$89,3,0)*VLOOKUP('Données projet'!$B$11,Paramètres!$A$1:$I$89,5,0)</f>
        <v>281.10894240000016</v>
      </c>
      <c r="BF83" s="13">
        <f t="shared" si="91"/>
        <v>67.20130634962284</v>
      </c>
      <c r="BG83" s="20">
        <f t="shared" si="61"/>
        <v>606.64034990559333</v>
      </c>
      <c r="BH83" s="59">
        <f t="shared" si="62"/>
        <v>899.9736832389267</v>
      </c>
      <c r="BI83" s="59">
        <f ca="1">AVERAGE(OFFSET($BH$3,0,0,'Données projet'!$E$11+1,1))-AVERAGE(OFFSET($H$3,0,0,'Données projet'!$E$11+1,1))</f>
        <v>436.0942819360734</v>
      </c>
      <c r="BJ83" s="59">
        <f t="shared" si="92"/>
        <v>198.03942180876311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31.570430409124761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31.570430409124761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>
        <f>BY83*VLOOKUP('Données projet'!$B$12,Paramètres!$A$1:$I$89,3,0)*VLOOKUP('Données projet'!$B$12,Paramètres!$A$1:$I$89,5,0)</f>
        <v>0</v>
      </c>
      <c r="CA83" s="13" t="e">
        <f t="shared" si="93"/>
        <v>#NUM!</v>
      </c>
      <c r="CB83" s="20" t="e">
        <f t="shared" si="64"/>
        <v>#NUM!</v>
      </c>
      <c r="CC83" s="59" t="e">
        <f t="shared" si="65"/>
        <v>#NUM!</v>
      </c>
      <c r="CD83" s="59">
        <f ca="1">AVERAGE(OFFSET($CC$3,0,0,'Données projet'!$E$12+1,1))-AVERAGE(OFFSET($H$3,0,0,'Données projet'!$E$12+1,1))</f>
        <v>183.99578440773581</v>
      </c>
      <c r="CE83" s="59">
        <f t="shared" si="94"/>
        <v>258.43295338669657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18.796030943018938</v>
      </c>
      <c r="CL83" s="21">
        <f>EXP(-LN(2)/25)*CL82+(1-EXP(-LN(2)/25))/(LN(2)/25)*Calculateur!CG83*Calculateur!CI83*VLOOKUP('Données projet'!$B$12,Paramètres!$A$1:$I$89,3,0)*0.475*44/12</f>
        <v>8.6853935165669611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27.481424459585899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59.389199999999867</v>
      </c>
      <c r="D84" s="11">
        <f t="shared" si="86"/>
        <v>17.013747764443796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589.77714063781082</v>
      </c>
      <c r="H84" s="67">
        <f t="shared" si="56"/>
        <v>426.40180068973939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8.6770000000000014</v>
      </c>
      <c r="N84" s="13">
        <f>IF('Données projet'!$A$36&gt;35,N83+M84-V83,IF(A84&lt;'Données projet'!$A$36,$K$205^A84,IF(A84='Données projet'!$A$36,'Données projet'!$B$36,N83+M84-V83)))</f>
        <v>299.31900000000019</v>
      </c>
      <c r="O84" s="13">
        <f>N84*VLOOKUP('Données projet'!$B$9,Paramètres!$A$1:$I$89,3,0)*VLOOKUP('Données projet'!$B$9,Paramètres!$A$1:$I$89,5,0)</f>
        <v>270.8238312000002</v>
      </c>
      <c r="P84" s="13">
        <f t="shared" si="87"/>
        <v>65.024076047844915</v>
      </c>
      <c r="Q84" s="20">
        <f t="shared" si="54"/>
        <v>584.93510512333023</v>
      </c>
      <c r="R84" s="59">
        <f t="shared" si="55"/>
        <v>878.26843845666349</v>
      </c>
      <c r="S84" s="59">
        <f ca="1">AVERAGE(OFFSET($R$3,0,0,'Données projet'!$E$9+1,1))-AVERAGE(OFFSET($H$3,0,0,'Données projet'!$E$9+1,1))</f>
        <v>399.15057697410413</v>
      </c>
      <c r="T84" s="59">
        <f t="shared" si="88"/>
        <v>182.37700638847298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28.9544920071299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28.9544920071299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8.6770000000000014</v>
      </c>
      <c r="AI84" s="13">
        <f>IF('Données projet'!$A$62&gt;35,AI83+AH84-AQ83,IF(A84&lt;'Données projet'!$A$62,$AF$205^A84,IF(A84='Données projet'!$A$62,'Données projet'!$B$62,AI83+AH84-AQ83)))</f>
        <v>299.31900000000019</v>
      </c>
      <c r="AJ84" s="13">
        <f>AI84*VLOOKUP('Données projet'!$B$10,Paramètres!$A$1:$I$89,3,0)*VLOOKUP('Données projet'!$B$10,Paramètres!$A$1:$I$89,5,0)</f>
        <v>303.5094660000002</v>
      </c>
      <c r="AK84" s="13">
        <f t="shared" si="89"/>
        <v>71.911683612358004</v>
      </c>
      <c r="AL84" s="20">
        <f t="shared" si="58"/>
        <v>653.85850224152387</v>
      </c>
      <c r="AM84" s="59">
        <f t="shared" si="59"/>
        <v>947.19183557485712</v>
      </c>
      <c r="AN84" s="59">
        <f ca="1">AVERAGE(OFFSET($AM$3,0,0,'Données projet'!$E$10+1,1))-AVERAGE(OFFSET($H$3,0,0,'Données projet'!$E$10+1,1))</f>
        <v>463.77045964052894</v>
      </c>
      <c r="AO84" s="59">
        <f t="shared" si="90"/>
        <v>209.77146243694483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32.448999663162816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32.448999663162816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8.6770000000000014</v>
      </c>
      <c r="BD84" s="12">
        <f>IF('Données projet'!$A$88&gt;35,BD83+BC84-BL83,IF(A84&lt;'Données projet'!$A$88,$BA$205^A84,IF(A84='Données projet'!$A$88,'Données projet'!$B$88,BD83+BC84-BL83)))</f>
        <v>299.31900000000019</v>
      </c>
      <c r="BE84" s="13">
        <f>BD84*VLOOKUP('Données projet'!$B$11,Paramètres!$A$1:$I$89,3,0)*VLOOKUP('Données projet'!$B$11,Paramètres!$A$1:$I$89,5,0)</f>
        <v>289.50133680000016</v>
      </c>
      <c r="BF84" s="13">
        <f t="shared" si="91"/>
        <v>68.970998217904651</v>
      </c>
      <c r="BG84" s="20">
        <f t="shared" si="61"/>
        <v>624.33931682285095</v>
      </c>
      <c r="BH84" s="59">
        <f t="shared" si="62"/>
        <v>917.67265015618432</v>
      </c>
      <c r="BI84" s="59">
        <f ca="1">AVERAGE(OFFSET($BH$3,0,0,'Données projet'!$E$11+1,1))-AVERAGE(OFFSET($H$3,0,0,'Données projet'!$E$11+1,1))</f>
        <v>436.0942819360734</v>
      </c>
      <c r="BJ84" s="59">
        <f t="shared" si="92"/>
        <v>198.03942180876311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30.951353524862995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30.951353524862995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>
        <f>BY84*VLOOKUP('Données projet'!$B$12,Paramètres!$A$1:$I$89,3,0)*VLOOKUP('Données projet'!$B$12,Paramètres!$A$1:$I$89,5,0)</f>
        <v>0</v>
      </c>
      <c r="CA84" s="13" t="e">
        <f t="shared" si="93"/>
        <v>#NUM!</v>
      </c>
      <c r="CB84" s="20" t="e">
        <f t="shared" si="64"/>
        <v>#NUM!</v>
      </c>
      <c r="CC84" s="59" t="e">
        <f t="shared" si="65"/>
        <v>#NUM!</v>
      </c>
      <c r="CD84" s="59">
        <f ca="1">AVERAGE(OFFSET($CC$3,0,0,'Données projet'!$E$12+1,1))-AVERAGE(OFFSET($H$3,0,0,'Données projet'!$E$12+1,1))</f>
        <v>183.99578440773581</v>
      </c>
      <c r="CE84" s="59">
        <f t="shared" si="94"/>
        <v>258.43295338669657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18.42745224067319</v>
      </c>
      <c r="CL84" s="21">
        <f>EXP(-LN(2)/25)*CL83+(1-EXP(-LN(2)/25))/(LN(2)/25)*Calculateur!CG84*Calculateur!CI84*VLOOKUP('Données projet'!$B$12,Paramètres!$A$1:$I$89,3,0)*0.475*44/12</f>
        <v>8.4478909741114432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26.875343214784635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60.122399999999864</v>
      </c>
      <c r="D85" s="11">
        <f t="shared" si="86"/>
        <v>17.199211901359213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596.86858309821048</v>
      </c>
      <c r="H85" s="67">
        <f t="shared" si="56"/>
        <v>428.001807394867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8.6770000000000014</v>
      </c>
      <c r="N85" s="13">
        <f>IF('Données projet'!$A$36&gt;35,N84+M85-V84,IF(A85&lt;'Données projet'!$A$36,$K$205^A85,IF(A85='Données projet'!$A$36,'Données projet'!$B$36,N84+M85-V84)))</f>
        <v>307.99600000000021</v>
      </c>
      <c r="O85" s="13">
        <f>N85*VLOOKUP('Données projet'!$B$9,Paramètres!$A$1:$I$89,3,0)*VLOOKUP('Données projet'!$B$9,Paramètres!$A$1:$I$89,5,0)</f>
        <v>278.67478080000018</v>
      </c>
      <c r="P85" s="13">
        <f t="shared" si="87"/>
        <v>66.686874688958113</v>
      </c>
      <c r="Q85" s="20">
        <f t="shared" si="54"/>
        <v>601.50488330993562</v>
      </c>
      <c r="R85" s="59">
        <f t="shared" si="55"/>
        <v>894.83821664326888</v>
      </c>
      <c r="S85" s="59">
        <f ca="1">AVERAGE(OFFSET($R$3,0,0,'Données projet'!$E$9+1,1))-AVERAGE(OFFSET($H$3,0,0,'Données projet'!$E$9+1,1))</f>
        <v>399.15057697410413</v>
      </c>
      <c r="T85" s="59">
        <f t="shared" si="88"/>
        <v>182.37700638847298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28.386712079366379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28.386712079366379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8.6770000000000014</v>
      </c>
      <c r="AI85" s="13">
        <f>IF('Données projet'!$A$62&gt;35,AI84+AH85-AQ84,IF(A85&lt;'Données projet'!$A$62,$AF$205^A85,IF(A85='Données projet'!$A$62,'Données projet'!$B$62,AI84+AH85-AQ84)))</f>
        <v>307.99600000000021</v>
      </c>
      <c r="AJ85" s="13">
        <f>AI85*VLOOKUP('Données projet'!$B$10,Paramètres!$A$1:$I$89,3,0)*VLOOKUP('Données projet'!$B$10,Paramètres!$A$1:$I$89,5,0)</f>
        <v>312.30794400000019</v>
      </c>
      <c r="AK85" s="13">
        <f t="shared" si="89"/>
        <v>73.750612468537497</v>
      </c>
      <c r="AL85" s="20">
        <f t="shared" si="58"/>
        <v>672.38531918270314</v>
      </c>
      <c r="AM85" s="59">
        <f t="shared" si="59"/>
        <v>965.7186525160364</v>
      </c>
      <c r="AN85" s="59">
        <f ca="1">AVERAGE(OFFSET($AM$3,0,0,'Données projet'!$E$10+1,1))-AVERAGE(OFFSET($H$3,0,0,'Données projet'!$E$10+1,1))</f>
        <v>463.77045964052894</v>
      </c>
      <c r="AO85" s="59">
        <f t="shared" si="90"/>
        <v>209.77146243694483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31.812694571703695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31.812694571703695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8.6770000000000014</v>
      </c>
      <c r="BD85" s="12">
        <f>IF('Données projet'!$A$88&gt;35,BD84+BC85-BL84,IF(A85&lt;'Données projet'!$A$88,$BA$205^A85,IF(A85='Données projet'!$A$88,'Données projet'!$B$88,BD84+BC85-BL84)))</f>
        <v>307.99600000000021</v>
      </c>
      <c r="BE85" s="13">
        <f>BD85*VLOOKUP('Données projet'!$B$11,Paramètres!$A$1:$I$89,3,0)*VLOOKUP('Données projet'!$B$11,Paramètres!$A$1:$I$89,5,0)</f>
        <v>297.89373120000022</v>
      </c>
      <c r="BF85" s="13">
        <f t="shared" si="91"/>
        <v>70.734727732931788</v>
      </c>
      <c r="BG85" s="20">
        <f t="shared" si="61"/>
        <v>642.02789930818994</v>
      </c>
      <c r="BH85" s="59">
        <f t="shared" si="62"/>
        <v>935.3612326415232</v>
      </c>
      <c r="BI85" s="59">
        <f ca="1">AVERAGE(OFFSET($BH$3,0,0,'Données projet'!$E$11+1,1))-AVERAGE(OFFSET($H$3,0,0,'Données projet'!$E$11+1,1))</f>
        <v>436.0942819360734</v>
      </c>
      <c r="BJ85" s="59">
        <f t="shared" si="92"/>
        <v>198.03942180876311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30.344416360701988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30.344416360701988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>
        <f>BY85*VLOOKUP('Données projet'!$B$12,Paramètres!$A$1:$I$89,3,0)*VLOOKUP('Données projet'!$B$12,Paramètres!$A$1:$I$89,5,0)</f>
        <v>0</v>
      </c>
      <c r="CA85" s="13" t="e">
        <f t="shared" si="93"/>
        <v>#NUM!</v>
      </c>
      <c r="CB85" s="20" t="e">
        <f t="shared" si="64"/>
        <v>#NUM!</v>
      </c>
      <c r="CC85" s="59" t="e">
        <f t="shared" si="65"/>
        <v>#NUM!</v>
      </c>
      <c r="CD85" s="59">
        <f ca="1">AVERAGE(OFFSET($CC$3,0,0,'Données projet'!$E$12+1,1))-AVERAGE(OFFSET($H$3,0,0,'Données projet'!$E$12+1,1))</f>
        <v>183.99578440773581</v>
      </c>
      <c r="CE85" s="59">
        <f t="shared" si="94"/>
        <v>258.43295338669657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18.066101141869634</v>
      </c>
      <c r="CL85" s="21">
        <f>EXP(-LN(2)/25)*CL84+(1-EXP(-LN(2)/25))/(LN(2)/25)*Calculateur!CG85*Calculateur!CI85*VLOOKUP('Données projet'!$B$12,Paramètres!$A$1:$I$89,3,0)*0.475*44/12</f>
        <v>8.2168829511690866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26.282984093038721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60.85559999999986</v>
      </c>
      <c r="D86" s="11">
        <f t="shared" si="86"/>
        <v>17.384412949542618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603.95799469822259</v>
      </c>
      <c r="H86" s="67">
        <f t="shared" si="56"/>
        <v>429.60135588711978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8.6770000000000014</v>
      </c>
      <c r="N86" s="13">
        <f>IF('Données projet'!$A$36&gt;35,N85+M86-V85,IF(A86&lt;'Données projet'!$A$36,$K$205^A86,IF(A86='Données projet'!$A$36,'Données projet'!$B$36,N85+M86-V85)))</f>
        <v>316.67300000000023</v>
      </c>
      <c r="O86" s="13">
        <f>N86*VLOOKUP('Données projet'!$B$9,Paramètres!$A$1:$I$89,3,0)*VLOOKUP('Données projet'!$B$9,Paramètres!$A$1:$I$89,5,0)</f>
        <v>286.52573040000021</v>
      </c>
      <c r="P86" s="13">
        <f t="shared" si="87"/>
        <v>68.344228730046424</v>
      </c>
      <c r="Q86" s="20">
        <f t="shared" si="54"/>
        <v>618.06517881816455</v>
      </c>
      <c r="R86" s="59">
        <f t="shared" si="55"/>
        <v>911.39851215149793</v>
      </c>
      <c r="S86" s="59">
        <f ca="1">AVERAGE(OFFSET($R$3,0,0,'Données projet'!$E$9+1,1))-AVERAGE(OFFSET($H$3,0,0,'Données projet'!$E$9+1,1))</f>
        <v>399.15057697410413</v>
      </c>
      <c r="T86" s="59">
        <f t="shared" si="88"/>
        <v>182.37700638847298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27.830065969674738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27.830065969674738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8.6770000000000014</v>
      </c>
      <c r="AI86" s="13">
        <f>IF('Données projet'!$A$62&gt;35,AI85+AH86-AQ85,IF(A86&lt;'Données projet'!$A$62,$AF$205^A86,IF(A86='Données projet'!$A$62,'Données projet'!$B$62,AI85+AH86-AQ85)))</f>
        <v>316.67300000000023</v>
      </c>
      <c r="AJ86" s="13">
        <f>AI86*VLOOKUP('Données projet'!$B$10,Paramètres!$A$1:$I$89,3,0)*VLOOKUP('Données projet'!$B$10,Paramètres!$A$1:$I$89,5,0)</f>
        <v>321.10642200000024</v>
      </c>
      <c r="AK86" s="13">
        <f t="shared" si="89"/>
        <v>75.58352001110228</v>
      </c>
      <c r="AL86" s="20">
        <f t="shared" si="58"/>
        <v>690.90164900267018</v>
      </c>
      <c r="AM86" s="59">
        <f t="shared" si="59"/>
        <v>984.23498233600344</v>
      </c>
      <c r="AN86" s="59">
        <f ca="1">AVERAGE(OFFSET($AM$3,0,0,'Données projet'!$E$10+1,1))-AVERAGE(OFFSET($H$3,0,0,'Données projet'!$E$10+1,1))</f>
        <v>463.77045964052894</v>
      </c>
      <c r="AO86" s="59">
        <f t="shared" si="90"/>
        <v>209.77146243694483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31.188867034980305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31.188867034980305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8.6770000000000014</v>
      </c>
      <c r="BD86" s="12">
        <f>IF('Données projet'!$A$88&gt;35,BD85+BC86-BL85,IF(A86&lt;'Données projet'!$A$88,$BA$205^A86,IF(A86='Données projet'!$A$88,'Données projet'!$B$88,BD85+BC86-BL85)))</f>
        <v>316.67300000000023</v>
      </c>
      <c r="BE86" s="13">
        <f>BD86*VLOOKUP('Données projet'!$B$11,Paramètres!$A$1:$I$89,3,0)*VLOOKUP('Données projet'!$B$11,Paramètres!$A$1:$I$89,5,0)</f>
        <v>306.28612560000022</v>
      </c>
      <c r="BF86" s="13">
        <f t="shared" si="91"/>
        <v>72.492682163998609</v>
      </c>
      <c r="BG86" s="20">
        <f t="shared" si="61"/>
        <v>659.70642352229788</v>
      </c>
      <c r="BH86" s="59">
        <f t="shared" si="62"/>
        <v>953.03975685563114</v>
      </c>
      <c r="BI86" s="59">
        <f ca="1">AVERAGE(OFFSET($BH$3,0,0,'Données projet'!$E$11+1,1))-AVERAGE(OFFSET($H$3,0,0,'Données projet'!$E$11+1,1))</f>
        <v>436.0942819360734</v>
      </c>
      <c r="BJ86" s="59">
        <f t="shared" si="92"/>
        <v>198.03942180876311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29.749380864135063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29.749380864135063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>
        <f>BY86*VLOOKUP('Données projet'!$B$12,Paramètres!$A$1:$I$89,3,0)*VLOOKUP('Données projet'!$B$12,Paramètres!$A$1:$I$89,5,0)</f>
        <v>0</v>
      </c>
      <c r="CA86" s="13" t="e">
        <f t="shared" si="93"/>
        <v>#NUM!</v>
      </c>
      <c r="CB86" s="20" t="e">
        <f t="shared" si="64"/>
        <v>#NUM!</v>
      </c>
      <c r="CC86" s="59" t="e">
        <f t="shared" si="65"/>
        <v>#NUM!</v>
      </c>
      <c r="CD86" s="59">
        <f ca="1">AVERAGE(OFFSET($CC$3,0,0,'Données projet'!$E$12+1,1))-AVERAGE(OFFSET($H$3,0,0,'Données projet'!$E$12+1,1))</f>
        <v>183.99578440773581</v>
      </c>
      <c r="CE86" s="59">
        <f t="shared" si="94"/>
        <v>258.43295338669657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17.711835917711209</v>
      </c>
      <c r="CL86" s="21">
        <f>EXP(-LN(2)/25)*CL85+(1-EXP(-LN(2)/25))/(LN(2)/25)*Calculateur!CG86*Calculateur!CI86*VLOOKUP('Données projet'!$B$12,Paramètres!$A$1:$I$89,3,0)*0.475*44/12</f>
        <v>7.9921918547622735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25.704027772473481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61.588799999999857</v>
      </c>
      <c r="D87" s="11">
        <f t="shared" si="86"/>
        <v>17.569354445387791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611.04540273632574</v>
      </c>
      <c r="H87" s="67">
        <f t="shared" si="56"/>
        <v>431.20045232571681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>
        <f>VLOOKUP(A87,'Données projet'!$A$35:$I$55,2,0)</f>
        <v>325.35000000000002</v>
      </c>
      <c r="L87" s="12">
        <f>VLOOKUP(A87,'Données projet'!$A$35:$I$55,9,0)</f>
        <v>8.6770000000000014</v>
      </c>
      <c r="M87" s="12">
        <f t="array" ref="M87">INDEX(L:L,MIN(IF(ISNUMBER(L87:L283),ROW(L87:L283),"")))</f>
        <v>8.6770000000000014</v>
      </c>
      <c r="N87" s="13">
        <f>IF('Données projet'!$A$36&gt;35,N86+M87-V86,IF(A87&lt;'Données projet'!$A$36,$K$205^A87,IF(A87='Données projet'!$A$36,'Données projet'!$B$36,N86+M87-V86)))</f>
        <v>325.35000000000025</v>
      </c>
      <c r="O87" s="13">
        <f>N87*VLOOKUP('Données projet'!$B$9,Paramètres!$A$1:$I$89,3,0)*VLOOKUP('Données projet'!$B$9,Paramètres!$A$1:$I$89,5,0)</f>
        <v>294.37668000000025</v>
      </c>
      <c r="P87" s="13">
        <f t="shared" si="87"/>
        <v>69.99630449784344</v>
      </c>
      <c r="Q87" s="20">
        <f t="shared" si="54"/>
        <v>634.61628133374438</v>
      </c>
      <c r="R87" s="59">
        <f t="shared" si="55"/>
        <v>927.94961466707764</v>
      </c>
      <c r="S87" s="59">
        <f ca="1">AVERAGE(OFFSET($R$3,0,0,'Données projet'!$E$9+1,1))-AVERAGE(OFFSET($H$3,0,0,'Données projet'!$E$9+1,1))</f>
        <v>399.15057697410413</v>
      </c>
      <c r="T87" s="59">
        <f t="shared" si="88"/>
        <v>182.37700638847298</v>
      </c>
      <c r="U87" s="15">
        <f>IF(ISNA(VLOOKUP(A87,'Données projet'!$A$35:$I$55,3,0)),0,VLOOKUP(A87,'Données projet'!$A$35:$I$55,3,0))</f>
        <v>6</v>
      </c>
      <c r="V87" s="15">
        <f>IF(ISNA(VLOOKUP(A87,'Données projet'!$A$35:$I$55,4,0)),0,VLOOKUP(A87,'Données projet'!$A$35:$I$55,4,0))</f>
        <v>61.47</v>
      </c>
      <c r="W87" s="16">
        <f>IF(ISNA(VLOOKUP(A87,'Données projet'!$A$35:$I$55,5,0)),0%,VLOOKUP(A87,'Données projet'!$A$35:$I$55,5,0)*VLOOKUP('Données projet'!$B$9,Paramètres!$A$1:$I$89,7,0))</f>
        <v>0.25800000000000001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43.147236627276406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43.147236627276406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325.35000000000002</v>
      </c>
      <c r="AG87" s="12">
        <f>VLOOKUP(A87,'Données projet'!$A$61:$I$81,9,0)</f>
        <v>8.6770000000000014</v>
      </c>
      <c r="AH87" s="12">
        <f t="array" ref="AH87">INDEX(AG:AG,MIN(IF(ISNUMBER(AG87:AG283),ROW(AG87:AG283),"")))</f>
        <v>8.6770000000000014</v>
      </c>
      <c r="AI87" s="13">
        <f>IF('Données projet'!$A$62&gt;35,AI86+AH87-AQ86,IF(A87&lt;'Données projet'!$A$62,$AF$205^A87,IF(A87='Données projet'!$A$62,'Données projet'!$B$62,AI86+AH87-AQ86)))</f>
        <v>325.35000000000025</v>
      </c>
      <c r="AJ87" s="13">
        <f>AI87*VLOOKUP('Données projet'!$B$10,Paramètres!$A$1:$I$89,3,0)*VLOOKUP('Données projet'!$B$10,Paramètres!$A$1:$I$89,5,0)</f>
        <v>329.90490000000028</v>
      </c>
      <c r="AK87" s="13">
        <f t="shared" si="89"/>
        <v>77.410590184772218</v>
      </c>
      <c r="AL87" s="20">
        <f t="shared" si="58"/>
        <v>709.40781207181215</v>
      </c>
      <c r="AM87" s="59">
        <f t="shared" si="59"/>
        <v>1002.7411454051455</v>
      </c>
      <c r="AN87" s="59">
        <f ca="1">AVERAGE(OFFSET($AM$3,0,0,'Données projet'!$E$10+1,1))-AVERAGE(OFFSET($H$3,0,0,'Données projet'!$E$10+1,1))</f>
        <v>463.77045964052894</v>
      </c>
      <c r="AO87" s="59">
        <f t="shared" si="90"/>
        <v>209.77146243694483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0.25800000000000001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48.354661737464937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48.354661737464937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>
        <f>VLOOKUP(A87,'Données projet'!$A$87:$I$107,2,0)</f>
        <v>325.35000000000002</v>
      </c>
      <c r="BB87" s="12">
        <f>VLOOKUP(A87,'Données projet'!$A$87:$I$107,9,0)</f>
        <v>8.6770000000000014</v>
      </c>
      <c r="BC87" s="12">
        <f t="array" ref="BC87">INDEX(BB:BB,MIN(IF(ISNUMBER(BB87:BB283),ROW(BB87:BB283),"")))</f>
        <v>8.6770000000000014</v>
      </c>
      <c r="BD87" s="12">
        <f>IF('Données projet'!$A$88&gt;35,BD86+BC87-BL86,IF(A87&lt;'Données projet'!$A$88,$BA$205^A87,IF(A87='Données projet'!$A$88,'Données projet'!$B$88,BD86+BC87-BL86)))</f>
        <v>325.35000000000025</v>
      </c>
      <c r="BE87" s="13">
        <f>BD87*VLOOKUP('Données projet'!$B$11,Paramètres!$A$1:$I$89,3,0)*VLOOKUP('Données projet'!$B$11,Paramètres!$A$1:$I$89,5,0)</f>
        <v>314.67852000000028</v>
      </c>
      <c r="BF87" s="13">
        <f t="shared" si="91"/>
        <v>74.245037933771187</v>
      </c>
      <c r="BG87" s="20">
        <f t="shared" si="61"/>
        <v>677.37519673465192</v>
      </c>
      <c r="BH87" s="59">
        <f t="shared" si="62"/>
        <v>970.70853006798529</v>
      </c>
      <c r="BI87" s="59">
        <f ca="1">AVERAGE(OFFSET($BH$3,0,0,'Données projet'!$E$11+1,1))-AVERAGE(OFFSET($H$3,0,0,'Données projet'!$E$11+1,1))</f>
        <v>436.0942819360734</v>
      </c>
      <c r="BJ87" s="59">
        <f t="shared" si="92"/>
        <v>198.03942180876311</v>
      </c>
      <c r="BK87" s="15">
        <f>IF(ISNA(VLOOKUP(A87,'Données projet'!$A$87:$I$107,3,0)),0,VLOOKUP(A87,'Données projet'!$A$87:$I$107,3,0))</f>
        <v>6</v>
      </c>
      <c r="BL87" s="15">
        <f>IF(ISNA(VLOOKUP(A87,'Données projet'!$A$87:$I$107,4,0)),0,VLOOKUP(A87,'Données projet'!$A$87:$I$107,4,0))</f>
        <v>61.47</v>
      </c>
      <c r="BM87" s="16">
        <f>IF(ISNA(VLOOKUP(A87,'Données projet'!$A$87:$I$107,5,0)),0%,VLOOKUP(A87,'Données projet'!$A$87:$I$107,5,0)*VLOOKUP('Données projet'!$B$11,Paramètres!$A$1:$I$89,7,0))</f>
        <v>0.25800000000000001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46.12290811881271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46.12290811881271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>
        <f>BY87*VLOOKUP('Données projet'!$B$12,Paramètres!$A$1:$I$89,3,0)*VLOOKUP('Données projet'!$B$12,Paramètres!$A$1:$I$89,5,0)</f>
        <v>0</v>
      </c>
      <c r="CA87" s="13" t="e">
        <f t="shared" si="93"/>
        <v>#NUM!</v>
      </c>
      <c r="CB87" s="20" t="e">
        <f t="shared" si="64"/>
        <v>#NUM!</v>
      </c>
      <c r="CC87" s="59" t="e">
        <f t="shared" si="65"/>
        <v>#NUM!</v>
      </c>
      <c r="CD87" s="59">
        <f ca="1">AVERAGE(OFFSET($CC$3,0,0,'Données projet'!$E$12+1,1))-AVERAGE(OFFSET($H$3,0,0,'Données projet'!$E$12+1,1))</f>
        <v>183.99578440773581</v>
      </c>
      <c r="CE87" s="59">
        <f t="shared" si="94"/>
        <v>258.43295338669657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17.364517618518079</v>
      </c>
      <c r="CL87" s="21">
        <f>EXP(-LN(2)/25)*CL86+(1-EXP(-LN(2)/25))/(LN(2)/25)*Calculateur!CG87*Calculateur!CI87*VLOOKUP('Données projet'!$B$12,Paramètres!$A$1:$I$89,3,0)*0.475*44/12</f>
        <v>7.7736449482026959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25.138162566720773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62.321999999999854</v>
      </c>
      <c r="D88" s="11">
        <f t="shared" si="86"/>
        <v>17.754039836243663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618.13083382363436</v>
      </c>
      <c r="H88" s="67">
        <f t="shared" si="56"/>
        <v>432.79910271479082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8.2910000000000021</v>
      </c>
      <c r="N88" s="13">
        <f>IF('Données projet'!$A$36&gt;35,N87+M88-V87,IF(A88&lt;'Données projet'!$A$36,$K$205^A88,IF(A88='Données projet'!$A$36,'Données projet'!$B$36,N87+M88-V87)))</f>
        <v>272.17100000000028</v>
      </c>
      <c r="O88" s="13">
        <f>N88*VLOOKUP('Données projet'!$B$9,Paramètres!$A$1:$I$89,3,0)*VLOOKUP('Données projet'!$B$9,Paramètres!$A$1:$I$89,5,0)</f>
        <v>246.26032080000024</v>
      </c>
      <c r="P88" s="13">
        <f t="shared" si="87"/>
        <v>59.784443753506842</v>
      </c>
      <c r="Q88" s="20">
        <f t="shared" si="54"/>
        <v>533.02796493069138</v>
      </c>
      <c r="R88" s="59">
        <f t="shared" si="55"/>
        <v>826.36129826402475</v>
      </c>
      <c r="S88" s="59">
        <f ca="1">AVERAGE(OFFSET($R$3,0,0,'Données projet'!$E$9+1,1))-AVERAGE(OFFSET($H$3,0,0,'Données projet'!$E$9+1,1))</f>
        <v>399.15057697410413</v>
      </c>
      <c r="T88" s="59">
        <f t="shared" si="88"/>
        <v>182.37700638847298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42.301145634231247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42.301145634231247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8.2910000000000021</v>
      </c>
      <c r="AI88" s="13">
        <f>IF('Données projet'!$A$62&gt;35,AI87+AH88-AQ87,IF(A88&lt;'Données projet'!$A$62,$AF$205^A88,IF(A88='Données projet'!$A$62,'Données projet'!$B$62,AI87+AH88-AQ87)))</f>
        <v>272.17100000000028</v>
      </c>
      <c r="AJ88" s="13">
        <f>AI88*VLOOKUP('Données projet'!$B$10,Paramètres!$A$1:$I$89,3,0)*VLOOKUP('Données projet'!$B$10,Paramètres!$A$1:$I$89,5,0)</f>
        <v>275.98139400000031</v>
      </c>
      <c r="AK88" s="13">
        <f t="shared" si="89"/>
        <v>66.117048721763197</v>
      </c>
      <c r="AL88" s="20">
        <f t="shared" si="58"/>
        <v>595.82145440707143</v>
      </c>
      <c r="AM88" s="59">
        <f t="shared" si="59"/>
        <v>889.1547877404048</v>
      </c>
      <c r="AN88" s="59">
        <f ca="1">AVERAGE(OFFSET($AM$3,0,0,'Données projet'!$E$10+1,1))-AVERAGE(OFFSET($H$3,0,0,'Données projet'!$E$10+1,1))</f>
        <v>463.77045964052894</v>
      </c>
      <c r="AO88" s="59">
        <f t="shared" si="90"/>
        <v>209.77146243694483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47.406456314224677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47.406456314224677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8.2910000000000021</v>
      </c>
      <c r="BD88" s="12">
        <f>IF('Données projet'!$A$88&gt;35,BD87+BC88-BL87,IF(A88&lt;'Données projet'!$A$88,$BA$205^A88,IF(A88='Données projet'!$A$88,'Données projet'!$B$88,BD87+BC88-BL87)))</f>
        <v>272.17100000000028</v>
      </c>
      <c r="BE88" s="13">
        <f>BD88*VLOOKUP('Données projet'!$B$11,Paramètres!$A$1:$I$89,3,0)*VLOOKUP('Données projet'!$B$11,Paramètres!$A$1:$I$89,5,0)</f>
        <v>263.24379120000026</v>
      </c>
      <c r="BF88" s="13">
        <f t="shared" si="91"/>
        <v>63.413323405741842</v>
      </c>
      <c r="BG88" s="20">
        <f t="shared" si="61"/>
        <v>568.92780793833413</v>
      </c>
      <c r="BH88" s="59">
        <f t="shared" si="62"/>
        <v>862.26114127166738</v>
      </c>
      <c r="BI88" s="59">
        <f ca="1">AVERAGE(OFFSET($BH$3,0,0,'Données projet'!$E$11+1,1))-AVERAGE(OFFSET($H$3,0,0,'Données projet'!$E$11+1,1))</f>
        <v>436.0942819360734</v>
      </c>
      <c r="BJ88" s="59">
        <f t="shared" si="92"/>
        <v>198.03942180876311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45.218466022798921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45.218466022798921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>
        <f>BY88*VLOOKUP('Données projet'!$B$12,Paramètres!$A$1:$I$89,3,0)*VLOOKUP('Données projet'!$B$12,Paramètres!$A$1:$I$89,5,0)</f>
        <v>0</v>
      </c>
      <c r="CA88" s="13" t="e">
        <f t="shared" si="93"/>
        <v>#NUM!</v>
      </c>
      <c r="CB88" s="20" t="e">
        <f t="shared" si="64"/>
        <v>#NUM!</v>
      </c>
      <c r="CC88" s="59" t="e">
        <f t="shared" si="65"/>
        <v>#NUM!</v>
      </c>
      <c r="CD88" s="59">
        <f ca="1">AVERAGE(OFFSET($CC$3,0,0,'Données projet'!$E$12+1,1))-AVERAGE(OFFSET($H$3,0,0,'Données projet'!$E$12+1,1))</f>
        <v>183.99578440773581</v>
      </c>
      <c r="CE88" s="59">
        <f t="shared" si="94"/>
        <v>258.43295338669657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17.02401001932888</v>
      </c>
      <c r="CL88" s="21">
        <f>EXP(-LN(2)/25)*CL87+(1-EXP(-LN(2)/25))/(LN(2)/25)*Calculateur!CG88*Calculateur!CI88*VLOOKUP('Données projet'!$B$12,Paramètres!$A$1:$I$89,3,0)*0.475*44/12</f>
        <v>7.5610742182958726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24.585084237624752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63.05519999999985</v>
      </c>
      <c r="D89" s="11">
        <f t="shared" si="86"/>
        <v>17.93847248367711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625.21431390908526</v>
      </c>
      <c r="H89" s="67">
        <f t="shared" si="56"/>
        <v>434.39731290907071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8.2910000000000021</v>
      </c>
      <c r="N89" s="13">
        <f>IF('Données projet'!$A$36&gt;35,N88+M89-V88,IF(A89&lt;'Données projet'!$A$36,$K$205^A89,IF(A89='Données projet'!$A$36,'Données projet'!$B$36,N88+M89-V88)))</f>
        <v>280.46200000000027</v>
      </c>
      <c r="O89" s="13">
        <f>N89*VLOOKUP('Données projet'!$B$9,Paramètres!$A$1:$I$89,3,0)*VLOOKUP('Données projet'!$B$9,Paramètres!$A$1:$I$89,5,0)</f>
        <v>253.76201760000023</v>
      </c>
      <c r="P89" s="13">
        <f t="shared" si="87"/>
        <v>61.390818695638195</v>
      </c>
      <c r="Q89" s="20">
        <f t="shared" si="54"/>
        <v>548.89118988157031</v>
      </c>
      <c r="R89" s="59">
        <f t="shared" si="55"/>
        <v>842.22452321490368</v>
      </c>
      <c r="S89" s="59">
        <f ca="1">AVERAGE(OFFSET($R$3,0,0,'Données projet'!$E$9+1,1))-AVERAGE(OFFSET($H$3,0,0,'Données projet'!$E$9+1,1))</f>
        <v>399.15057697410413</v>
      </c>
      <c r="T89" s="59">
        <f t="shared" si="88"/>
        <v>182.37700638847298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41.471645969495157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41.471645969495157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8.2910000000000021</v>
      </c>
      <c r="AI89" s="13">
        <f>IF('Données projet'!$A$62&gt;35,AI88+AH89-AQ88,IF(A89&lt;'Données projet'!$A$62,$AF$205^A89,IF(A89='Données projet'!$A$62,'Données projet'!$B$62,AI88+AH89-AQ88)))</f>
        <v>280.46200000000027</v>
      </c>
      <c r="AJ89" s="13">
        <f>AI89*VLOOKUP('Données projet'!$B$10,Paramètres!$A$1:$I$89,3,0)*VLOOKUP('Données projet'!$B$10,Paramètres!$A$1:$I$89,5,0)</f>
        <v>284.38846800000033</v>
      </c>
      <c r="AK89" s="13">
        <f t="shared" si="89"/>
        <v>67.893577257383939</v>
      </c>
      <c r="AL89" s="20">
        <f t="shared" si="58"/>
        <v>613.55789548994426</v>
      </c>
      <c r="AM89" s="59">
        <f t="shared" si="59"/>
        <v>906.89122882327752</v>
      </c>
      <c r="AN89" s="59">
        <f ca="1">AVERAGE(OFFSET($AM$3,0,0,'Données projet'!$E$10+1,1))-AVERAGE(OFFSET($H$3,0,0,'Données projet'!$E$10+1,1))</f>
        <v>463.77045964052894</v>
      </c>
      <c r="AO89" s="59">
        <f t="shared" si="90"/>
        <v>209.77146243694483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46.476844620985958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46.476844620985958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8.2910000000000021</v>
      </c>
      <c r="BD89" s="12">
        <f>IF('Données projet'!$A$88&gt;35,BD88+BC89-BL88,IF(A89&lt;'Données projet'!$A$88,$BA$205^A89,IF(A89='Données projet'!$A$88,'Données projet'!$B$88,BD88+BC89-BL88)))</f>
        <v>280.46200000000027</v>
      </c>
      <c r="BE89" s="13">
        <f>BD89*VLOOKUP('Données projet'!$B$11,Paramètres!$A$1:$I$89,3,0)*VLOOKUP('Données projet'!$B$11,Paramètres!$A$1:$I$89,5,0)</f>
        <v>271.26284640000029</v>
      </c>
      <c r="BF89" s="13">
        <f t="shared" si="91"/>
        <v>65.117204337314064</v>
      </c>
      <c r="BG89" s="20">
        <f t="shared" si="61"/>
        <v>585.86192170082245</v>
      </c>
      <c r="BH89" s="59">
        <f t="shared" si="62"/>
        <v>879.19525503415571</v>
      </c>
      <c r="BI89" s="59">
        <f ca="1">AVERAGE(OFFSET($BH$3,0,0,'Données projet'!$E$11+1,1))-AVERAGE(OFFSET($H$3,0,0,'Données projet'!$E$11+1,1))</f>
        <v>436.0942819360734</v>
      </c>
      <c r="BJ89" s="59">
        <f t="shared" si="92"/>
        <v>198.03942180876311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44.331759484632755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44.331759484632755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>
        <f>BY89*VLOOKUP('Données projet'!$B$12,Paramètres!$A$1:$I$89,3,0)*VLOOKUP('Données projet'!$B$12,Paramètres!$A$1:$I$89,5,0)</f>
        <v>0</v>
      </c>
      <c r="CA89" s="13" t="e">
        <f t="shared" si="93"/>
        <v>#NUM!</v>
      </c>
      <c r="CB89" s="20" t="e">
        <f t="shared" si="64"/>
        <v>#NUM!</v>
      </c>
      <c r="CC89" s="59" t="e">
        <f t="shared" si="65"/>
        <v>#NUM!</v>
      </c>
      <c r="CD89" s="59">
        <f ca="1">AVERAGE(OFFSET($CC$3,0,0,'Données projet'!$E$12+1,1))-AVERAGE(OFFSET($H$3,0,0,'Données projet'!$E$12+1,1))</f>
        <v>183.99578440773581</v>
      </c>
      <c r="CE89" s="59">
        <f t="shared" si="94"/>
        <v>258.43295338669657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16.690179566470654</v>
      </c>
      <c r="CL89" s="21">
        <f>EXP(-LN(2)/25)*CL88+(1-EXP(-LN(2)/25))/(LN(2)/25)*Calculateur!CG89*Calculateur!CI89*VLOOKUP('Données projet'!$B$12,Paramètres!$A$1:$I$89,3,0)*0.475*44/12</f>
        <v>7.3543162461769596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24.044495812647614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63.788399999999847</v>
      </c>
      <c r="D90" s="11">
        <f t="shared" si="86"/>
        <v>18.122655666579583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632.29586830342021</v>
      </c>
      <c r="H90" s="67">
        <f t="shared" si="56"/>
        <v>435.99508861929246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8.2910000000000021</v>
      </c>
      <c r="N90" s="13">
        <f>IF('Données projet'!$A$36&gt;35,N89+M90-V89,IF(A90&lt;'Données projet'!$A$36,$K$205^A90,IF(A90='Données projet'!$A$36,'Données projet'!$B$36,N89+M90-V89)))</f>
        <v>288.75300000000027</v>
      </c>
      <c r="O90" s="13">
        <f>N90*VLOOKUP('Données projet'!$B$9,Paramètres!$A$1:$I$89,3,0)*VLOOKUP('Données projet'!$B$9,Paramètres!$A$1:$I$89,5,0)</f>
        <v>261.26371440000025</v>
      </c>
      <c r="P90" s="13">
        <f t="shared" si="87"/>
        <v>62.991674736313257</v>
      </c>
      <c r="Q90" s="20">
        <f t="shared" si="54"/>
        <v>564.74480274574603</v>
      </c>
      <c r="R90" s="59">
        <f t="shared" si="55"/>
        <v>858.07813607907929</v>
      </c>
      <c r="S90" s="59">
        <f ca="1">AVERAGE(OFFSET($R$3,0,0,'Données projet'!$E$9+1,1))-AVERAGE(OFFSET($H$3,0,0,'Données projet'!$E$9+1,1))</f>
        <v>399.15057697410413</v>
      </c>
      <c r="T90" s="59">
        <f t="shared" si="88"/>
        <v>182.37700638847298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40.658412287239706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40.658412287239706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8.2910000000000021</v>
      </c>
      <c r="AI90" s="13">
        <f>IF('Données projet'!$A$62&gt;35,AI89+AH90-AQ89,IF(A90&lt;'Données projet'!$A$62,$AF$205^A90,IF(A90='Données projet'!$A$62,'Données projet'!$B$62,AI89+AH90-AQ89)))</f>
        <v>288.75300000000027</v>
      </c>
      <c r="AJ90" s="13">
        <f>AI90*VLOOKUP('Données projet'!$B$10,Paramètres!$A$1:$I$89,3,0)*VLOOKUP('Données projet'!$B$10,Paramètres!$A$1:$I$89,5,0)</f>
        <v>292.7955420000003</v>
      </c>
      <c r="AK90" s="13">
        <f t="shared" si="89"/>
        <v>69.664002307656872</v>
      </c>
      <c r="AL90" s="20">
        <f t="shared" si="58"/>
        <v>631.2837063358362</v>
      </c>
      <c r="AM90" s="59">
        <f t="shared" si="59"/>
        <v>924.61703966916957</v>
      </c>
      <c r="AN90" s="59">
        <f ca="1">AVERAGE(OFFSET($AM$3,0,0,'Données projet'!$E$10+1,1))-AVERAGE(OFFSET($H$3,0,0,'Données projet'!$E$10+1,1))</f>
        <v>463.77045964052894</v>
      </c>
      <c r="AO90" s="59">
        <f t="shared" si="90"/>
        <v>209.77146243694483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45.565462046044502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45.565462046044502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8.2910000000000021</v>
      </c>
      <c r="BD90" s="12">
        <f>IF('Données projet'!$A$88&gt;35,BD89+BC90-BL89,IF(A90&lt;'Données projet'!$A$88,$BA$205^A90,IF(A90='Données projet'!$A$88,'Données projet'!$B$88,BD89+BC90-BL89)))</f>
        <v>288.75300000000027</v>
      </c>
      <c r="BE90" s="13">
        <f>BD90*VLOOKUP('Données projet'!$B$11,Paramètres!$A$1:$I$89,3,0)*VLOOKUP('Données projet'!$B$11,Paramètres!$A$1:$I$89,5,0)</f>
        <v>279.28190160000025</v>
      </c>
      <c r="BF90" s="13">
        <f t="shared" si="91"/>
        <v>66.815231373442643</v>
      </c>
      <c r="BG90" s="20">
        <f t="shared" si="61"/>
        <v>602.78583992874633</v>
      </c>
      <c r="BH90" s="59">
        <f t="shared" si="62"/>
        <v>896.11917326207958</v>
      </c>
      <c r="BI90" s="59">
        <f ca="1">AVERAGE(OFFSET($BH$3,0,0,'Données projet'!$E$11+1,1))-AVERAGE(OFFSET($H$3,0,0,'Données projet'!$E$11+1,1))</f>
        <v>436.0942819360734</v>
      </c>
      <c r="BJ90" s="59">
        <f t="shared" si="92"/>
        <v>198.03942180876311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43.462440720842444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43.462440720842444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>
        <f>BY90*VLOOKUP('Données projet'!$B$12,Paramètres!$A$1:$I$89,3,0)*VLOOKUP('Données projet'!$B$12,Paramètres!$A$1:$I$89,5,0)</f>
        <v>0</v>
      </c>
      <c r="CA90" s="13" t="e">
        <f t="shared" si="93"/>
        <v>#NUM!</v>
      </c>
      <c r="CB90" s="20" t="e">
        <f t="shared" si="64"/>
        <v>#NUM!</v>
      </c>
      <c r="CC90" s="59" t="e">
        <f t="shared" si="65"/>
        <v>#NUM!</v>
      </c>
      <c r="CD90" s="59">
        <f ca="1">AVERAGE(OFFSET($CC$3,0,0,'Données projet'!$E$12+1,1))-AVERAGE(OFFSET($H$3,0,0,'Données projet'!$E$12+1,1))</f>
        <v>183.99578440773581</v>
      </c>
      <c r="CE90" s="59">
        <f t="shared" si="94"/>
        <v>258.43295338669657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16.36289532517651</v>
      </c>
      <c r="CL90" s="21">
        <f>EXP(-LN(2)/25)*CL89+(1-EXP(-LN(2)/25))/(LN(2)/25)*Calculateur!CG90*Calculateur!CI90*VLOOKUP('Données projet'!$B$12,Paramètres!$A$1:$I$89,3,0)*0.475*44/12</f>
        <v>7.1532120816785678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23.516107406855077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64.52159999999985</v>
      </c>
      <c r="D91" s="11">
        <f t="shared" si="86"/>
        <v>18.30659258412695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639.37552170203151</v>
      </c>
      <c r="H91" s="67">
        <f t="shared" si="56"/>
        <v>437.59243541735412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8.2910000000000021</v>
      </c>
      <c r="N91" s="13">
        <f>IF('Données projet'!$A$36&gt;35,N90+M91-V90,IF(A91&lt;'Données projet'!$A$36,$K$205^A91,IF(A91='Données projet'!$A$36,'Données projet'!$B$36,N90+M91-V90)))</f>
        <v>297.04400000000027</v>
      </c>
      <c r="O91" s="13">
        <f>N91*VLOOKUP('Données projet'!$B$9,Paramètres!$A$1:$I$89,3,0)*VLOOKUP('Données projet'!$B$9,Paramètres!$A$1:$I$89,5,0)</f>
        <v>268.76541120000024</v>
      </c>
      <c r="P91" s="13">
        <f t="shared" si="87"/>
        <v>64.587188539623412</v>
      </c>
      <c r="Q91" s="20">
        <f t="shared" si="54"/>
        <v>580.58911121317794</v>
      </c>
      <c r="R91" s="59">
        <f t="shared" si="55"/>
        <v>873.92244454651131</v>
      </c>
      <c r="S91" s="59">
        <f ca="1">AVERAGE(OFFSET($R$3,0,0,'Données projet'!$E$9+1,1))-AVERAGE(OFFSET($H$3,0,0,'Données projet'!$E$9+1,1))</f>
        <v>399.15057697410413</v>
      </c>
      <c r="T91" s="59">
        <f t="shared" si="88"/>
        <v>182.37700638847298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39.861125621469718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39.861125621469718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8.2910000000000021</v>
      </c>
      <c r="AI91" s="13">
        <f>IF('Données projet'!$A$62&gt;35,AI90+AH91-AQ90,IF(A91&lt;'Données projet'!$A$62,$AF$205^A91,IF(A91='Données projet'!$A$62,'Données projet'!$B$62,AI90+AH91-AQ90)))</f>
        <v>297.04400000000027</v>
      </c>
      <c r="AJ91" s="13">
        <f>AI91*VLOOKUP('Données projet'!$B$10,Paramètres!$A$1:$I$89,3,0)*VLOOKUP('Données projet'!$B$10,Paramètres!$A$1:$I$89,5,0)</f>
        <v>301.20261600000032</v>
      </c>
      <c r="AK91" s="13">
        <f t="shared" si="89"/>
        <v>71.428519249633297</v>
      </c>
      <c r="AL91" s="20">
        <f t="shared" si="58"/>
        <v>648.99922722644521</v>
      </c>
      <c r="AM91" s="59">
        <f t="shared" si="59"/>
        <v>942.33256055977859</v>
      </c>
      <c r="AN91" s="59">
        <f ca="1">AVERAGE(OFFSET($AM$3,0,0,'Données projet'!$E$10+1,1))-AVERAGE(OFFSET($H$3,0,0,'Données projet'!$E$10+1,1))</f>
        <v>463.77045964052894</v>
      </c>
      <c r="AO91" s="59">
        <f t="shared" si="90"/>
        <v>209.77146243694483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44.671951127509168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44.671951127509168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8.2910000000000021</v>
      </c>
      <c r="BD91" s="12">
        <f>IF('Données projet'!$A$88&gt;35,BD90+BC91-BL90,IF(A91&lt;'Données projet'!$A$88,$BA$205^A91,IF(A91='Données projet'!$A$88,'Données projet'!$B$88,BD90+BC91-BL90)))</f>
        <v>297.04400000000027</v>
      </c>
      <c r="BE91" s="13">
        <f>BD91*VLOOKUP('Données projet'!$B$11,Paramètres!$A$1:$I$89,3,0)*VLOOKUP('Données projet'!$B$11,Paramètres!$A$1:$I$89,5,0)</f>
        <v>287.30095680000028</v>
      </c>
      <c r="BF91" s="13">
        <f t="shared" si="91"/>
        <v>68.507591901622632</v>
      </c>
      <c r="BG91" s="20">
        <f t="shared" si="61"/>
        <v>619.69988898865984</v>
      </c>
      <c r="BH91" s="59">
        <f t="shared" si="62"/>
        <v>913.03322232199321</v>
      </c>
      <c r="BI91" s="59">
        <f ca="1">AVERAGE(OFFSET($BH$3,0,0,'Données projet'!$E$11+1,1))-AVERAGE(OFFSET($H$3,0,0,'Données projet'!$E$11+1,1))</f>
        <v>436.0942819360734</v>
      </c>
      <c r="BJ91" s="59">
        <f t="shared" si="92"/>
        <v>198.03942180876311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42.610168767777971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42.610168767777971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>
        <f>BY91*VLOOKUP('Données projet'!$B$12,Paramètres!$A$1:$I$89,3,0)*VLOOKUP('Données projet'!$B$12,Paramètres!$A$1:$I$89,5,0)</f>
        <v>0</v>
      </c>
      <c r="CA91" s="13" t="e">
        <f t="shared" si="93"/>
        <v>#NUM!</v>
      </c>
      <c r="CB91" s="20" t="e">
        <f t="shared" si="64"/>
        <v>#NUM!</v>
      </c>
      <c r="CC91" s="59" t="e">
        <f t="shared" si="65"/>
        <v>#NUM!</v>
      </c>
      <c r="CD91" s="59">
        <f ca="1">AVERAGE(OFFSET($CC$3,0,0,'Données projet'!$E$12+1,1))-AVERAGE(OFFSET($H$3,0,0,'Données projet'!$E$12+1,1))</f>
        <v>183.99578440773581</v>
      </c>
      <c r="CE91" s="59">
        <f t="shared" si="94"/>
        <v>258.43295338669657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16.042028928230465</v>
      </c>
      <c r="CL91" s="21">
        <f>EXP(-LN(2)/25)*CL90+(1-EXP(-LN(2)/25))/(LN(2)/25)*Calculateur!CG91*Calculateur!CI91*VLOOKUP('Données projet'!$B$12,Paramètres!$A$1:$I$89,3,0)*0.475*44/12</f>
        <v>6.9576071211339929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22.999636049364458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65.254799999999847</v>
      </c>
      <c r="D92" s="11">
        <f t="shared" si="86"/>
        <v>18.490286358600777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646.45329820674169</v>
      </c>
      <c r="H92" s="67">
        <f t="shared" si="56"/>
        <v>439.1893587412294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8.2910000000000021</v>
      </c>
      <c r="N92" s="13">
        <f>IF('Données projet'!$A$36&gt;35,N91+M92-V91,IF(A92&lt;'Données projet'!$A$36,$K$205^A92,IF(A92='Données projet'!$A$36,'Données projet'!$B$36,N91+M92-V91)))</f>
        <v>305.33500000000026</v>
      </c>
      <c r="O92" s="13">
        <f>N92*VLOOKUP('Données projet'!$B$9,Paramètres!$A$1:$I$89,3,0)*VLOOKUP('Données projet'!$B$9,Paramètres!$A$1:$I$89,5,0)</f>
        <v>276.26710800000023</v>
      </c>
      <c r="P92" s="13">
        <f t="shared" si="87"/>
        <v>66.177526346547864</v>
      </c>
      <c r="Q92" s="20">
        <f t="shared" si="54"/>
        <v>596.42440482023801</v>
      </c>
      <c r="R92" s="59">
        <f t="shared" si="55"/>
        <v>889.75773815357138</v>
      </c>
      <c r="S92" s="59">
        <f ca="1">AVERAGE(OFFSET($R$3,0,0,'Données projet'!$E$9+1,1))-AVERAGE(OFFSET($H$3,0,0,'Données projet'!$E$9+1,1))</f>
        <v>399.15057697410413</v>
      </c>
      <c r="T92" s="59">
        <f t="shared" si="88"/>
        <v>182.37700638847298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39.079473260918625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39.079473260918625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8.2910000000000021</v>
      </c>
      <c r="AI92" s="13">
        <f>IF('Données projet'!$A$62&gt;35,AI91+AH92-AQ91,IF(A92&lt;'Données projet'!$A$62,$AF$205^A92,IF(A92='Données projet'!$A$62,'Données projet'!$B$62,AI91+AH92-AQ91)))</f>
        <v>305.33500000000026</v>
      </c>
      <c r="AJ92" s="13">
        <f>AI92*VLOOKUP('Données projet'!$B$10,Paramètres!$A$1:$I$89,3,0)*VLOOKUP('Données projet'!$B$10,Paramètres!$A$1:$I$89,5,0)</f>
        <v>309.60969000000028</v>
      </c>
      <c r="AK92" s="13">
        <f t="shared" si="89"/>
        <v>73.187311933195204</v>
      </c>
      <c r="AL92" s="20">
        <f t="shared" si="58"/>
        <v>666.70477836698205</v>
      </c>
      <c r="AM92" s="59">
        <f t="shared" si="59"/>
        <v>960.03811170031531</v>
      </c>
      <c r="AN92" s="59">
        <f ca="1">AVERAGE(OFFSET($AM$3,0,0,'Données projet'!$E$10+1,1))-AVERAGE(OFFSET($H$3,0,0,'Données projet'!$E$10+1,1))</f>
        <v>463.77045964052894</v>
      </c>
      <c r="AO92" s="59">
        <f t="shared" si="90"/>
        <v>209.77146243694483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43.79596141309846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43.79596141309846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8.2910000000000021</v>
      </c>
      <c r="BD92" s="12">
        <f>IF('Données projet'!$A$88&gt;35,BD91+BC92-BL91,IF(A92&lt;'Données projet'!$A$88,$BA$205^A92,IF(A92='Données projet'!$A$88,'Données projet'!$B$88,BD91+BC92-BL91)))</f>
        <v>305.33500000000026</v>
      </c>
      <c r="BE92" s="13">
        <f>BD92*VLOOKUP('Données projet'!$B$11,Paramètres!$A$1:$I$89,3,0)*VLOOKUP('Données projet'!$B$11,Paramètres!$A$1:$I$89,5,0)</f>
        <v>295.32001200000025</v>
      </c>
      <c r="BF92" s="13">
        <f t="shared" si="91"/>
        <v>70.194462253560403</v>
      </c>
      <c r="BG92" s="20">
        <f t="shared" si="61"/>
        <v>636.60437599161821</v>
      </c>
      <c r="BH92" s="59">
        <f t="shared" si="62"/>
        <v>929.93770932495158</v>
      </c>
      <c r="BI92" s="59">
        <f ca="1">AVERAGE(OFFSET($BH$3,0,0,'Données projet'!$E$11+1,1))-AVERAGE(OFFSET($H$3,0,0,'Données projet'!$E$11+1,1))</f>
        <v>436.0942819360734</v>
      </c>
      <c r="BJ92" s="59">
        <f t="shared" si="92"/>
        <v>198.03942180876311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41.774609347878531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41.774609347878531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>
        <f>BY92*VLOOKUP('Données projet'!$B$12,Paramètres!$A$1:$I$89,3,0)*VLOOKUP('Données projet'!$B$12,Paramètres!$A$1:$I$89,5,0)</f>
        <v>0</v>
      </c>
      <c r="CA92" s="13" t="e">
        <f t="shared" si="93"/>
        <v>#NUM!</v>
      </c>
      <c r="CB92" s="20" t="e">
        <f t="shared" si="64"/>
        <v>#NUM!</v>
      </c>
      <c r="CC92" s="59" t="e">
        <f t="shared" si="65"/>
        <v>#NUM!</v>
      </c>
      <c r="CD92" s="59">
        <f ca="1">AVERAGE(OFFSET($CC$3,0,0,'Données projet'!$E$12+1,1))-AVERAGE(OFFSET($H$3,0,0,'Données projet'!$E$12+1,1))</f>
        <v>183.99578440773581</v>
      </c>
      <c r="CE92" s="59">
        <f t="shared" si="94"/>
        <v>258.43295338669657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15.727454525619356</v>
      </c>
      <c r="CL92" s="21">
        <f>EXP(-LN(2)/25)*CL91+(1-EXP(-LN(2)/25))/(LN(2)/25)*Calculateur!CG92*Calculateur!CI92*VLOOKUP('Données projet'!$B$12,Paramètres!$A$1:$I$89,3,0)*0.475*44/12</f>
        <v>6.767350988521927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22.494805514141284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65.987999999999843</v>
      </c>
      <c r="D93" s="11">
        <f t="shared" si="86"/>
        <v>18.673740038079401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653.52922134657672</v>
      </c>
      <c r="H93" s="67">
        <f t="shared" si="56"/>
        <v>440.78586389965466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8.2910000000000021</v>
      </c>
      <c r="N93" s="13">
        <f>IF('Données projet'!$A$36&gt;35,N92+M93-V92,IF(A93&lt;'Données projet'!$A$36,$K$205^A93,IF(A93='Données projet'!$A$36,'Données projet'!$B$36,N92+M93-V92)))</f>
        <v>313.62600000000026</v>
      </c>
      <c r="O93" s="13">
        <f>N93*VLOOKUP('Données projet'!$B$9,Paramètres!$A$1:$I$89,3,0)*VLOOKUP('Données projet'!$B$9,Paramètres!$A$1:$I$89,5,0)</f>
        <v>283.76880480000023</v>
      </c>
      <c r="P93" s="13">
        <f t="shared" si="87"/>
        <v>67.762844856024827</v>
      </c>
      <c r="Q93" s="20">
        <f t="shared" si="54"/>
        <v>612.2509564842436</v>
      </c>
      <c r="R93" s="59">
        <f t="shared" si="55"/>
        <v>905.58428981757697</v>
      </c>
      <c r="S93" s="59">
        <f ca="1">AVERAGE(OFFSET($R$3,0,0,'Données projet'!$E$9+1,1))-AVERAGE(OFFSET($H$3,0,0,'Données projet'!$E$9+1,1))</f>
        <v>399.15057697410413</v>
      </c>
      <c r="T93" s="59">
        <f t="shared" si="88"/>
        <v>182.37700638847298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38.31314862639708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38.31314862639708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8.2910000000000021</v>
      </c>
      <c r="AI93" s="13">
        <f>IF('Données projet'!$A$62&gt;35,AI92+AH93-AQ92,IF(A93&lt;'Données projet'!$A$62,$AF$205^A93,IF(A93='Données projet'!$A$62,'Données projet'!$B$62,AI92+AH93-AQ92)))</f>
        <v>313.62600000000026</v>
      </c>
      <c r="AJ93" s="13">
        <f>AI93*VLOOKUP('Données projet'!$B$10,Paramètres!$A$1:$I$89,3,0)*VLOOKUP('Données projet'!$B$10,Paramètres!$A$1:$I$89,5,0)</f>
        <v>318.01676400000025</v>
      </c>
      <c r="AK93" s="13">
        <f t="shared" si="89"/>
        <v>74.940553655452632</v>
      </c>
      <c r="AL93" s="20">
        <f t="shared" si="58"/>
        <v>684.40066158324714</v>
      </c>
      <c r="AM93" s="59">
        <f t="shared" si="59"/>
        <v>977.73399491658051</v>
      </c>
      <c r="AN93" s="59">
        <f ca="1">AVERAGE(OFFSET($AM$3,0,0,'Données projet'!$E$10+1,1))-AVERAGE(OFFSET($H$3,0,0,'Données projet'!$E$10+1,1))</f>
        <v>463.77045964052894</v>
      </c>
      <c r="AO93" s="59">
        <f t="shared" si="90"/>
        <v>209.77146243694483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42.937149322686381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42.937149322686381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8.2910000000000021</v>
      </c>
      <c r="BD93" s="12">
        <f>IF('Données projet'!$A$88&gt;35,BD92+BC93-BL92,IF(A93&lt;'Données projet'!$A$88,$BA$205^A93,IF(A93='Données projet'!$A$88,'Données projet'!$B$88,BD92+BC93-BL92)))</f>
        <v>313.62600000000026</v>
      </c>
      <c r="BE93" s="13">
        <f>BD93*VLOOKUP('Données projet'!$B$11,Paramètres!$A$1:$I$89,3,0)*VLOOKUP('Données projet'!$B$11,Paramètres!$A$1:$I$89,5,0)</f>
        <v>303.33906720000027</v>
      </c>
      <c r="BF93" s="13">
        <f t="shared" si="91"/>
        <v>71.876008639724958</v>
      </c>
      <c r="BG93" s="20">
        <f t="shared" si="61"/>
        <v>653.4995904208547</v>
      </c>
      <c r="BH93" s="59">
        <f t="shared" si="62"/>
        <v>946.83292375418796</v>
      </c>
      <c r="BI93" s="59">
        <f ca="1">AVERAGE(OFFSET($BH$3,0,0,'Données projet'!$E$11+1,1))-AVERAGE(OFFSET($H$3,0,0,'Données projet'!$E$11+1,1))</f>
        <v>436.0942819360734</v>
      </c>
      <c r="BJ93" s="59">
        <f t="shared" si="92"/>
        <v>198.03942180876311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40.955434738562396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40.955434738562396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>
        <f>BY93*VLOOKUP('Données projet'!$B$12,Paramètres!$A$1:$I$89,3,0)*VLOOKUP('Données projet'!$B$12,Paramètres!$A$1:$I$89,5,0)</f>
        <v>0</v>
      </c>
      <c r="CA93" s="13" t="e">
        <f t="shared" si="93"/>
        <v>#NUM!</v>
      </c>
      <c r="CB93" s="20" t="e">
        <f t="shared" si="64"/>
        <v>#NUM!</v>
      </c>
      <c r="CC93" s="59" t="e">
        <f t="shared" si="65"/>
        <v>#NUM!</v>
      </c>
      <c r="CD93" s="59">
        <f ca="1">AVERAGE(OFFSET($CC$3,0,0,'Données projet'!$E$12+1,1))-AVERAGE(OFFSET($H$3,0,0,'Données projet'!$E$12+1,1))</f>
        <v>183.99578440773581</v>
      </c>
      <c r="CE93" s="59">
        <f t="shared" si="94"/>
        <v>258.43295338669657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15.41904873517201</v>
      </c>
      <c r="CL93" s="21">
        <f>EXP(-LN(2)/25)*CL92+(1-EXP(-LN(2)/25))/(LN(2)/25)*Calculateur!CG93*Calculateur!CI93*VLOOKUP('Données projet'!$B$12,Paramètres!$A$1:$I$89,3,0)*0.475*44/12</f>
        <v>6.5822974198612734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22.001346155033282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66.72119999999984</v>
      </c>
      <c r="D94" s="11">
        <f t="shared" si="86"/>
        <v>18.85695659900588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660.60331409758817</v>
      </c>
      <c r="H94" s="67">
        <f t="shared" si="56"/>
        <v>442.38195607660163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8.2910000000000021</v>
      </c>
      <c r="N94" s="13">
        <f>IF('Données projet'!$A$36&gt;35,N93+M94-V93,IF(A94&lt;'Données projet'!$A$36,$K$205^A94,IF(A94='Données projet'!$A$36,'Données projet'!$B$36,N93+M94-V93)))</f>
        <v>321.91700000000026</v>
      </c>
      <c r="O94" s="13">
        <f>N94*VLOOKUP('Données projet'!$B$9,Paramètres!$A$1:$I$89,3,0)*VLOOKUP('Données projet'!$B$9,Paramètres!$A$1:$I$89,5,0)</f>
        <v>291.27050160000022</v>
      </c>
      <c r="P94" s="13">
        <f t="shared" si="87"/>
        <v>69.343292010233441</v>
      </c>
      <c r="Q94" s="20">
        <f t="shared" si="54"/>
        <v>628.0690238711569</v>
      </c>
      <c r="R94" s="59">
        <f t="shared" si="55"/>
        <v>921.40235720449027</v>
      </c>
      <c r="S94" s="59">
        <f ca="1">AVERAGE(OFFSET($R$3,0,0,'Données projet'!$E$9+1,1))-AVERAGE(OFFSET($H$3,0,0,'Données projet'!$E$9+1,1))</f>
        <v>399.15057697410413</v>
      </c>
      <c r="T94" s="59">
        <f t="shared" si="88"/>
        <v>182.37700638847298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37.561851150546623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37.561851150546623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8.2910000000000021</v>
      </c>
      <c r="AI94" s="13">
        <f>IF('Données projet'!$A$62&gt;35,AI93+AH94-AQ93,IF(A94&lt;'Données projet'!$A$62,$AF$205^A94,IF(A94='Données projet'!$A$62,'Données projet'!$B$62,AI93+AH94-AQ93)))</f>
        <v>321.91700000000026</v>
      </c>
      <c r="AJ94" s="13">
        <f>AI94*VLOOKUP('Données projet'!$B$10,Paramètres!$A$1:$I$89,3,0)*VLOOKUP('Données projet'!$B$10,Paramètres!$A$1:$I$89,5,0)</f>
        <v>326.42383800000027</v>
      </c>
      <c r="AK94" s="13">
        <f t="shared" si="89"/>
        <v>76.688408029206073</v>
      </c>
      <c r="AL94" s="20">
        <f t="shared" si="58"/>
        <v>702.08716183420108</v>
      </c>
      <c r="AM94" s="59">
        <f t="shared" si="59"/>
        <v>995.42049516753445</v>
      </c>
      <c r="AN94" s="59">
        <f ca="1">AVERAGE(OFFSET($AM$3,0,0,'Données projet'!$E$10+1,1))-AVERAGE(OFFSET($H$3,0,0,'Données projet'!$E$10+1,1))</f>
        <v>463.77045964052894</v>
      </c>
      <c r="AO94" s="59">
        <f t="shared" si="90"/>
        <v>209.77146243694483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42.095178013543631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42.095178013543631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8.2910000000000021</v>
      </c>
      <c r="BD94" s="12">
        <f>IF('Données projet'!$A$88&gt;35,BD93+BC94-BL93,IF(A94&lt;'Données projet'!$A$88,$BA$205^A94,IF(A94='Données projet'!$A$88,'Données projet'!$B$88,BD93+BC94-BL93)))</f>
        <v>321.91700000000026</v>
      </c>
      <c r="BE94" s="13">
        <f>BD94*VLOOKUP('Données projet'!$B$11,Paramètres!$A$1:$I$89,3,0)*VLOOKUP('Données projet'!$B$11,Paramètres!$A$1:$I$89,5,0)</f>
        <v>311.35812240000024</v>
      </c>
      <c r="BF94" s="13">
        <f t="shared" si="91"/>
        <v>73.552387982296665</v>
      </c>
      <c r="BG94" s="20">
        <f t="shared" si="61"/>
        <v>670.38580558250044</v>
      </c>
      <c r="BH94" s="59">
        <f t="shared" si="62"/>
        <v>963.71913891583381</v>
      </c>
      <c r="BI94" s="59">
        <f ca="1">AVERAGE(OFFSET($BH$3,0,0,'Données projet'!$E$11+1,1))-AVERAGE(OFFSET($H$3,0,0,'Données projet'!$E$11+1,1))</f>
        <v>436.0942819360734</v>
      </c>
      <c r="BJ94" s="59">
        <f t="shared" si="92"/>
        <v>198.03942180876311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40.152323643687772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40.152323643687772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>
        <f>BY94*VLOOKUP('Données projet'!$B$12,Paramètres!$A$1:$I$89,3,0)*VLOOKUP('Données projet'!$B$12,Paramètres!$A$1:$I$89,5,0)</f>
        <v>0</v>
      </c>
      <c r="CA94" s="13" t="e">
        <f t="shared" si="93"/>
        <v>#NUM!</v>
      </c>
      <c r="CB94" s="20" t="e">
        <f t="shared" si="64"/>
        <v>#NUM!</v>
      </c>
      <c r="CC94" s="59" t="e">
        <f t="shared" si="65"/>
        <v>#NUM!</v>
      </c>
      <c r="CD94" s="59">
        <f ca="1">AVERAGE(OFFSET($CC$3,0,0,'Données projet'!$E$12+1,1))-AVERAGE(OFFSET($H$3,0,0,'Données projet'!$E$12+1,1))</f>
        <v>183.99578440773581</v>
      </c>
      <c r="CE94" s="59">
        <f t="shared" si="94"/>
        <v>258.43295338669657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15.11669059416638</v>
      </c>
      <c r="CL94" s="21">
        <f>EXP(-LN(2)/25)*CL93+(1-EXP(-LN(2)/25))/(LN(2)/25)*Calculateur!CG94*Calculateur!CI94*VLOOKUP('Données projet'!$B$12,Paramètres!$A$1:$I$89,3,0)*0.475*44/12</f>
        <v>6.4023041507671898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21.518994744933572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67.454399999999836</v>
      </c>
      <c r="D95" s="11">
        <f t="shared" si="86"/>
        <v>19.03993894863974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667.67559890177927</v>
      </c>
      <c r="H95" s="67">
        <f t="shared" si="56"/>
        <v>443.97764033554722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8.2910000000000021</v>
      </c>
      <c r="N95" s="13">
        <f>IF('Données projet'!$A$36&gt;35,N94+M95-V94,IF(A95&lt;'Données projet'!$A$36,$K$205^A95,IF(A95='Données projet'!$A$36,'Données projet'!$B$36,N94+M95-V94)))</f>
        <v>330.20800000000025</v>
      </c>
      <c r="O95" s="13">
        <f>N95*VLOOKUP('Données projet'!$B$9,Paramètres!$A$1:$I$89,3,0)*VLOOKUP('Données projet'!$B$9,Paramètres!$A$1:$I$89,5,0)</f>
        <v>298.77219840000021</v>
      </c>
      <c r="P95" s="13">
        <f t="shared" si="87"/>
        <v>70.919007696700163</v>
      </c>
      <c r="Q95" s="20">
        <f t="shared" si="54"/>
        <v>643.87885061841985</v>
      </c>
      <c r="R95" s="59">
        <f t="shared" si="55"/>
        <v>937.2121839517531</v>
      </c>
      <c r="S95" s="59">
        <f ca="1">AVERAGE(OFFSET($R$3,0,0,'Données projet'!$E$9+1,1))-AVERAGE(OFFSET($H$3,0,0,'Données projet'!$E$9+1,1))</f>
        <v>399.15057697410413</v>
      </c>
      <c r="T95" s="59">
        <f t="shared" si="88"/>
        <v>182.37700638847298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36.825286159951382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36.825286159951382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8.2910000000000021</v>
      </c>
      <c r="AI95" s="13">
        <f>IF('Données projet'!$A$62&gt;35,AI94+AH95-AQ94,IF(A95&lt;'Données projet'!$A$62,$AF$205^A95,IF(A95='Données projet'!$A$62,'Données projet'!$B$62,AI94+AH95-AQ94)))</f>
        <v>330.20800000000025</v>
      </c>
      <c r="AJ95" s="13">
        <f>AI95*VLOOKUP('Données projet'!$B$10,Paramètres!$A$1:$I$89,3,0)*VLOOKUP('Données projet'!$B$10,Paramètres!$A$1:$I$89,5,0)</f>
        <v>334.8309120000003</v>
      </c>
      <c r="AK95" s="13">
        <f t="shared" si="89"/>
        <v>78.431029759422557</v>
      </c>
      <c r="AL95" s="20">
        <f t="shared" si="58"/>
        <v>719.76454856432804</v>
      </c>
      <c r="AM95" s="59">
        <f t="shared" si="59"/>
        <v>1013.0978818976614</v>
      </c>
      <c r="AN95" s="59">
        <f ca="1">AVERAGE(OFFSET($AM$3,0,0,'Données projet'!$E$10+1,1))-AVERAGE(OFFSET($H$3,0,0,'Données projet'!$E$10+1,1))</f>
        <v>463.77045964052894</v>
      </c>
      <c r="AO95" s="59">
        <f t="shared" si="90"/>
        <v>209.77146243694483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41.269717248221383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41.269717248221383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8.2910000000000021</v>
      </c>
      <c r="BD95" s="12">
        <f>IF('Données projet'!$A$88&gt;35,BD94+BC95-BL94,IF(A95&lt;'Données projet'!$A$88,$BA$205^A95,IF(A95='Données projet'!$A$88,'Données projet'!$B$88,BD94+BC95-BL94)))</f>
        <v>330.20800000000025</v>
      </c>
      <c r="BE95" s="13">
        <f>BD95*VLOOKUP('Données projet'!$B$11,Paramètres!$A$1:$I$89,3,0)*VLOOKUP('Données projet'!$B$11,Paramètres!$A$1:$I$89,5,0)</f>
        <v>319.37717760000021</v>
      </c>
      <c r="BF95" s="13">
        <f t="shared" si="91"/>
        <v>75.223748659890148</v>
      </c>
      <c r="BG95" s="20">
        <f t="shared" si="61"/>
        <v>687.26327990264235</v>
      </c>
      <c r="BH95" s="59">
        <f t="shared" si="62"/>
        <v>980.59661323597561</v>
      </c>
      <c r="BI95" s="59">
        <f ca="1">AVERAGE(OFFSET($BH$3,0,0,'Données projet'!$E$11+1,1))-AVERAGE(OFFSET($H$3,0,0,'Données projet'!$E$11+1,1))</f>
        <v>436.0942819360734</v>
      </c>
      <c r="BJ95" s="59">
        <f t="shared" si="92"/>
        <v>198.03942180876311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39.364961067534239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39.364961067534239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>
        <f>BY95*VLOOKUP('Données projet'!$B$12,Paramètres!$A$1:$I$89,3,0)*VLOOKUP('Données projet'!$B$12,Paramètres!$A$1:$I$89,5,0)</f>
        <v>0</v>
      </c>
      <c r="CA95" s="13" t="e">
        <f t="shared" si="93"/>
        <v>#NUM!</v>
      </c>
      <c r="CB95" s="20" t="e">
        <f t="shared" si="64"/>
        <v>#NUM!</v>
      </c>
      <c r="CC95" s="59" t="e">
        <f t="shared" si="65"/>
        <v>#NUM!</v>
      </c>
      <c r="CD95" s="59">
        <f ca="1">AVERAGE(OFFSET($CC$3,0,0,'Données projet'!$E$12+1,1))-AVERAGE(OFFSET($H$3,0,0,'Données projet'!$E$12+1,1))</f>
        <v>183.99578440773581</v>
      </c>
      <c r="CE95" s="59">
        <f t="shared" si="94"/>
        <v>258.43295338669657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14.820261511885613</v>
      </c>
      <c r="CL95" s="21">
        <f>EXP(-LN(2)/25)*CL94+(1-EXP(-LN(2)/25))/(LN(2)/25)*Calculateur!CG95*Calculateur!CI95*VLOOKUP('Données projet'!$B$12,Paramètres!$A$1:$I$89,3,0)*0.475*44/12</f>
        <v>6.2272328070819185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21.04749431896753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68.187599999999833</v>
      </c>
      <c r="D96" s="11">
        <f t="shared" si="86"/>
        <v>19.222689927399379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674.74609768518701</v>
      </c>
      <c r="H96" s="67">
        <f t="shared" si="56"/>
        <v>445.57292162355361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8.2910000000000021</v>
      </c>
      <c r="N96" s="13">
        <f>IF('Données projet'!$A$36&gt;35,N95+M96-V95,IF(A96&lt;'Données projet'!$A$36,$K$205^A96,IF(A96='Données projet'!$A$36,'Données projet'!$B$36,N95+M96-V95)))</f>
        <v>338.49900000000025</v>
      </c>
      <c r="O96" s="13">
        <f>N96*VLOOKUP('Données projet'!$B$9,Paramètres!$A$1:$I$89,3,0)*VLOOKUP('Données projet'!$B$9,Paramètres!$A$1:$I$89,5,0)</f>
        <v>306.27389520000025</v>
      </c>
      <c r="P96" s="13">
        <f t="shared" si="87"/>
        <v>72.490124377904692</v>
      </c>
      <c r="Q96" s="20">
        <f t="shared" si="54"/>
        <v>659.68066743151769</v>
      </c>
      <c r="R96" s="59">
        <f t="shared" si="55"/>
        <v>953.01400076485106</v>
      </c>
      <c r="S96" s="59">
        <f ca="1">AVERAGE(OFFSET($R$3,0,0,'Données projet'!$E$9+1,1))-AVERAGE(OFFSET($H$3,0,0,'Données projet'!$E$9+1,1))</f>
        <v>399.15057697410413</v>
      </c>
      <c r="T96" s="59">
        <f t="shared" si="88"/>
        <v>182.37700638847298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36.10316475956143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36.10316475956143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8.2910000000000021</v>
      </c>
      <c r="AI96" s="13">
        <f>IF('Données projet'!$A$62&gt;35,AI95+AH96-AQ95,IF(A96&lt;'Données projet'!$A$62,$AF$205^A96,IF(A96='Données projet'!$A$62,'Données projet'!$B$62,AI95+AH96-AQ95)))</f>
        <v>338.49900000000025</v>
      </c>
      <c r="AJ96" s="13">
        <f>AI96*VLOOKUP('Données projet'!$B$10,Paramètres!$A$1:$I$89,3,0)*VLOOKUP('Données projet'!$B$10,Paramètres!$A$1:$I$89,5,0)</f>
        <v>343.23798600000026</v>
      </c>
      <c r="AK96" s="13">
        <f t="shared" si="89"/>
        <v>80.16856533953208</v>
      </c>
      <c r="AL96" s="20">
        <f t="shared" si="58"/>
        <v>737.43307691635209</v>
      </c>
      <c r="AM96" s="59">
        <f t="shared" si="59"/>
        <v>1030.7664102496854</v>
      </c>
      <c r="AN96" s="59">
        <f ca="1">AVERAGE(OFFSET($AM$3,0,0,'Données projet'!$E$10+1,1))-AVERAGE(OFFSET($H$3,0,0,'Données projet'!$E$10+1,1))</f>
        <v>463.77045964052894</v>
      </c>
      <c r="AO96" s="59">
        <f t="shared" si="90"/>
        <v>209.77146243694483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40.460443265025752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40.460443265025752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8.2910000000000021</v>
      </c>
      <c r="BD96" s="12">
        <f>IF('Données projet'!$A$88&gt;35,BD95+BC96-BL95,IF(A96&lt;'Données projet'!$A$88,$BA$205^A96,IF(A96='Données projet'!$A$88,'Données projet'!$B$88,BD95+BC96-BL95)))</f>
        <v>338.49900000000025</v>
      </c>
      <c r="BE96" s="13">
        <f>BD96*VLOOKUP('Données projet'!$B$11,Paramètres!$A$1:$I$89,3,0)*VLOOKUP('Données projet'!$B$11,Paramètres!$A$1:$I$89,5,0)</f>
        <v>327.39623280000023</v>
      </c>
      <c r="BF96" s="13">
        <f t="shared" si="91"/>
        <v>76.890231175377878</v>
      </c>
      <c r="BG96" s="20">
        <f t="shared" si="61"/>
        <v>704.13225809045025</v>
      </c>
      <c r="BH96" s="59">
        <f t="shared" si="62"/>
        <v>997.46559142378351</v>
      </c>
      <c r="BI96" s="59">
        <f ca="1">AVERAGE(OFFSET($BH$3,0,0,'Données projet'!$E$11+1,1))-AVERAGE(OFFSET($H$3,0,0,'Données projet'!$E$11+1,1))</f>
        <v>436.0942819360734</v>
      </c>
      <c r="BJ96" s="59">
        <f t="shared" si="92"/>
        <v>198.03942180876311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38.593038191255324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38.593038191255324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>
        <f>BY96*VLOOKUP('Données projet'!$B$12,Paramètres!$A$1:$I$89,3,0)*VLOOKUP('Données projet'!$B$12,Paramètres!$A$1:$I$89,5,0)</f>
        <v>0</v>
      </c>
      <c r="CA96" s="13" t="e">
        <f t="shared" si="93"/>
        <v>#NUM!</v>
      </c>
      <c r="CB96" s="20" t="e">
        <f t="shared" si="64"/>
        <v>#NUM!</v>
      </c>
      <c r="CC96" s="59" t="e">
        <f t="shared" si="65"/>
        <v>#NUM!</v>
      </c>
      <c r="CD96" s="59">
        <f ca="1">AVERAGE(OFFSET($CC$3,0,0,'Données projet'!$E$12+1,1))-AVERAGE(OFFSET($H$3,0,0,'Données projet'!$E$12+1,1))</f>
        <v>183.99578440773581</v>
      </c>
      <c r="CE96" s="59">
        <f t="shared" si="94"/>
        <v>258.43295338669657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14.529645223104486</v>
      </c>
      <c r="CL96" s="21">
        <f>EXP(-LN(2)/25)*CL95+(1-EXP(-LN(2)/25))/(LN(2)/25)*Calculateur!CG96*Calculateur!CI96*VLOOKUP('Données projet'!$B$12,Paramètres!$A$1:$I$89,3,0)*0.475*44/12</f>
        <v>6.0569487984963226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20.58659402160081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68.920799999999829</v>
      </c>
      <c r="D97" s="11">
        <f t="shared" si="86"/>
        <v>19.405212311100474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681.81483187516017</v>
      </c>
      <c r="H97" s="67">
        <f t="shared" si="56"/>
        <v>447.16780477516636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>
        <f>VLOOKUP(A97,'Données projet'!$A$35:$I$55,2,0)</f>
        <v>346.79</v>
      </c>
      <c r="L97" s="12">
        <f>VLOOKUP(A97,'Données projet'!$A$35:$I$55,9,0)</f>
        <v>8.2910000000000021</v>
      </c>
      <c r="M97" s="12">
        <f t="array" ref="M97">INDEX(L:L,MIN(IF(ISNUMBER(L97:L293),ROW(L97:L293),"")))</f>
        <v>8.2910000000000021</v>
      </c>
      <c r="N97" s="13">
        <f>IF('Données projet'!$A$36&gt;35,N96+M97-V96,IF(A97&lt;'Données projet'!$A$36,$K$205^A97,IF(A97='Données projet'!$A$36,'Données projet'!$B$36,N96+M97-V96)))</f>
        <v>346.79000000000025</v>
      </c>
      <c r="O97" s="13">
        <f>N97*VLOOKUP('Données projet'!$B$9,Paramètres!$A$1:$I$89,3,0)*VLOOKUP('Données projet'!$B$9,Paramètres!$A$1:$I$89,5,0)</f>
        <v>313.77559200000019</v>
      </c>
      <c r="P97" s="13">
        <f t="shared" si="87"/>
        <v>74.056767657464533</v>
      </c>
      <c r="Q97" s="20">
        <f t="shared" si="54"/>
        <v>675.47469307008441</v>
      </c>
      <c r="R97" s="59">
        <f t="shared" si="55"/>
        <v>968.80802640341767</v>
      </c>
      <c r="S97" s="59">
        <f ca="1">AVERAGE(OFFSET($R$3,0,0,'Données projet'!$E$9+1,1))-AVERAGE(OFFSET($H$3,0,0,'Données projet'!$E$9+1,1))</f>
        <v>399.15057697410413</v>
      </c>
      <c r="T97" s="59">
        <f t="shared" si="88"/>
        <v>182.37700638847298</v>
      </c>
      <c r="U97" s="15">
        <f>IF(ISNA(VLOOKUP(A97,'Données projet'!$A$35:$I$55,3,0)),0,VLOOKUP(A97,'Données projet'!$A$35:$I$55,3,0))</f>
        <v>7</v>
      </c>
      <c r="V97" s="15">
        <f>IF(ISNA(VLOOKUP(A97,'Données projet'!$A$35:$I$55,4,0)),0,VLOOKUP(A97,'Données projet'!$A$35:$I$55,4,0))</f>
        <v>61.85</v>
      </c>
      <c r="W97" s="16">
        <f>IF(ISNA(VLOOKUP(A97,'Données projet'!$A$35:$I$55,5,0)),0%,VLOOKUP(A97,'Données projet'!$A$35:$I$55,5,0)*VLOOKUP('Données projet'!$B$9,Paramètres!$A$1:$I$89,7,0))</f>
        <v>0.25800000000000001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51.356167505910733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51.356167505910733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346.79</v>
      </c>
      <c r="AG97" s="12">
        <f>VLOOKUP(A97,'Données projet'!$A$61:$I$81,9,0)</f>
        <v>8.2910000000000021</v>
      </c>
      <c r="AH97" s="12">
        <f t="array" ref="AH97">INDEX(AG:AG,MIN(IF(ISNUMBER(AG97:AG293),ROW(AG97:AG293),"")))</f>
        <v>8.2910000000000021</v>
      </c>
      <c r="AI97" s="13">
        <f>IF('Données projet'!$A$62&gt;35,AI96+AH97-AQ96,IF(A97&lt;'Données projet'!$A$62,$AF$205^A97,IF(A97='Données projet'!$A$62,'Données projet'!$B$62,AI96+AH97-AQ96)))</f>
        <v>346.79000000000025</v>
      </c>
      <c r="AJ97" s="13">
        <f>AI97*VLOOKUP('Données projet'!$B$10,Paramètres!$A$1:$I$89,3,0)*VLOOKUP('Données projet'!$B$10,Paramètres!$A$1:$I$89,5,0)</f>
        <v>351.64506000000029</v>
      </c>
      <c r="AK97" s="13">
        <f t="shared" si="89"/>
        <v>81.901153677584574</v>
      </c>
      <c r="AL97" s="20">
        <f t="shared" si="58"/>
        <v>755.09298882179371</v>
      </c>
      <c r="AM97" s="59">
        <f t="shared" si="59"/>
        <v>1048.4263221551271</v>
      </c>
      <c r="AN97" s="59">
        <f ca="1">AVERAGE(OFFSET($AM$3,0,0,'Données projet'!$E$10+1,1))-AVERAGE(OFFSET($H$3,0,0,'Données projet'!$E$10+1,1))</f>
        <v>463.77045964052894</v>
      </c>
      <c r="AO97" s="59">
        <f t="shared" si="90"/>
        <v>209.77146243694483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0.25800000000000001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57.554325653175837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57.554325653175837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>
        <f>VLOOKUP(A97,'Données projet'!$A$87:$I$107,2,0)</f>
        <v>346.79</v>
      </c>
      <c r="BB97" s="12">
        <f>VLOOKUP(A97,'Données projet'!$A$87:$I$107,9,0)</f>
        <v>8.2910000000000021</v>
      </c>
      <c r="BC97" s="12">
        <f t="array" ref="BC97">INDEX(BB:BB,MIN(IF(ISNUMBER(BB97:BB293),ROW(BB97:BB293),"")))</f>
        <v>8.2910000000000021</v>
      </c>
      <c r="BD97" s="12">
        <f>IF('Données projet'!$A$88&gt;35,BD96+BC97-BL96,IF(A97&lt;'Données projet'!$A$88,$BA$205^A97,IF(A97='Données projet'!$A$88,'Données projet'!$B$88,BD96+BC97-BL96)))</f>
        <v>346.79000000000025</v>
      </c>
      <c r="BE97" s="13">
        <f>BD97*VLOOKUP('Données projet'!$B$11,Paramètres!$A$1:$I$89,3,0)*VLOOKUP('Données projet'!$B$11,Paramètres!$A$1:$I$89,5,0)</f>
        <v>335.41528800000026</v>
      </c>
      <c r="BF97" s="13">
        <f t="shared" si="91"/>
        <v>78.551968756441127</v>
      </c>
      <c r="BG97" s="20">
        <f t="shared" si="61"/>
        <v>720.9929721841354</v>
      </c>
      <c r="BH97" s="59">
        <f t="shared" si="62"/>
        <v>1014.3263055174687</v>
      </c>
      <c r="BI97" s="59">
        <f ca="1">AVERAGE(OFFSET($BH$3,0,0,'Données projet'!$E$11+1,1))-AVERAGE(OFFSET($H$3,0,0,'Données projet'!$E$11+1,1))</f>
        <v>436.0942819360734</v>
      </c>
      <c r="BJ97" s="59">
        <f t="shared" si="92"/>
        <v>198.03942180876311</v>
      </c>
      <c r="BK97" s="15">
        <f>IF(ISNA(VLOOKUP(A97,'Données projet'!$A$87:$I$107,3,0)),0,VLOOKUP(A97,'Données projet'!$A$87:$I$107,3,0))</f>
        <v>7</v>
      </c>
      <c r="BL97" s="15">
        <f>IF(ISNA(VLOOKUP(A97,'Données projet'!$A$87:$I$107,4,0)),0,VLOOKUP(A97,'Données projet'!$A$87:$I$107,4,0))</f>
        <v>61.85</v>
      </c>
      <c r="BM97" s="16">
        <f>IF(ISNA(VLOOKUP(A97,'Données projet'!$A$87:$I$107,5,0)),0%,VLOOKUP(A97,'Données projet'!$A$87:$I$107,5,0)*VLOOKUP('Données projet'!$B$11,Paramètres!$A$1:$I$89,7,0))</f>
        <v>0.25800000000000001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54.897972161490785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54.897972161490785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>
        <f>BY97*VLOOKUP('Données projet'!$B$12,Paramètres!$A$1:$I$89,3,0)*VLOOKUP('Données projet'!$B$12,Paramètres!$A$1:$I$89,5,0)</f>
        <v>0</v>
      </c>
      <c r="CA97" s="13" t="e">
        <f t="shared" si="93"/>
        <v>#NUM!</v>
      </c>
      <c r="CB97" s="20" t="e">
        <f t="shared" si="64"/>
        <v>#NUM!</v>
      </c>
      <c r="CC97" s="59" t="e">
        <f t="shared" si="65"/>
        <v>#NUM!</v>
      </c>
      <c r="CD97" s="59">
        <f ca="1">AVERAGE(OFFSET($CC$3,0,0,'Données projet'!$E$12+1,1))-AVERAGE(OFFSET($H$3,0,0,'Données projet'!$E$12+1,1))</f>
        <v>183.99578440773581</v>
      </c>
      <c r="CE97" s="59">
        <f t="shared" si="94"/>
        <v>258.43295338669657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14.244727742487923</v>
      </c>
      <c r="CL97" s="21">
        <f>EXP(-LN(2)/25)*CL96+(1-EXP(-LN(2)/25))/(LN(2)/25)*Calculateur!CG97*Calculateur!CI97*VLOOKUP('Données projet'!$B$12,Paramètres!$A$1:$I$89,3,0)*0.475*44/12</f>
        <v>5.8913212150803469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20.136048957568271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69.653999999999826</v>
      </c>
      <c r="D98" s="11">
        <f t="shared" si="86"/>
        <v>19.58750881309674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688.88182241688583</v>
      </c>
      <c r="H98" s="67">
        <f t="shared" si="56"/>
        <v>448.76229451614319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8.0470000000000024</v>
      </c>
      <c r="N98" s="13">
        <f>IF('Données projet'!$A$36&gt;35,N97+M98-V97,IF(A98&lt;'Données projet'!$A$36,$K$205^A98,IF(A98='Données projet'!$A$36,'Données projet'!$B$36,N97+M98-V97)))</f>
        <v>292.98700000000025</v>
      </c>
      <c r="O98" s="13">
        <f>N98*VLOOKUP('Données projet'!$B$9,Paramètres!$A$1:$I$89,3,0)*VLOOKUP('Données projet'!$B$9,Paramètres!$A$1:$I$89,5,0)</f>
        <v>265.09463760000023</v>
      </c>
      <c r="P98" s="13">
        <f t="shared" si="87"/>
        <v>63.807119294189917</v>
      </c>
      <c r="Q98" s="20">
        <f t="shared" si="54"/>
        <v>572.83722659071452</v>
      </c>
      <c r="R98" s="59">
        <f t="shared" si="55"/>
        <v>866.17055992404789</v>
      </c>
      <c r="S98" s="59">
        <f ca="1">AVERAGE(OFFSET($R$3,0,0,'Données projet'!$E$9+1,1))-AVERAGE(OFFSET($H$3,0,0,'Données projet'!$E$9+1,1))</f>
        <v>399.15057697410413</v>
      </c>
      <c r="T98" s="59">
        <f t="shared" si="88"/>
        <v>182.37700638847298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50.349104385288996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50.349104385288996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8.0470000000000024</v>
      </c>
      <c r="AI98" s="13">
        <f>IF('Données projet'!$A$62&gt;35,AI97+AH98-AQ97,IF(A98&lt;'Données projet'!$A$62,$AF$205^A98,IF(A98='Données projet'!$A$62,'Données projet'!$B$62,AI97+AH98-AQ97)))</f>
        <v>292.98700000000025</v>
      </c>
      <c r="AJ98" s="13">
        <f>AI98*VLOOKUP('Données projet'!$B$10,Paramètres!$A$1:$I$89,3,0)*VLOOKUP('Données projet'!$B$10,Paramètres!$A$1:$I$89,5,0)</f>
        <v>297.08881800000029</v>
      </c>
      <c r="AK98" s="13">
        <f t="shared" si="89"/>
        <v>70.565821981438845</v>
      </c>
      <c r="AL98" s="20">
        <f t="shared" si="58"/>
        <v>640.33183130100645</v>
      </c>
      <c r="AM98" s="59">
        <f t="shared" si="59"/>
        <v>933.66516463433982</v>
      </c>
      <c r="AN98" s="59">
        <f ca="1">AVERAGE(OFFSET($AM$3,0,0,'Données projet'!$E$10+1,1))-AVERAGE(OFFSET($H$3,0,0,'Données projet'!$E$10+1,1))</f>
        <v>463.77045964052894</v>
      </c>
      <c r="AO98" s="59">
        <f t="shared" si="90"/>
        <v>209.77146243694483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56.425720431789408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56.425720431789408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8.0470000000000024</v>
      </c>
      <c r="BD98" s="12">
        <f>IF('Données projet'!$A$88&gt;35,BD97+BC98-BL97,IF(A98&lt;'Données projet'!$A$88,$BA$205^A98,IF(A98='Données projet'!$A$88,'Données projet'!$B$88,BD97+BC98-BL97)))</f>
        <v>292.98700000000025</v>
      </c>
      <c r="BE98" s="13">
        <f>BD98*VLOOKUP('Données projet'!$B$11,Paramètres!$A$1:$I$89,3,0)*VLOOKUP('Données projet'!$B$11,Paramètres!$A$1:$I$89,5,0)</f>
        <v>283.37702640000026</v>
      </c>
      <c r="BF98" s="13">
        <f t="shared" si="91"/>
        <v>67.68017292381127</v>
      </c>
      <c r="BG98" s="20">
        <f t="shared" si="61"/>
        <v>611.42462215563842</v>
      </c>
      <c r="BH98" s="59">
        <f t="shared" si="62"/>
        <v>904.75795548897167</v>
      </c>
      <c r="BI98" s="59">
        <f ca="1">AVERAGE(OFFSET($BH$3,0,0,'Données projet'!$E$11+1,1))-AVERAGE(OFFSET($H$3,0,0,'Données projet'!$E$11+1,1))</f>
        <v>436.0942819360734</v>
      </c>
      <c r="BJ98" s="59">
        <f t="shared" si="92"/>
        <v>198.03942180876311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53.821456411860652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53.821456411860652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>
        <f>BY98*VLOOKUP('Données projet'!$B$12,Paramètres!$A$1:$I$89,3,0)*VLOOKUP('Données projet'!$B$12,Paramètres!$A$1:$I$89,5,0)</f>
        <v>0</v>
      </c>
      <c r="CA98" s="13" t="e">
        <f t="shared" si="93"/>
        <v>#NUM!</v>
      </c>
      <c r="CB98" s="20" t="e">
        <f t="shared" si="64"/>
        <v>#NUM!</v>
      </c>
      <c r="CC98" s="59" t="e">
        <f t="shared" si="65"/>
        <v>#NUM!</v>
      </c>
      <c r="CD98" s="59">
        <f ca="1">AVERAGE(OFFSET($CC$3,0,0,'Données projet'!$E$12+1,1))-AVERAGE(OFFSET($H$3,0,0,'Données projet'!$E$12+1,1))</f>
        <v>183.99578440773581</v>
      </c>
      <c r="CE98" s="59">
        <f t="shared" si="94"/>
        <v>258.43295338669657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13.965397319883747</v>
      </c>
      <c r="CL98" s="21">
        <f>EXP(-LN(2)/25)*CL97+(1-EXP(-LN(2)/25))/(LN(2)/25)*Calculateur!CG98*Calculateur!CI98*VLOOKUP('Données projet'!$B$12,Paramètres!$A$1:$I$89,3,0)*0.475*44/12</f>
        <v>5.7302227266428565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19.695620046526603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70.387199999999822</v>
      </c>
      <c r="D99" s="11">
        <f t="shared" si="86"/>
        <v>19.769582086327762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695.9470897891955</v>
      </c>
      <c r="H99" s="67">
        <f t="shared" si="56"/>
        <v>450.35639546702049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8.0470000000000024</v>
      </c>
      <c r="N99" s="13">
        <f>IF('Données projet'!$A$36&gt;35,N98+M99-V98,IF(A99&lt;'Données projet'!$A$36,$K$205^A99,IF(A99='Données projet'!$A$36,'Données projet'!$B$36,N98+M99-V98)))</f>
        <v>301.03400000000028</v>
      </c>
      <c r="O99" s="13">
        <f>N99*VLOOKUP('Données projet'!$B$9,Paramètres!$A$1:$I$89,3,0)*VLOOKUP('Données projet'!$B$9,Paramètres!$A$1:$I$89,5,0)</f>
        <v>272.37556320000027</v>
      </c>
      <c r="P99" s="13">
        <f t="shared" si="87"/>
        <v>65.35316643513535</v>
      </c>
      <c r="Q99" s="20">
        <f t="shared" ref="Q99:Q130" si="107">(O99+P99)*0.475*44/12</f>
        <v>588.21087078119456</v>
      </c>
      <c r="R99" s="59">
        <f t="shared" si="55"/>
        <v>881.54420411452793</v>
      </c>
      <c r="S99" s="59">
        <f ca="1">AVERAGE(OFFSET($R$3,0,0,'Données projet'!$E$9+1,1))-AVERAGE(OFFSET($H$3,0,0,'Données projet'!$E$9+1,1))</f>
        <v>399.15057697410413</v>
      </c>
      <c r="T99" s="59">
        <f t="shared" si="88"/>
        <v>182.37700638847298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49.361789158214798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49.361789158214798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8.0470000000000024</v>
      </c>
      <c r="AI99" s="13">
        <f>IF('Données projet'!$A$62&gt;35,AI98+AH99-AQ98,IF(A99&lt;'Données projet'!$A$62,$AF$205^A99,IF(A99='Données projet'!$A$62,'Données projet'!$B$62,AI98+AH99-AQ98)))</f>
        <v>301.03400000000028</v>
      </c>
      <c r="AJ99" s="13">
        <f>AI99*VLOOKUP('Données projet'!$B$10,Paramètres!$A$1:$I$89,3,0)*VLOOKUP('Données projet'!$B$10,Paramètres!$A$1:$I$89,5,0)</f>
        <v>305.24847600000032</v>
      </c>
      <c r="AK99" s="13">
        <f t="shared" si="89"/>
        <v>72.275632556335026</v>
      </c>
      <c r="AL99" s="20">
        <f t="shared" si="58"/>
        <v>657.52115573561741</v>
      </c>
      <c r="AM99" s="59">
        <f t="shared" si="59"/>
        <v>950.85448906895067</v>
      </c>
      <c r="AN99" s="59">
        <f ca="1">AVERAGE(OFFSET($AM$3,0,0,'Données projet'!$E$10+1,1))-AVERAGE(OFFSET($H$3,0,0,'Données projet'!$E$10+1,1))</f>
        <v>463.77045964052894</v>
      </c>
      <c r="AO99" s="59">
        <f t="shared" si="90"/>
        <v>209.77146243694483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55.319246470413155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55.319246470413155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8.0470000000000024</v>
      </c>
      <c r="BD99" s="12">
        <f>IF('Données projet'!$A$88&gt;35,BD98+BC99-BL98,IF(A99&lt;'Données projet'!$A$88,$BA$205^A99,IF(A99='Données projet'!$A$88,'Données projet'!$B$88,BD98+BC99-BL98)))</f>
        <v>301.03400000000028</v>
      </c>
      <c r="BE99" s="13">
        <f>BD99*VLOOKUP('Données projet'!$B$11,Paramètres!$A$1:$I$89,3,0)*VLOOKUP('Données projet'!$B$11,Paramètres!$A$1:$I$89,5,0)</f>
        <v>291.16008480000028</v>
      </c>
      <c r="BF99" s="13">
        <f t="shared" si="91"/>
        <v>69.320064193077258</v>
      </c>
      <c r="BG99" s="20">
        <f t="shared" si="61"/>
        <v>627.83625949627674</v>
      </c>
      <c r="BH99" s="59">
        <f t="shared" si="62"/>
        <v>921.16959282961011</v>
      </c>
      <c r="BI99" s="59">
        <f ca="1">AVERAGE(OFFSET($BH$3,0,0,'Données projet'!$E$11+1,1))-AVERAGE(OFFSET($H$3,0,0,'Données projet'!$E$11+1,1))</f>
        <v>436.0942819360734</v>
      </c>
      <c r="BJ99" s="59">
        <f t="shared" si="92"/>
        <v>198.03942180876311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52.766050479470998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52.766050479470998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>
        <f>BY99*VLOOKUP('Données projet'!$B$12,Paramètres!$A$1:$I$89,3,0)*VLOOKUP('Données projet'!$B$12,Paramètres!$A$1:$I$89,5,0)</f>
        <v>0</v>
      </c>
      <c r="CA99" s="13" t="e">
        <f t="shared" si="93"/>
        <v>#NUM!</v>
      </c>
      <c r="CB99" s="20" t="e">
        <f t="shared" si="64"/>
        <v>#NUM!</v>
      </c>
      <c r="CC99" s="59" t="e">
        <f t="shared" si="65"/>
        <v>#NUM!</v>
      </c>
      <c r="CD99" s="59">
        <f ca="1">AVERAGE(OFFSET($CC$3,0,0,'Données projet'!$E$12+1,1))-AVERAGE(OFFSET($H$3,0,0,'Données projet'!$E$12+1,1))</f>
        <v>183.99578440773581</v>
      </c>
      <c r="CE99" s="59">
        <f t="shared" si="94"/>
        <v>258.43295338669657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13.691544396492105</v>
      </c>
      <c r="CL99" s="21">
        <f>EXP(-LN(2)/25)*CL98+(1-EXP(-LN(2)/25))/(LN(2)/25)*Calculateur!CG99*Calculateur!CI99*VLOOKUP('Données projet'!$B$12,Paramètres!$A$1:$I$89,3,0)*0.475*44/12</f>
        <v>5.5735294848434913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19.265073881335596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71.120399999999819</v>
      </c>
      <c r="D100" s="11">
        <f t="shared" si="86"/>
        <v>19.951434725279164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703.01065401969754</v>
      </c>
      <c r="H100" s="67">
        <f t="shared" si="56"/>
        <v>451.95011214652754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8.0470000000000024</v>
      </c>
      <c r="N100" s="13">
        <f>IF('Données projet'!$A$36&gt;35,N99+M100-V99,IF(A100&lt;'Données projet'!$A$36,$K$205^A100,IF(A100='Données projet'!$A$36,'Données projet'!$B$36,N99+M100-V99)))</f>
        <v>309.0810000000003</v>
      </c>
      <c r="O100" s="13">
        <f>N100*VLOOKUP('Données projet'!$B$9,Paramètres!$A$1:$I$89,3,0)*VLOOKUP('Données projet'!$B$9,Paramètres!$A$1:$I$89,5,0)</f>
        <v>279.65648880000026</v>
      </c>
      <c r="P100" s="13">
        <f t="shared" si="87"/>
        <v>66.894409904113928</v>
      </c>
      <c r="Q100" s="20">
        <f t="shared" si="107"/>
        <v>603.57614857633223</v>
      </c>
      <c r="R100" s="59">
        <f t="shared" si="55"/>
        <v>896.9094819096656</v>
      </c>
      <c r="S100" s="59">
        <f ca="1">AVERAGE(OFFSET($R$3,0,0,'Données projet'!$E$9+1,1))-AVERAGE(OFFSET($H$3,0,0,'Données projet'!$E$9+1,1))</f>
        <v>399.15057697410413</v>
      </c>
      <c r="T100" s="59">
        <f t="shared" si="88"/>
        <v>182.37700638847298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48.393834580540698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48.393834580540698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8.0470000000000024</v>
      </c>
      <c r="AI100" s="13">
        <f>IF('Données projet'!$A$62&gt;35,AI99+AH100-AQ99,IF(A100&lt;'Données projet'!$A$62,$AF$205^A100,IF(A100='Données projet'!$A$62,'Données projet'!$B$62,AI99+AH100-AQ99)))</f>
        <v>309.0810000000003</v>
      </c>
      <c r="AJ100" s="13">
        <f>AI100*VLOOKUP('Données projet'!$B$10,Paramètres!$A$1:$I$89,3,0)*VLOOKUP('Données projet'!$B$10,Paramètres!$A$1:$I$89,5,0)</f>
        <v>313.4081340000003</v>
      </c>
      <c r="AK100" s="13">
        <f t="shared" si="89"/>
        <v>73.980130635311994</v>
      </c>
      <c r="AL100" s="20">
        <f t="shared" si="58"/>
        <v>674.70122757316892</v>
      </c>
      <c r="AM100" s="59">
        <f t="shared" si="59"/>
        <v>968.03456090650229</v>
      </c>
      <c r="AN100" s="59">
        <f ca="1">AVERAGE(OFFSET($AM$3,0,0,'Données projet'!$E$10+1,1))-AVERAGE(OFFSET($H$3,0,0,'Données projet'!$E$10+1,1))</f>
        <v>463.77045964052894</v>
      </c>
      <c r="AO100" s="59">
        <f t="shared" si="90"/>
        <v>209.77146243694483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54.234469788537012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54.234469788537012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8.0470000000000024</v>
      </c>
      <c r="BD100" s="12">
        <f>IF('Données projet'!$A$88&gt;35,BD99+BC100-BL99,IF(A100&lt;'Données projet'!$A$88,$BA$205^A100,IF(A100='Données projet'!$A$88,'Données projet'!$B$88,BD99+BC100-BL99)))</f>
        <v>309.0810000000003</v>
      </c>
      <c r="BE100" s="13">
        <f>BD100*VLOOKUP('Données projet'!$B$11,Paramètres!$A$1:$I$89,3,0)*VLOOKUP('Données projet'!$B$11,Paramètres!$A$1:$I$89,5,0)</f>
        <v>298.94314320000029</v>
      </c>
      <c r="BF100" s="13">
        <f t="shared" si="91"/>
        <v>70.954860210387238</v>
      </c>
      <c r="BG100" s="20">
        <f t="shared" si="61"/>
        <v>644.23902260642501</v>
      </c>
      <c r="BH100" s="59">
        <f t="shared" si="62"/>
        <v>937.57235593975838</v>
      </c>
      <c r="BI100" s="59">
        <f ca="1">AVERAGE(OFFSET($BH$3,0,0,'Données projet'!$E$11+1,1))-AVERAGE(OFFSET($H$3,0,0,'Données projet'!$E$11+1,1))</f>
        <v>436.0942819360734</v>
      </c>
      <c r="BJ100" s="59">
        <f t="shared" si="92"/>
        <v>198.03942180876311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51.731340413681444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51.731340413681444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>
        <f>BY100*VLOOKUP('Données projet'!$B$12,Paramètres!$A$1:$I$89,3,0)*VLOOKUP('Données projet'!$B$12,Paramètres!$A$1:$I$89,5,0)</f>
        <v>0</v>
      </c>
      <c r="CA100" s="13" t="e">
        <f t="shared" si="93"/>
        <v>#NUM!</v>
      </c>
      <c r="CB100" s="20" t="e">
        <f t="shared" si="64"/>
        <v>#NUM!</v>
      </c>
      <c r="CC100" s="59" t="e">
        <f t="shared" si="65"/>
        <v>#NUM!</v>
      </c>
      <c r="CD100" s="59">
        <f ca="1">AVERAGE(OFFSET($CC$3,0,0,'Données projet'!$E$12+1,1))-AVERAGE(OFFSET($H$3,0,0,'Données projet'!$E$12+1,1))</f>
        <v>183.99578440773581</v>
      </c>
      <c r="CE100" s="59">
        <f t="shared" si="94"/>
        <v>258.43295338669657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13.423061561894382</v>
      </c>
      <c r="CL100" s="21">
        <f>EXP(-LN(2)/25)*CL99+(1-EXP(-LN(2)/25))/(LN(2)/25)*Calculateur!CG100*Calculateur!CI100*VLOOKUP('Données projet'!$B$12,Paramètres!$A$1:$I$89,3,0)*0.475*44/12</f>
        <v>5.4211210279812692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18.844182589875651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71.853599999999815</v>
      </c>
      <c r="D101" s="11">
        <f t="shared" si="86"/>
        <v>20.133069267859618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710.07253469926593</v>
      </c>
      <c r="H101" s="67">
        <f t="shared" si="56"/>
        <v>453.54344897485515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8.0470000000000024</v>
      </c>
      <c r="N101" s="13">
        <f>IF('Données projet'!$A$36&gt;35,N100+M101-V100,IF(A101&lt;'Données projet'!$A$36,$K$205^A101,IF(A101='Données projet'!$A$36,'Données projet'!$B$36,N100+M101-V100)))</f>
        <v>317.12800000000033</v>
      </c>
      <c r="O101" s="13">
        <f>N101*VLOOKUP('Données projet'!$B$9,Paramètres!$A$1:$I$89,3,0)*VLOOKUP('Données projet'!$B$9,Paramètres!$A$1:$I$89,5,0)</f>
        <v>286.93741440000031</v>
      </c>
      <c r="P101" s="13">
        <f t="shared" si="87"/>
        <v>68.430989143985158</v>
      </c>
      <c r="Q101" s="20">
        <f t="shared" si="107"/>
        <v>618.93330283910791</v>
      </c>
      <c r="R101" s="59">
        <f t="shared" si="55"/>
        <v>912.26663617244117</v>
      </c>
      <c r="S101" s="59">
        <f ca="1">AVERAGE(OFFSET($R$3,0,0,'Données projet'!$E$9+1,1))-AVERAGE(OFFSET($H$3,0,0,'Données projet'!$E$9+1,1))</f>
        <v>399.15057697410413</v>
      </c>
      <c r="T101" s="59">
        <f t="shared" si="88"/>
        <v>182.37700638847298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47.444861001740797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47.444861001740797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8.0470000000000024</v>
      </c>
      <c r="AI101" s="13">
        <f>IF('Données projet'!$A$62&gt;35,AI100+AH101-AQ100,IF(A101&lt;'Données projet'!$A$62,$AF$205^A101,IF(A101='Données projet'!$A$62,'Données projet'!$B$62,AI100+AH101-AQ100)))</f>
        <v>317.12800000000033</v>
      </c>
      <c r="AJ101" s="13">
        <f>AI101*VLOOKUP('Données projet'!$B$10,Paramètres!$A$1:$I$89,3,0)*VLOOKUP('Données projet'!$B$10,Paramètres!$A$1:$I$89,5,0)</f>
        <v>321.56779200000034</v>
      </c>
      <c r="AK101" s="13">
        <f t="shared" si="89"/>
        <v>75.679470431568902</v>
      </c>
      <c r="AL101" s="20">
        <f t="shared" si="58"/>
        <v>691.87231540164976</v>
      </c>
      <c r="AM101" s="59">
        <f t="shared" si="59"/>
        <v>985.20564873498301</v>
      </c>
      <c r="AN101" s="59">
        <f ca="1">AVERAGE(OFFSET($AM$3,0,0,'Données projet'!$E$10+1,1))-AVERAGE(OFFSET($H$3,0,0,'Données projet'!$E$10+1,1))</f>
        <v>463.77045964052894</v>
      </c>
      <c r="AO101" s="59">
        <f t="shared" si="90"/>
        <v>209.77146243694483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53.170964915744015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53.170964915744015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8.0470000000000024</v>
      </c>
      <c r="BD101" s="12">
        <f>IF('Données projet'!$A$88&gt;35,BD100+BC101-BL100,IF(A101&lt;'Données projet'!$A$88,$BA$205^A101,IF(A101='Données projet'!$A$88,'Données projet'!$B$88,BD100+BC101-BL100)))</f>
        <v>317.12800000000033</v>
      </c>
      <c r="BE101" s="13">
        <f>BD101*VLOOKUP('Données projet'!$B$11,Paramètres!$A$1:$I$89,3,0)*VLOOKUP('Données projet'!$B$11,Paramètres!$A$1:$I$89,5,0)</f>
        <v>306.72620160000031</v>
      </c>
      <c r="BF101" s="13">
        <f t="shared" si="91"/>
        <v>72.584708882698152</v>
      </c>
      <c r="BG101" s="20">
        <f t="shared" si="61"/>
        <v>660.63316909069977</v>
      </c>
      <c r="BH101" s="59">
        <f t="shared" si="62"/>
        <v>953.96650242403302</v>
      </c>
      <c r="BI101" s="59">
        <f ca="1">AVERAGE(OFFSET($BH$3,0,0,'Données projet'!$E$11+1,1))-AVERAGE(OFFSET($H$3,0,0,'Données projet'!$E$11+1,1))</f>
        <v>436.0942819360734</v>
      </c>
      <c r="BJ101" s="59">
        <f t="shared" si="92"/>
        <v>198.03942180876311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50.716920381171207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50.716920381171207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>
        <f>BY101*VLOOKUP('Données projet'!$B$12,Paramètres!$A$1:$I$89,3,0)*VLOOKUP('Données projet'!$B$12,Paramètres!$A$1:$I$89,5,0)</f>
        <v>0</v>
      </c>
      <c r="CA101" s="13" t="e">
        <f t="shared" si="93"/>
        <v>#NUM!</v>
      </c>
      <c r="CB101" s="20" t="e">
        <f t="shared" si="64"/>
        <v>#NUM!</v>
      </c>
      <c r="CC101" s="59" t="e">
        <f t="shared" si="65"/>
        <v>#NUM!</v>
      </c>
      <c r="CD101" s="59">
        <f ca="1">AVERAGE(OFFSET($CC$3,0,0,'Données projet'!$E$12+1,1))-AVERAGE(OFFSET($H$3,0,0,'Données projet'!$E$12+1,1))</f>
        <v>183.99578440773581</v>
      </c>
      <c r="CE101" s="59">
        <f t="shared" si="94"/>
        <v>258.43295338669657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13.159843511924761</v>
      </c>
      <c r="CL101" s="21">
        <f>EXP(-LN(2)/25)*CL100+(1-EXP(-LN(2)/25))/(LN(2)/25)*Calculateur!CG101*Calculateur!CI101*VLOOKUP('Données projet'!$B$12,Paramètres!$A$1:$I$89,3,0)*0.475*44/12</f>
        <v>5.2728801883867567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18.432723700311517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72.586799999999812</v>
      </c>
      <c r="D102" s="11">
        <f t="shared" si="86"/>
        <v>20.314488197199012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717.13275099592067</v>
      </c>
      <c r="H102" s="67">
        <f t="shared" si="56"/>
        <v>455.13641027678796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8.0470000000000024</v>
      </c>
      <c r="N102" s="13">
        <f>IF('Données projet'!$A$36&gt;35,N101+M102-V101,IF(A102&lt;'Données projet'!$A$36,$K$205^A102,IF(A102='Données projet'!$A$36,'Données projet'!$B$36,N101+M102-V101)))</f>
        <v>325.17500000000035</v>
      </c>
      <c r="O102" s="13">
        <f>N102*VLOOKUP('Données projet'!$B$9,Paramètres!$A$1:$I$89,3,0)*VLOOKUP('Données projet'!$B$9,Paramètres!$A$1:$I$89,5,0)</f>
        <v>294.2183400000003</v>
      </c>
      <c r="P102" s="13">
        <f t="shared" si="87"/>
        <v>69.963036117759913</v>
      </c>
      <c r="Q102" s="20">
        <f t="shared" si="107"/>
        <v>634.28256340509904</v>
      </c>
      <c r="R102" s="59">
        <f t="shared" si="55"/>
        <v>927.61589673843241</v>
      </c>
      <c r="S102" s="59">
        <f ca="1">AVERAGE(OFFSET($R$3,0,0,'Données projet'!$E$9+1,1))-AVERAGE(OFFSET($H$3,0,0,'Données projet'!$E$9+1,1))</f>
        <v>399.15057697410413</v>
      </c>
      <c r="T102" s="59">
        <f t="shared" si="88"/>
        <v>182.37700638847298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46.514496216004432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46.514496216004432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8.0470000000000024</v>
      </c>
      <c r="AI102" s="13">
        <f>IF('Données projet'!$A$62&gt;35,AI101+AH102-AQ101,IF(A102&lt;'Données projet'!$A$62,$AF$205^A102,IF(A102='Données projet'!$A$62,'Données projet'!$B$62,AI101+AH102-AQ101)))</f>
        <v>325.17500000000035</v>
      </c>
      <c r="AJ102" s="13">
        <f>AI102*VLOOKUP('Données projet'!$B$10,Paramètres!$A$1:$I$89,3,0)*VLOOKUP('Données projet'!$B$10,Paramètres!$A$1:$I$89,5,0)</f>
        <v>329.72745000000037</v>
      </c>
      <c r="AK102" s="13">
        <f t="shared" si="89"/>
        <v>77.373797886161128</v>
      </c>
      <c r="AL102" s="20">
        <f t="shared" si="58"/>
        <v>709.0346734017312</v>
      </c>
      <c r="AM102" s="59">
        <f t="shared" si="59"/>
        <v>1002.3680067350645</v>
      </c>
      <c r="AN102" s="59">
        <f ca="1">AVERAGE(OFFSET($AM$3,0,0,'Données projet'!$E$10+1,1))-AVERAGE(OFFSET($H$3,0,0,'Données projet'!$E$10+1,1))</f>
        <v>463.77045964052894</v>
      </c>
      <c r="AO102" s="59">
        <f t="shared" si="90"/>
        <v>209.77146243694483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52.12831472483257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52.12831472483257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8.0470000000000024</v>
      </c>
      <c r="BD102" s="12">
        <f>IF('Données projet'!$A$88&gt;35,BD101+BC102-BL101,IF(A102&lt;'Données projet'!$A$88,$BA$205^A102,IF(A102='Données projet'!$A$88,'Données projet'!$B$88,BD101+BC102-BL101)))</f>
        <v>325.17500000000035</v>
      </c>
      <c r="BE102" s="13">
        <f>BD102*VLOOKUP('Données projet'!$B$11,Paramètres!$A$1:$I$89,3,0)*VLOOKUP('Données projet'!$B$11,Paramètres!$A$1:$I$89,5,0)</f>
        <v>314.50926000000038</v>
      </c>
      <c r="BF102" s="13">
        <f t="shared" si="91"/>
        <v>74.209750183096105</v>
      </c>
      <c r="BG102" s="20">
        <f t="shared" si="61"/>
        <v>677.01894273555968</v>
      </c>
      <c r="BH102" s="59">
        <f t="shared" si="62"/>
        <v>970.35227606889293</v>
      </c>
      <c r="BI102" s="59">
        <f ca="1">AVERAGE(OFFSET($BH$3,0,0,'Données projet'!$E$11+1,1))-AVERAGE(OFFSET($H$3,0,0,'Données projet'!$E$11+1,1))</f>
        <v>436.0942819360734</v>
      </c>
      <c r="BJ102" s="59">
        <f t="shared" si="92"/>
        <v>198.03942180876311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49.72239250676337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49.72239250676337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>
        <f>BY102*VLOOKUP('Données projet'!$B$12,Paramètres!$A$1:$I$89,3,0)*VLOOKUP('Données projet'!$B$12,Paramètres!$A$1:$I$89,5,0)</f>
        <v>0</v>
      </c>
      <c r="CA102" s="13" t="e">
        <f t="shared" si="93"/>
        <v>#NUM!</v>
      </c>
      <c r="CB102" s="20" t="e">
        <f t="shared" si="64"/>
        <v>#NUM!</v>
      </c>
      <c r="CC102" s="59" t="e">
        <f t="shared" si="65"/>
        <v>#NUM!</v>
      </c>
      <c r="CD102" s="59">
        <f ca="1">AVERAGE(OFFSET($CC$3,0,0,'Données projet'!$E$12+1,1))-AVERAGE(OFFSET($H$3,0,0,'Données projet'!$E$12+1,1))</f>
        <v>183.99578440773581</v>
      </c>
      <c r="CE102" s="59">
        <f t="shared" si="94"/>
        <v>258.43295338669657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12.901787007367886</v>
      </c>
      <c r="CL102" s="21">
        <f>EXP(-LN(2)/25)*CL101+(1-EXP(-LN(2)/25))/(LN(2)/25)*Calculateur!CG102*Calculateur!CI102*VLOOKUP('Données projet'!$B$12,Paramètres!$A$1:$I$89,3,0)*0.475*44/12</f>
        <v>5.1286930023466031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18.030480009714488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73.319999999999808</v>
      </c>
      <c r="D103" s="11">
        <f t="shared" si="86"/>
        <v>20.495693943372022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724.19132166813336</v>
      </c>
      <c r="H103" s="67">
        <f t="shared" si="56"/>
        <v>456.72900028470588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8.0470000000000024</v>
      </c>
      <c r="N103" s="13">
        <f>IF('Données projet'!$A$36&gt;35,N102+M103-V102,IF(A103&lt;'Données projet'!$A$36,$K$205^A103,IF(A103='Données projet'!$A$36,'Données projet'!$B$36,N102+M103-V102)))</f>
        <v>333.22200000000038</v>
      </c>
      <c r="O103" s="13">
        <f>N103*VLOOKUP('Données projet'!$B$9,Paramètres!$A$1:$I$89,3,0)*VLOOKUP('Données projet'!$B$9,Paramètres!$A$1:$I$89,5,0)</f>
        <v>301.49926560000034</v>
      </c>
      <c r="P103" s="13">
        <f t="shared" si="87"/>
        <v>71.490675884857296</v>
      </c>
      <c r="Q103" s="20">
        <f t="shared" si="107"/>
        <v>649.62414808612709</v>
      </c>
      <c r="R103" s="59">
        <f t="shared" si="55"/>
        <v>942.95748141946046</v>
      </c>
      <c r="S103" s="59">
        <f ca="1">AVERAGE(OFFSET($R$3,0,0,'Données projet'!$E$9+1,1))-AVERAGE(OFFSET($H$3,0,0,'Données projet'!$E$9+1,1))</f>
        <v>399.15057697410413</v>
      </c>
      <c r="T103" s="59">
        <f t="shared" si="88"/>
        <v>182.37700638847298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45.602375316249869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45.602375316249869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8.0470000000000024</v>
      </c>
      <c r="AI103" s="13">
        <f>IF('Données projet'!$A$62&gt;35,AI102+AH103-AQ102,IF(A103&lt;'Données projet'!$A$62,$AF$205^A103,IF(A103='Données projet'!$A$62,'Données projet'!$B$62,AI102+AH103-AQ102)))</f>
        <v>333.22200000000038</v>
      </c>
      <c r="AJ103" s="13">
        <f>AI103*VLOOKUP('Données projet'!$B$10,Paramètres!$A$1:$I$89,3,0)*VLOOKUP('Données projet'!$B$10,Paramètres!$A$1:$I$89,5,0)</f>
        <v>337.88710800000041</v>
      </c>
      <c r="AK103" s="13">
        <f t="shared" si="89"/>
        <v>79.063251305296689</v>
      </c>
      <c r="AL103" s="20">
        <f t="shared" si="58"/>
        <v>726.18854245672571</v>
      </c>
      <c r="AM103" s="59">
        <f t="shared" si="59"/>
        <v>1019.5218757900591</v>
      </c>
      <c r="AN103" s="59">
        <f ca="1">AVERAGE(OFFSET($AM$3,0,0,'Données projet'!$E$10+1,1))-AVERAGE(OFFSET($H$3,0,0,'Données projet'!$E$10+1,1))</f>
        <v>463.77045964052894</v>
      </c>
      <c r="AO103" s="59">
        <f t="shared" si="90"/>
        <v>209.77146243694483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51.106110268211076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51.106110268211076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8.0470000000000024</v>
      </c>
      <c r="BD103" s="12">
        <f>IF('Données projet'!$A$88&gt;35,BD102+BC103-BL102,IF(A103&lt;'Données projet'!$A$88,$BA$205^A103,IF(A103='Données projet'!$A$88,'Données projet'!$B$88,BD102+BC103-BL102)))</f>
        <v>333.22200000000038</v>
      </c>
      <c r="BE103" s="13">
        <f>BD103*VLOOKUP('Données projet'!$B$11,Paramètres!$A$1:$I$89,3,0)*VLOOKUP('Données projet'!$B$11,Paramètres!$A$1:$I$89,5,0)</f>
        <v>322.2923184000004</v>
      </c>
      <c r="BF103" s="13">
        <f t="shared" si="91"/>
        <v>75.830116762031381</v>
      </c>
      <c r="BG103" s="20">
        <f t="shared" si="61"/>
        <v>693.39657457387193</v>
      </c>
      <c r="BH103" s="59">
        <f t="shared" si="62"/>
        <v>986.72990790720519</v>
      </c>
      <c r="BI103" s="59">
        <f ca="1">AVERAGE(OFFSET($BH$3,0,0,'Données projet'!$E$11+1,1))-AVERAGE(OFFSET($H$3,0,0,'Données projet'!$E$11+1,1))</f>
        <v>436.0942819360734</v>
      </c>
      <c r="BJ103" s="59">
        <f t="shared" si="92"/>
        <v>198.03942180876311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48.747366717370561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48.747366717370561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>
        <f>BY103*VLOOKUP('Données projet'!$B$12,Paramètres!$A$1:$I$89,3,0)*VLOOKUP('Données projet'!$B$12,Paramètres!$A$1:$I$89,5,0)</f>
        <v>0</v>
      </c>
      <c r="CA103" s="13" t="e">
        <f t="shared" si="93"/>
        <v>#NUM!</v>
      </c>
      <c r="CB103" s="20" t="e">
        <f t="shared" si="64"/>
        <v>#NUM!</v>
      </c>
      <c r="CC103" s="59" t="e">
        <f t="shared" si="65"/>
        <v>#NUM!</v>
      </c>
      <c r="CD103" s="59">
        <f ca="1">AVERAGE(OFFSET($CC$3,0,0,'Données projet'!$E$12+1,1))-AVERAGE(OFFSET($H$3,0,0,'Données projet'!$E$12+1,1))</f>
        <v>183.99578440773581</v>
      </c>
      <c r="CE103" s="59">
        <f t="shared" si="94"/>
        <v>258.43295338669657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12.648790833466446</v>
      </c>
      <c r="CL103" s="21">
        <f>EXP(-LN(2)/25)*CL102+(1-EXP(-LN(2)/25))/(LN(2)/25)*Calculateur!CG103*Calculateur!CI103*VLOOKUP('Données projet'!$B$12,Paramètres!$A$1:$I$89,3,0)*0.475*44/12</f>
        <v>4.9884486224911919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17.637239455957637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74.053199999999805</v>
      </c>
      <c r="D104" s="11">
        <f t="shared" si="86"/>
        <v>20.676688885050506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731.24826507758144</v>
      </c>
      <c r="H104" s="67">
        <f t="shared" si="56"/>
        <v>458.32122314146261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8.0470000000000024</v>
      </c>
      <c r="N104" s="13">
        <f>IF('Données projet'!$A$36&gt;35,N103+M104-V103,IF(A104&lt;'Données projet'!$A$36,$K$205^A104,IF(A104='Données projet'!$A$36,'Données projet'!$B$36,N103+M104-V103)))</f>
        <v>341.2690000000004</v>
      </c>
      <c r="O104" s="13">
        <f>N104*VLOOKUP('Données projet'!$B$9,Paramètres!$A$1:$I$89,3,0)*VLOOKUP('Données projet'!$B$9,Paramètres!$A$1:$I$89,5,0)</f>
        <v>308.78019120000033</v>
      </c>
      <c r="P104" s="13">
        <f t="shared" si="87"/>
        <v>73.014027120130123</v>
      </c>
      <c r="Q104" s="20">
        <f t="shared" si="107"/>
        <v>664.95826357422709</v>
      </c>
      <c r="R104" s="59">
        <f t="shared" si="55"/>
        <v>958.29159690756046</v>
      </c>
      <c r="S104" s="59">
        <f ca="1">AVERAGE(OFFSET($R$3,0,0,'Données projet'!$E$9+1,1))-AVERAGE(OFFSET($H$3,0,0,'Données projet'!$E$9+1,1))</f>
        <v>399.15057697410413</v>
      </c>
      <c r="T104" s="59">
        <f t="shared" si="88"/>
        <v>182.37700638847298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44.708140551000682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44.708140551000682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8.0470000000000024</v>
      </c>
      <c r="AI104" s="13">
        <f>IF('Données projet'!$A$62&gt;35,AI103+AH104-AQ103,IF(A104&lt;'Données projet'!$A$62,$AF$205^A104,IF(A104='Données projet'!$A$62,'Données projet'!$B$62,AI103+AH104-AQ103)))</f>
        <v>341.2690000000004</v>
      </c>
      <c r="AJ104" s="13">
        <f>AI104*VLOOKUP('Données projet'!$B$10,Paramètres!$A$1:$I$89,3,0)*VLOOKUP('Données projet'!$B$10,Paramètres!$A$1:$I$89,5,0)</f>
        <v>346.04676600000045</v>
      </c>
      <c r="AK104" s="13">
        <f t="shared" si="89"/>
        <v>80.747961934338676</v>
      </c>
      <c r="AL104" s="20">
        <f t="shared" si="58"/>
        <v>743.33415115230719</v>
      </c>
      <c r="AM104" s="59">
        <f t="shared" si="59"/>
        <v>1036.6674844856404</v>
      </c>
      <c r="AN104" s="59">
        <f ca="1">AVERAGE(OFFSET($AM$3,0,0,'Données projet'!$E$10+1,1))-AVERAGE(OFFSET($H$3,0,0,'Données projet'!$E$10+1,1))</f>
        <v>463.77045964052894</v>
      </c>
      <c r="AO104" s="59">
        <f t="shared" si="90"/>
        <v>209.77146243694483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50.103950617500779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50.103950617500779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8.0470000000000024</v>
      </c>
      <c r="BD104" s="12">
        <f>IF('Données projet'!$A$88&gt;35,BD103+BC104-BL103,IF(A104&lt;'Données projet'!$A$88,$BA$205^A104,IF(A104='Données projet'!$A$88,'Données projet'!$B$88,BD103+BC104-BL103)))</f>
        <v>341.2690000000004</v>
      </c>
      <c r="BE104" s="13">
        <f>BD104*VLOOKUP('Données projet'!$B$11,Paramètres!$A$1:$I$89,3,0)*VLOOKUP('Données projet'!$B$11,Paramètres!$A$1:$I$89,5,0)</f>
        <v>330.07537680000041</v>
      </c>
      <c r="BF104" s="13">
        <f t="shared" si="91"/>
        <v>77.445934497848739</v>
      </c>
      <c r="BG104" s="20">
        <f t="shared" si="61"/>
        <v>709.76628384375397</v>
      </c>
      <c r="BH104" s="59">
        <f t="shared" si="62"/>
        <v>1003.0996171770873</v>
      </c>
      <c r="BI104" s="59">
        <f ca="1">AVERAGE(OFFSET($BH$3,0,0,'Données projet'!$E$11+1,1))-AVERAGE(OFFSET($H$3,0,0,'Données projet'!$E$11+1,1))</f>
        <v>436.0942819360734</v>
      </c>
      <c r="BJ104" s="59">
        <f t="shared" si="92"/>
        <v>198.03942180876311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47.791460589000735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47.791460589000735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>
        <f>BY104*VLOOKUP('Données projet'!$B$12,Paramètres!$A$1:$I$89,3,0)*VLOOKUP('Données projet'!$B$12,Paramètres!$A$1:$I$89,5,0)</f>
        <v>0</v>
      </c>
      <c r="CA104" s="13" t="e">
        <f t="shared" si="93"/>
        <v>#NUM!</v>
      </c>
      <c r="CB104" s="20" t="e">
        <f t="shared" si="64"/>
        <v>#NUM!</v>
      </c>
      <c r="CC104" s="59" t="e">
        <f t="shared" si="65"/>
        <v>#NUM!</v>
      </c>
      <c r="CD104" s="59">
        <f ca="1">AVERAGE(OFFSET($CC$3,0,0,'Données projet'!$E$12+1,1))-AVERAGE(OFFSET($H$3,0,0,'Données projet'!$E$12+1,1))</f>
        <v>183.99578440773581</v>
      </c>
      <c r="CE104" s="59">
        <f t="shared" si="94"/>
        <v>258.43295338669657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12.400755760222784</v>
      </c>
      <c r="CL104" s="21">
        <f>EXP(-LN(2)/25)*CL103+(1-EXP(-LN(2)/25))/(LN(2)/25)*Calculateur!CG104*Calculateur!CI104*VLOOKUP('Données projet'!$B$12,Paramètres!$A$1:$I$89,3,0)*0.475*44/12</f>
        <v>4.8520392325780586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17.252794992800844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74.786399999999801</v>
      </c>
      <c r="D105" s="11">
        <f t="shared" si="86"/>
        <v>20.857475351088922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738.30359920138665</v>
      </c>
      <c r="H105" s="67">
        <f t="shared" si="56"/>
        <v>459.91308290314612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8.0470000000000024</v>
      </c>
      <c r="N105" s="13">
        <f>IF('Données projet'!$A$36&gt;35,N104+M105-V104,IF(A105&lt;'Données projet'!$A$36,$K$205^A105,IF(A105='Données projet'!$A$36,'Données projet'!$B$36,N104+M105-V104)))</f>
        <v>349.31600000000043</v>
      </c>
      <c r="O105" s="13">
        <f>N105*VLOOKUP('Données projet'!$B$9,Paramètres!$A$1:$I$89,3,0)*VLOOKUP('Données projet'!$B$9,Paramètres!$A$1:$I$89,5,0)</f>
        <v>316.06111680000038</v>
      </c>
      <c r="P105" s="13">
        <f t="shared" si="87"/>
        <v>74.533202582557081</v>
      </c>
      <c r="Q105" s="20">
        <f t="shared" si="107"/>
        <v>680.28510625795423</v>
      </c>
      <c r="R105" s="59">
        <f t="shared" si="55"/>
        <v>973.6184395912876</v>
      </c>
      <c r="S105" s="59">
        <f ca="1">AVERAGE(OFFSET($R$3,0,0,'Données projet'!$E$9+1,1))-AVERAGE(OFFSET($H$3,0,0,'Données projet'!$E$9+1,1))</f>
        <v>399.15057697410413</v>
      </c>
      <c r="T105" s="59">
        <f t="shared" si="88"/>
        <v>182.37700638847298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43.83144118406868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43.83144118406868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8.0470000000000024</v>
      </c>
      <c r="AI105" s="13">
        <f>IF('Données projet'!$A$62&gt;35,AI104+AH105-AQ104,IF(A105&lt;'Données projet'!$A$62,$AF$205^A105,IF(A105='Données projet'!$A$62,'Données projet'!$B$62,AI104+AH105-AQ104)))</f>
        <v>349.31600000000043</v>
      </c>
      <c r="AJ105" s="13">
        <f>AI105*VLOOKUP('Données projet'!$B$10,Paramètres!$A$1:$I$89,3,0)*VLOOKUP('Données projet'!$B$10,Paramètres!$A$1:$I$89,5,0)</f>
        <v>354.20642400000042</v>
      </c>
      <c r="AK105" s="13">
        <f t="shared" si="89"/>
        <v>82.42805447614306</v>
      </c>
      <c r="AL105" s="20">
        <f t="shared" si="58"/>
        <v>760.4717166792833</v>
      </c>
      <c r="AM105" s="59">
        <f t="shared" si="59"/>
        <v>1053.8050500126167</v>
      </c>
      <c r="AN105" s="59">
        <f ca="1">AVERAGE(OFFSET($AM$3,0,0,'Données projet'!$E$10+1,1))-AVERAGE(OFFSET($H$3,0,0,'Données projet'!$E$10+1,1))</f>
        <v>463.77045964052894</v>
      </c>
      <c r="AO105" s="59">
        <f t="shared" si="90"/>
        <v>209.77146243694483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49.121442706283879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49.121442706283879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8.0470000000000024</v>
      </c>
      <c r="BD105" s="12">
        <f>IF('Données projet'!$A$88&gt;35,BD104+BC105-BL104,IF(A105&lt;'Données projet'!$A$88,$BA$205^A105,IF(A105='Données projet'!$A$88,'Données projet'!$B$88,BD104+BC105-BL104)))</f>
        <v>349.31600000000043</v>
      </c>
      <c r="BE105" s="13">
        <f>BD105*VLOOKUP('Données projet'!$B$11,Paramètres!$A$1:$I$89,3,0)*VLOOKUP('Données projet'!$B$11,Paramètres!$A$1:$I$89,5,0)</f>
        <v>337.85843520000043</v>
      </c>
      <c r="BF105" s="13">
        <f t="shared" si="91"/>
        <v>79.057322993928835</v>
      </c>
      <c r="BG105" s="20">
        <f t="shared" si="61"/>
        <v>726.12827885442675</v>
      </c>
      <c r="BH105" s="59">
        <f t="shared" si="62"/>
        <v>1019.46161218776</v>
      </c>
      <c r="BI105" s="59">
        <f ca="1">AVERAGE(OFFSET($BH$3,0,0,'Données projet'!$E$11+1,1))-AVERAGE(OFFSET($H$3,0,0,'Données projet'!$E$11+1,1))</f>
        <v>436.0942819360734</v>
      </c>
      <c r="BJ105" s="59">
        <f t="shared" si="92"/>
        <v>198.03942180876311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46.854299196763073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46.854299196763073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>
        <f>BY105*VLOOKUP('Données projet'!$B$12,Paramètres!$A$1:$I$89,3,0)*VLOOKUP('Données projet'!$B$12,Paramètres!$A$1:$I$89,5,0)</f>
        <v>0</v>
      </c>
      <c r="CA105" s="13" t="e">
        <f t="shared" si="93"/>
        <v>#NUM!</v>
      </c>
      <c r="CB105" s="20" t="e">
        <f t="shared" si="64"/>
        <v>#NUM!</v>
      </c>
      <c r="CC105" s="59" t="e">
        <f t="shared" si="65"/>
        <v>#NUM!</v>
      </c>
      <c r="CD105" s="59">
        <f ca="1">AVERAGE(OFFSET($CC$3,0,0,'Données projet'!$E$12+1,1))-AVERAGE(OFFSET($H$3,0,0,'Données projet'!$E$12+1,1))</f>
        <v>183.99578440773581</v>
      </c>
      <c r="CE105" s="59">
        <f t="shared" si="94"/>
        <v>258.43295338669657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12.157584503478974</v>
      </c>
      <c r="CL105" s="21">
        <f>EXP(-LN(2)/25)*CL104+(1-EXP(-LN(2)/25))/(LN(2)/25)*Calculateur!CG105*Calculateur!CI105*VLOOKUP('Données projet'!$B$12,Paramètres!$A$1:$I$89,3,0)*0.475*44/12</f>
        <v>4.719359964605558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16.876944468084531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75.519599999999798</v>
      </c>
      <c r="D106" s="11">
        <f t="shared" si="86"/>
        <v>21.038055622045484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745.35734164385815</v>
      </c>
      <c r="H106" s="67">
        <f t="shared" si="56"/>
        <v>461.50458354172883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8.0470000000000024</v>
      </c>
      <c r="N106" s="13">
        <f>IF('Données projet'!$A$36&gt;35,N105+M106-V105,IF(A106&lt;'Données projet'!$A$36,$K$205^A106,IF(A106='Données projet'!$A$36,'Données projet'!$B$36,N105+M106-V105)))</f>
        <v>357.36300000000045</v>
      </c>
      <c r="O106" s="13">
        <f>N106*VLOOKUP('Données projet'!$B$9,Paramètres!$A$1:$I$89,3,0)*VLOOKUP('Données projet'!$B$9,Paramètres!$A$1:$I$89,5,0)</f>
        <v>323.34204240000037</v>
      </c>
      <c r="P106" s="13">
        <f t="shared" si="87"/>
        <v>76.048309539529996</v>
      </c>
      <c r="Q106" s="20">
        <f t="shared" si="107"/>
        <v>695.60486296134877</v>
      </c>
      <c r="R106" s="59">
        <f t="shared" si="55"/>
        <v>988.93819629468203</v>
      </c>
      <c r="S106" s="59">
        <f ca="1">AVERAGE(OFFSET($R$3,0,0,'Données projet'!$E$9+1,1))-AVERAGE(OFFSET($H$3,0,0,'Données projet'!$E$9+1,1))</f>
        <v>399.15057697410413</v>
      </c>
      <c r="T106" s="59">
        <f t="shared" si="88"/>
        <v>182.37700638847298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42.971933356988401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42.971933356988401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8.0470000000000024</v>
      </c>
      <c r="AI106" s="13">
        <f>IF('Données projet'!$A$62&gt;35,AI105+AH106-AQ105,IF(A106&lt;'Données projet'!$A$62,$AF$205^A106,IF(A106='Données projet'!$A$62,'Données projet'!$B$62,AI105+AH106-AQ105)))</f>
        <v>357.36300000000045</v>
      </c>
      <c r="AJ106" s="13">
        <f>AI106*VLOOKUP('Données projet'!$B$10,Paramètres!$A$1:$I$89,3,0)*VLOOKUP('Données projet'!$B$10,Paramètres!$A$1:$I$89,5,0)</f>
        <v>362.36608200000046</v>
      </c>
      <c r="AK106" s="13">
        <f t="shared" si="89"/>
        <v>84.103647560288479</v>
      </c>
      <c r="AL106" s="20">
        <f t="shared" si="58"/>
        <v>777.60144565083658</v>
      </c>
      <c r="AM106" s="59">
        <f t="shared" si="59"/>
        <v>1070.93477898417</v>
      </c>
      <c r="AN106" s="59">
        <f ca="1">AVERAGE(OFFSET($AM$3,0,0,'Données projet'!$E$10+1,1))-AVERAGE(OFFSET($H$3,0,0,'Données projet'!$E$10+1,1))</f>
        <v>463.77045964052894</v>
      </c>
      <c r="AO106" s="59">
        <f t="shared" si="90"/>
        <v>209.77146243694483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48.158201175935289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48.158201175935289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8.0470000000000024</v>
      </c>
      <c r="BD106" s="12">
        <f>IF('Données projet'!$A$88&gt;35,BD105+BC106-BL105,IF(A106&lt;'Données projet'!$A$88,$BA$205^A106,IF(A106='Données projet'!$A$88,'Données projet'!$B$88,BD105+BC106-BL105)))</f>
        <v>357.36300000000045</v>
      </c>
      <c r="BE106" s="13">
        <f>BD106*VLOOKUP('Données projet'!$B$11,Paramètres!$A$1:$I$89,3,0)*VLOOKUP('Données projet'!$B$11,Paramètres!$A$1:$I$89,5,0)</f>
        <v>345.64149360000044</v>
      </c>
      <c r="BF106" s="13">
        <f t="shared" si="91"/>
        <v>80.664396028729414</v>
      </c>
      <c r="BG106" s="20">
        <f t="shared" si="61"/>
        <v>742.48275777003767</v>
      </c>
      <c r="BH106" s="59">
        <f t="shared" si="62"/>
        <v>1035.816091103371</v>
      </c>
      <c r="BI106" s="59">
        <f ca="1">AVERAGE(OFFSET($BH$3,0,0,'Données projet'!$E$11+1,1))-AVERAGE(OFFSET($H$3,0,0,'Données projet'!$E$11+1,1))</f>
        <v>436.0942819360734</v>
      </c>
      <c r="BJ106" s="59">
        <f t="shared" si="92"/>
        <v>198.03942180876311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45.935514967815188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45.935514967815188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>
        <f>BY106*VLOOKUP('Données projet'!$B$12,Paramètres!$A$1:$I$89,3,0)*VLOOKUP('Données projet'!$B$12,Paramètres!$A$1:$I$89,5,0)</f>
        <v>0</v>
      </c>
      <c r="CA106" s="13" t="e">
        <f t="shared" si="93"/>
        <v>#NUM!</v>
      </c>
      <c r="CB106" s="20" t="e">
        <f t="shared" si="64"/>
        <v>#NUM!</v>
      </c>
      <c r="CC106" s="59" t="e">
        <f t="shared" si="65"/>
        <v>#NUM!</v>
      </c>
      <c r="CD106" s="59">
        <f ca="1">AVERAGE(OFFSET($CC$3,0,0,'Données projet'!$E$12+1,1))-AVERAGE(OFFSET($H$3,0,0,'Données projet'!$E$12+1,1))</f>
        <v>183.99578440773581</v>
      </c>
      <c r="CE106" s="59">
        <f t="shared" si="94"/>
        <v>258.43295338669657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11.919181686760089</v>
      </c>
      <c r="CL106" s="21">
        <f>EXP(-LN(2)/25)*CL105+(1-EXP(-LN(2)/25))/(LN(2)/25)*Calculateur!CG106*Calculateur!CI106*VLOOKUP('Données projet'!$B$12,Paramètres!$A$1:$I$89,3,0)*0.475*44/12</f>
        <v>4.5903088181930647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16.509490504953153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76.252799999999795</v>
      </c>
      <c r="D107" s="11">
        <f t="shared" si="86"/>
        <v>21.21843193164279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752.40950964776732</v>
      </c>
      <c r="H107" s="67">
        <f t="shared" si="56"/>
        <v>463.09572894761084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>
        <f>VLOOKUP(A107,'Données projet'!$A$35:$I$55,2,0)</f>
        <v>365.41</v>
      </c>
      <c r="L107" s="12">
        <f>VLOOKUP(A107,'Données projet'!$A$35:$I$55,9,0)</f>
        <v>8.0470000000000024</v>
      </c>
      <c r="M107" s="12">
        <f t="array" ref="M107">INDEX(L:L,MIN(IF(ISNUMBER(L107:L303),ROW(L107:L303),"")))</f>
        <v>8.0470000000000024</v>
      </c>
      <c r="N107" s="13">
        <f>IF('Données projet'!$A$36&gt;35,N106+M107-V106,IF(A107&lt;'Données projet'!$A$36,$K$205^A107,IF(A107='Données projet'!$A$36,'Données projet'!$B$36,N106+M107-V106)))</f>
        <v>365.41000000000048</v>
      </c>
      <c r="O107" s="13">
        <f>N107*VLOOKUP('Données projet'!$B$9,Paramètres!$A$1:$I$89,3,0)*VLOOKUP('Données projet'!$B$9,Paramètres!$A$1:$I$89,5,0)</f>
        <v>330.62296800000041</v>
      </c>
      <c r="P107" s="13">
        <f t="shared" si="87"/>
        <v>77.559450151847827</v>
      </c>
      <c r="Q107" s="20">
        <f t="shared" si="107"/>
        <v>710.91771161446911</v>
      </c>
      <c r="R107" s="59">
        <f t="shared" si="55"/>
        <v>1004.2510449478025</v>
      </c>
      <c r="S107" s="59">
        <f ca="1">AVERAGE(OFFSET($R$3,0,0,'Données projet'!$E$9+1,1))-AVERAGE(OFFSET($H$3,0,0,'Données projet'!$E$9+1,1))</f>
        <v>399.15057697410413</v>
      </c>
      <c r="T107" s="59">
        <f t="shared" si="88"/>
        <v>182.37700638847298</v>
      </c>
      <c r="U107" s="15">
        <f>IF(ISNA(VLOOKUP(A107,'Données projet'!$A$35:$I$55,3,0)),0,VLOOKUP(A107,'Données projet'!$A$35:$I$55,3,0))</f>
        <v>8</v>
      </c>
      <c r="V107" s="15">
        <f>IF(ISNA(VLOOKUP(A107,'Données projet'!$A$35:$I$55,4,0)),0,VLOOKUP(A107,'Données projet'!$A$35:$I$55,4,0))</f>
        <v>60.19</v>
      </c>
      <c r="W107" s="16">
        <f>IF(ISNA(VLOOKUP(A107,'Données projet'!$A$35:$I$55,5,0)),0%,VLOOKUP(A107,'Données projet'!$A$35:$I$55,5,0)*VLOOKUP('Données projet'!$B$9,Paramètres!$A$1:$I$89,7,0))</f>
        <v>0.25800000000000001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57.661865407845688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57.661865407845688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365.41</v>
      </c>
      <c r="AG107" s="12">
        <f>VLOOKUP(A107,'Données projet'!$A$61:$I$81,9,0)</f>
        <v>8.0470000000000024</v>
      </c>
      <c r="AH107" s="12">
        <f t="array" ref="AH107">INDEX(AG:AG,MIN(IF(ISNUMBER(AG107:AG303),ROW(AG107:AG303),"")))</f>
        <v>8.0470000000000024</v>
      </c>
      <c r="AI107" s="13">
        <f>IF('Données projet'!$A$62&gt;35,AI106+AH107-AQ106,IF(A107&lt;'Données projet'!$A$62,$AF$205^A107,IF(A107='Données projet'!$A$62,'Données projet'!$B$62,AI106+AH107-AQ106)))</f>
        <v>365.41000000000048</v>
      </c>
      <c r="AJ107" s="13">
        <f>AI107*VLOOKUP('Données projet'!$B$10,Paramètres!$A$1:$I$89,3,0)*VLOOKUP('Données projet'!$B$10,Paramètres!$A$1:$I$89,5,0)</f>
        <v>370.5257400000005</v>
      </c>
      <c r="AK107" s="13">
        <f t="shared" si="89"/>
        <v>85.774854168850283</v>
      </c>
      <c r="AL107" s="20">
        <f t="shared" si="58"/>
        <v>794.72353484408177</v>
      </c>
      <c r="AM107" s="59">
        <f t="shared" si="59"/>
        <v>1088.056868177415</v>
      </c>
      <c r="AN107" s="59">
        <f ca="1">AVERAGE(OFFSET($AM$3,0,0,'Données projet'!$E$10+1,1))-AVERAGE(OFFSET($H$3,0,0,'Données projet'!$E$10+1,1))</f>
        <v>463.77045964052894</v>
      </c>
      <c r="AO107" s="59">
        <f t="shared" si="90"/>
        <v>209.77146243694483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0.25800000000000001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64.621056060516736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64.621056060516736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>
        <f>VLOOKUP(A107,'Données projet'!$A$87:$I$107,2,0)</f>
        <v>365.41</v>
      </c>
      <c r="BB107" s="12">
        <f>VLOOKUP(A107,'Données projet'!$A$87:$I$107,9,0)</f>
        <v>8.0470000000000024</v>
      </c>
      <c r="BC107" s="12">
        <f t="array" ref="BC107">INDEX(BB:BB,MIN(IF(ISNUMBER(BB107:BB303),ROW(BB107:BB303),"")))</f>
        <v>8.0470000000000024</v>
      </c>
      <c r="BD107" s="12">
        <f>IF('Données projet'!$A$88&gt;35,BD106+BC107-BL106,IF(A107&lt;'Données projet'!$A$88,$BA$205^A107,IF(A107='Données projet'!$A$88,'Données projet'!$B$88,BD106+BC107-BL106)))</f>
        <v>365.41000000000048</v>
      </c>
      <c r="BE107" s="13">
        <f>BD107*VLOOKUP('Données projet'!$B$11,Paramètres!$A$1:$I$89,3,0)*VLOOKUP('Données projet'!$B$11,Paramètres!$A$1:$I$89,5,0)</f>
        <v>353.42455200000046</v>
      </c>
      <c r="BF107" s="13">
        <f t="shared" si="91"/>
        <v>82.267261964148275</v>
      </c>
      <c r="BG107" s="20">
        <f t="shared" si="61"/>
        <v>758.8299093208924</v>
      </c>
      <c r="BH107" s="59">
        <f t="shared" si="62"/>
        <v>1052.1632426542258</v>
      </c>
      <c r="BI107" s="59">
        <f ca="1">AVERAGE(OFFSET($BH$3,0,0,'Données projet'!$E$11+1,1))-AVERAGE(OFFSET($H$3,0,0,'Données projet'!$E$11+1,1))</f>
        <v>436.0942819360734</v>
      </c>
      <c r="BJ107" s="59">
        <f t="shared" si="92"/>
        <v>198.03942180876311</v>
      </c>
      <c r="BK107" s="15">
        <f>IF(ISNA(VLOOKUP(A107,'Données projet'!$A$87:$I$107,3,0)),0,VLOOKUP(A107,'Données projet'!$A$87:$I$107,3,0))</f>
        <v>8</v>
      </c>
      <c r="BL107" s="15">
        <f>IF(ISNA(VLOOKUP(A107,'Données projet'!$A$87:$I$107,4,0)),0,VLOOKUP(A107,'Données projet'!$A$87:$I$107,4,0))</f>
        <v>60.19</v>
      </c>
      <c r="BM107" s="16">
        <f>IF(ISNA(VLOOKUP(A107,'Données projet'!$A$87:$I$107,5,0)),0%,VLOOKUP(A107,'Données projet'!$A$87:$I$107,5,0)*VLOOKUP('Données projet'!$B$11,Paramètres!$A$1:$I$89,7,0))</f>
        <v>0.25800000000000001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61.638545780800555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61.638545780800555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>
        <f>BY107*VLOOKUP('Données projet'!$B$12,Paramètres!$A$1:$I$89,3,0)*VLOOKUP('Données projet'!$B$12,Paramètres!$A$1:$I$89,5,0)</f>
        <v>0</v>
      </c>
      <c r="CA107" s="13" t="e">
        <f t="shared" si="93"/>
        <v>#NUM!</v>
      </c>
      <c r="CB107" s="20" t="e">
        <f t="shared" si="64"/>
        <v>#NUM!</v>
      </c>
      <c r="CC107" s="59" t="e">
        <f t="shared" si="65"/>
        <v>#NUM!</v>
      </c>
      <c r="CD107" s="59">
        <f ca="1">AVERAGE(OFFSET($CC$3,0,0,'Données projet'!$E$12+1,1))-AVERAGE(OFFSET($H$3,0,0,'Données projet'!$E$12+1,1))</f>
        <v>183.99578440773581</v>
      </c>
      <c r="CE107" s="59">
        <f t="shared" si="94"/>
        <v>258.43295338669657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11.685453803865702</v>
      </c>
      <c r="CL107" s="21">
        <f>EXP(-LN(2)/25)*CL106+(1-EXP(-LN(2)/25))/(LN(2)/25)*Calculateur!CG107*Calculateur!CI107*VLOOKUP('Données projet'!$B$12,Paramètres!$A$1:$I$89,3,0)*0.475*44/12</f>
        <v>4.4647865821657255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16.150240386031427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76.985999999999791</v>
      </c>
      <c r="D108" s="11">
        <f t="shared" si="86"/>
        <v>21.398606468170534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759.4601201051745</v>
      </c>
      <c r="H108" s="67">
        <f t="shared" si="56"/>
        <v>464.68652293206327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7.9349999999999969</v>
      </c>
      <c r="N108" s="13">
        <f>IF('Données projet'!$A$36&gt;35,N107+M108-V107,IF(A108&lt;'Données projet'!$A$36,$K$205^A108,IF(A108='Données projet'!$A$36,'Données projet'!$B$36,N107+M108-V107)))</f>
        <v>313.15500000000048</v>
      </c>
      <c r="O108" s="13">
        <f>N108*VLOOKUP('Données projet'!$B$9,Paramètres!$A$1:$I$89,3,0)*VLOOKUP('Données projet'!$B$9,Paramètres!$A$1:$I$89,5,0)</f>
        <v>283.34264400000046</v>
      </c>
      <c r="P108" s="13">
        <f t="shared" si="87"/>
        <v>67.672917015543916</v>
      </c>
      <c r="Q108" s="20">
        <f t="shared" si="107"/>
        <v>611.3521021020731</v>
      </c>
      <c r="R108" s="59">
        <f t="shared" si="55"/>
        <v>904.68543543540636</v>
      </c>
      <c r="S108" s="59">
        <f ca="1">AVERAGE(OFFSET($R$3,0,0,'Données projet'!$E$9+1,1))-AVERAGE(OFFSET($H$3,0,0,'Données projet'!$E$9+1,1))</f>
        <v>399.15057697410413</v>
      </c>
      <c r="T108" s="59">
        <f t="shared" si="88"/>
        <v>182.37700638847298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56.531151397462956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56.531151397462956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7.9349999999999969</v>
      </c>
      <c r="AI108" s="13">
        <f>IF('Données projet'!$A$62&gt;35,AI107+AH108-AQ107,IF(A108&lt;'Données projet'!$A$62,$AF$205^A108,IF(A108='Données projet'!$A$62,'Données projet'!$B$62,AI107+AH108-AQ107)))</f>
        <v>313.15500000000048</v>
      </c>
      <c r="AJ108" s="13">
        <f>AI108*VLOOKUP('Données projet'!$B$10,Paramètres!$A$1:$I$89,3,0)*VLOOKUP('Données projet'!$B$10,Paramètres!$A$1:$I$89,5,0)</f>
        <v>317.53917000000052</v>
      </c>
      <c r="AK108" s="13">
        <f t="shared" si="89"/>
        <v>74.841100302084755</v>
      </c>
      <c r="AL108" s="20">
        <f t="shared" si="58"/>
        <v>683.39563744279849</v>
      </c>
      <c r="AM108" s="59">
        <f t="shared" si="59"/>
        <v>976.72897077613175</v>
      </c>
      <c r="AN108" s="59">
        <f ca="1">AVERAGE(OFFSET($AM$3,0,0,'Données projet'!$E$10+1,1))-AVERAGE(OFFSET($H$3,0,0,'Données projet'!$E$10+1,1))</f>
        <v>463.77045964052894</v>
      </c>
      <c r="AO108" s="59">
        <f t="shared" si="90"/>
        <v>209.77146243694483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63.353876566122295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63.353876566122295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7.9349999999999969</v>
      </c>
      <c r="BD108" s="12">
        <f>IF('Données projet'!$A$88&gt;35,BD107+BC108-BL107,IF(A108&lt;'Données projet'!$A$88,$BA$205^A108,IF(A108='Données projet'!$A$88,'Données projet'!$B$88,BD107+BC108-BL107)))</f>
        <v>313.15500000000048</v>
      </c>
      <c r="BE108" s="13">
        <f>BD108*VLOOKUP('Données projet'!$B$11,Paramètres!$A$1:$I$89,3,0)*VLOOKUP('Données projet'!$B$11,Paramètres!$A$1:$I$89,5,0)</f>
        <v>302.88351600000044</v>
      </c>
      <c r="BF108" s="13">
        <f t="shared" si="91"/>
        <v>71.780622233603793</v>
      </c>
      <c r="BG108" s="20">
        <f t="shared" si="61"/>
        <v>652.54004075686078</v>
      </c>
      <c r="BH108" s="59">
        <f t="shared" si="62"/>
        <v>945.87337409019415</v>
      </c>
      <c r="BI108" s="59">
        <f ca="1">AVERAGE(OFFSET($BH$3,0,0,'Données projet'!$E$11+1,1))-AVERAGE(OFFSET($H$3,0,0,'Données projet'!$E$11+1,1))</f>
        <v>436.0942819360734</v>
      </c>
      <c r="BJ108" s="59">
        <f t="shared" si="92"/>
        <v>198.03942180876311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60.429851493839706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60.429851493839706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>
        <f>BY108*VLOOKUP('Données projet'!$B$12,Paramètres!$A$1:$I$89,3,0)*VLOOKUP('Données projet'!$B$12,Paramètres!$A$1:$I$89,5,0)</f>
        <v>0</v>
      </c>
      <c r="CA108" s="13" t="e">
        <f t="shared" si="93"/>
        <v>#NUM!</v>
      </c>
      <c r="CB108" s="20" t="e">
        <f t="shared" si="64"/>
        <v>#NUM!</v>
      </c>
      <c r="CC108" s="59" t="e">
        <f t="shared" si="65"/>
        <v>#NUM!</v>
      </c>
      <c r="CD108" s="59">
        <f ca="1">AVERAGE(OFFSET($CC$3,0,0,'Données projet'!$E$12+1,1))-AVERAGE(OFFSET($H$3,0,0,'Données projet'!$E$12+1,1))</f>
        <v>183.99578440773581</v>
      </c>
      <c r="CE108" s="59">
        <f t="shared" si="94"/>
        <v>258.43295338669657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11.456309182194941</v>
      </c>
      <c r="CL108" s="21">
        <f>EXP(-LN(2)/25)*CL107+(1-EXP(-LN(2)/25))/(LN(2)/25)*Calculateur!CG108*Calculateur!CI108*VLOOKUP('Données projet'!$B$12,Paramètres!$A$1:$I$89,3,0)*0.475*44/12</f>
        <v>4.3426967582834815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15.799005940478423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77.719199999999788</v>
      </c>
      <c r="D109" s="11">
        <f t="shared" si="86"/>
        <v>21.578581375833281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766.50918956783426</v>
      </c>
      <c r="H109" s="67">
        <f t="shared" si="56"/>
        <v>466.27696922957591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7.9349999999999969</v>
      </c>
      <c r="N109" s="13">
        <f>IF('Données projet'!$A$36&gt;35,N108+M109-V108,IF(A109&lt;'Données projet'!$A$36,$K$205^A109,IF(A109='Données projet'!$A$36,'Données projet'!$B$36,N108+M109-V108)))</f>
        <v>321.09000000000049</v>
      </c>
      <c r="O109" s="13">
        <f>N109*VLOOKUP('Données projet'!$B$9,Paramètres!$A$1:$I$89,3,0)*VLOOKUP('Données projet'!$B$9,Paramètres!$A$1:$I$89,5,0)</f>
        <v>290.52223200000043</v>
      </c>
      <c r="P109" s="13">
        <f t="shared" si="87"/>
        <v>69.185862279978352</v>
      </c>
      <c r="Q109" s="20">
        <f t="shared" si="107"/>
        <v>626.49159753762979</v>
      </c>
      <c r="R109" s="59">
        <f t="shared" si="55"/>
        <v>919.82493087096304</v>
      </c>
      <c r="S109" s="59">
        <f ca="1">AVERAGE(OFFSET($R$3,0,0,'Données projet'!$E$9+1,1))-AVERAGE(OFFSET($H$3,0,0,'Données projet'!$E$9+1,1))</f>
        <v>399.15057697410413</v>
      </c>
      <c r="T109" s="59">
        <f t="shared" si="88"/>
        <v>182.37700638847298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55.422609999156386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55.422609999156386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7.9349999999999969</v>
      </c>
      <c r="AI109" s="13">
        <f>IF('Données projet'!$A$62&gt;35,AI108+AH109-AQ108,IF(A109&lt;'Données projet'!$A$62,$AF$205^A109,IF(A109='Données projet'!$A$62,'Données projet'!$B$62,AI108+AH109-AQ108)))</f>
        <v>321.09000000000049</v>
      </c>
      <c r="AJ109" s="13">
        <f>AI109*VLOOKUP('Données projet'!$B$10,Paramètres!$A$1:$I$89,3,0)*VLOOKUP('Données projet'!$B$10,Paramètres!$A$1:$I$89,5,0)</f>
        <v>325.58526000000052</v>
      </c>
      <c r="AK109" s="13">
        <f t="shared" si="89"/>
        <v>76.514302718659977</v>
      </c>
      <c r="AL109" s="20">
        <f t="shared" si="58"/>
        <v>700.32340506833361</v>
      </c>
      <c r="AM109" s="59">
        <f t="shared" si="59"/>
        <v>993.65673840166687</v>
      </c>
      <c r="AN109" s="59">
        <f ca="1">AVERAGE(OFFSET($AM$3,0,0,'Données projet'!$E$10+1,1))-AVERAGE(OFFSET($H$3,0,0,'Données projet'!$E$10+1,1))</f>
        <v>463.77045964052894</v>
      </c>
      <c r="AO109" s="59">
        <f t="shared" si="90"/>
        <v>209.77146243694483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62.111545688709754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62.111545688709754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7.9349999999999969</v>
      </c>
      <c r="BD109" s="12">
        <f>IF('Données projet'!$A$88&gt;35,BD108+BC109-BL108,IF(A109&lt;'Données projet'!$A$88,$BA$205^A109,IF(A109='Données projet'!$A$88,'Données projet'!$B$88,BD108+BC109-BL108)))</f>
        <v>321.09000000000049</v>
      </c>
      <c r="BE109" s="13">
        <f>BD109*VLOOKUP('Données projet'!$B$11,Paramètres!$A$1:$I$89,3,0)*VLOOKUP('Données projet'!$B$11,Paramètres!$A$1:$I$89,5,0)</f>
        <v>310.5582480000005</v>
      </c>
      <c r="BF109" s="13">
        <f t="shared" si="91"/>
        <v>73.385402362433595</v>
      </c>
      <c r="BG109" s="20">
        <f t="shared" si="61"/>
        <v>668.70185771457261</v>
      </c>
      <c r="BH109" s="59">
        <f t="shared" si="62"/>
        <v>962.03519104790598</v>
      </c>
      <c r="BI109" s="59">
        <f ca="1">AVERAGE(OFFSET($BH$3,0,0,'Données projet'!$E$11+1,1))-AVERAGE(OFFSET($H$3,0,0,'Données projet'!$E$11+1,1))</f>
        <v>436.0942819360734</v>
      </c>
      <c r="BJ109" s="59">
        <f t="shared" si="92"/>
        <v>198.03942180876311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59.244858964615439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59.244858964615439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>
        <f>BY109*VLOOKUP('Données projet'!$B$12,Paramètres!$A$1:$I$89,3,0)*VLOOKUP('Données projet'!$B$12,Paramètres!$A$1:$I$89,5,0)</f>
        <v>0</v>
      </c>
      <c r="CA109" s="13" t="e">
        <f t="shared" si="93"/>
        <v>#NUM!</v>
      </c>
      <c r="CB109" s="20" t="e">
        <f t="shared" si="64"/>
        <v>#NUM!</v>
      </c>
      <c r="CC109" s="59" t="e">
        <f t="shared" si="65"/>
        <v>#NUM!</v>
      </c>
      <c r="CD109" s="59">
        <f ca="1">AVERAGE(OFFSET($CC$3,0,0,'Données projet'!$E$12+1,1))-AVERAGE(OFFSET($H$3,0,0,'Données projet'!$E$12+1,1))</f>
        <v>183.99578440773581</v>
      </c>
      <c r="CE109" s="59">
        <f t="shared" si="94"/>
        <v>258.43295338669657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11.231657946790726</v>
      </c>
      <c r="CL109" s="21">
        <f>EXP(-LN(2)/25)*CL108+(1-EXP(-LN(2)/25))/(LN(2)/25)*Calculateur!CG109*Calculateur!CI109*VLOOKUP('Données projet'!$B$12,Paramètres!$A$1:$I$89,3,0)*0.475*44/12</f>
        <v>4.2239454870557225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15.455603433846449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78.452399999999784</v>
      </c>
      <c r="D110" s="11">
        <f t="shared" si="86"/>
        <v>21.758358756045919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773.55673425719488</v>
      </c>
      <c r="H110" s="67">
        <f t="shared" si="56"/>
        <v>467.86707150011296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7.9349999999999969</v>
      </c>
      <c r="N110" s="13">
        <f>IF('Données projet'!$A$36&gt;35,N109+M110-V109,IF(A110&lt;'Données projet'!$A$36,$K$205^A110,IF(A110='Données projet'!$A$36,'Données projet'!$B$36,N109+M110-V109)))</f>
        <v>329.02500000000049</v>
      </c>
      <c r="O110" s="13">
        <f>N110*VLOOKUP('Données projet'!$B$9,Paramètres!$A$1:$I$89,3,0)*VLOOKUP('Données projet'!$B$9,Paramètres!$A$1:$I$89,5,0)</f>
        <v>297.70182000000045</v>
      </c>
      <c r="P110" s="13">
        <f t="shared" si="87"/>
        <v>70.69446125561177</v>
      </c>
      <c r="Q110" s="20">
        <f t="shared" si="107"/>
        <v>641.62352318685794</v>
      </c>
      <c r="R110" s="59">
        <f t="shared" si="55"/>
        <v>934.9568565201912</v>
      </c>
      <c r="S110" s="59">
        <f ca="1">AVERAGE(OFFSET($R$3,0,0,'Données projet'!$E$9+1,1))-AVERAGE(OFFSET($H$3,0,0,'Données projet'!$E$9+1,1))</f>
        <v>399.15057697410413</v>
      </c>
      <c r="T110" s="59">
        <f t="shared" si="88"/>
        <v>182.37700638847298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54.335806421527117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54.335806421527117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7.9349999999999969</v>
      </c>
      <c r="AI110" s="13">
        <f>IF('Données projet'!$A$62&gt;35,AI109+AH110-AQ109,IF(A110&lt;'Données projet'!$A$62,$AF$205^A110,IF(A110='Données projet'!$A$62,'Données projet'!$B$62,AI109+AH110-AQ109)))</f>
        <v>329.02500000000049</v>
      </c>
      <c r="AJ110" s="13">
        <f>AI110*VLOOKUP('Données projet'!$B$10,Paramètres!$A$1:$I$89,3,0)*VLOOKUP('Données projet'!$B$10,Paramètres!$A$1:$I$89,5,0)</f>
        <v>333.63135000000051</v>
      </c>
      <c r="AK110" s="13">
        <f t="shared" si="89"/>
        <v>78.182698470317533</v>
      </c>
      <c r="AL110" s="20">
        <f t="shared" si="58"/>
        <v>717.24280108580388</v>
      </c>
      <c r="AM110" s="59">
        <f t="shared" si="59"/>
        <v>1010.5761344191371</v>
      </c>
      <c r="AN110" s="59">
        <f ca="1">AVERAGE(OFFSET($AM$3,0,0,'Données projet'!$E$10+1,1))-AVERAGE(OFFSET($H$3,0,0,'Données projet'!$E$10+1,1))</f>
        <v>463.77045964052894</v>
      </c>
      <c r="AO110" s="59">
        <f t="shared" si="90"/>
        <v>209.77146243694483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60.893576162056263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60.893576162056263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7.9349999999999969</v>
      </c>
      <c r="BD110" s="12">
        <f>IF('Données projet'!$A$88&gt;35,BD109+BC110-BL109,IF(A110&lt;'Données projet'!$A$88,$BA$205^A110,IF(A110='Données projet'!$A$88,'Données projet'!$B$88,BD109+BC110-BL109)))</f>
        <v>329.02500000000049</v>
      </c>
      <c r="BE110" s="13">
        <f>BD110*VLOOKUP('Données projet'!$B$11,Paramètres!$A$1:$I$89,3,0)*VLOOKUP('Données projet'!$B$11,Paramètres!$A$1:$I$89,5,0)</f>
        <v>318.23298000000051</v>
      </c>
      <c r="BF110" s="13">
        <f t="shared" si="91"/>
        <v>74.985572385355411</v>
      </c>
      <c r="BG110" s="20">
        <f t="shared" si="61"/>
        <v>684.85564540449479</v>
      </c>
      <c r="BH110" s="59">
        <f t="shared" si="62"/>
        <v>978.18897873782817</v>
      </c>
      <c r="BI110" s="59">
        <f ca="1">AVERAGE(OFFSET($BH$3,0,0,'Données projet'!$E$11+1,1))-AVERAGE(OFFSET($H$3,0,0,'Données projet'!$E$11+1,1))</f>
        <v>436.0942819360734</v>
      </c>
      <c r="BJ110" s="59">
        <f t="shared" si="92"/>
        <v>198.03942180876311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58.083103416115186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58.083103416115186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>
        <f>BY110*VLOOKUP('Données projet'!$B$12,Paramètres!$A$1:$I$89,3,0)*VLOOKUP('Données projet'!$B$12,Paramètres!$A$1:$I$89,5,0)</f>
        <v>0</v>
      </c>
      <c r="CA110" s="13" t="e">
        <f t="shared" si="93"/>
        <v>#NUM!</v>
      </c>
      <c r="CB110" s="20" t="e">
        <f t="shared" si="64"/>
        <v>#NUM!</v>
      </c>
      <c r="CC110" s="59" t="e">
        <f t="shared" si="65"/>
        <v>#NUM!</v>
      </c>
      <c r="CD110" s="59">
        <f ca="1">AVERAGE(OFFSET($CC$3,0,0,'Données projet'!$E$12+1,1))-AVERAGE(OFFSET($H$3,0,0,'Données projet'!$E$12+1,1))</f>
        <v>183.99578440773581</v>
      </c>
      <c r="CE110" s="59">
        <f t="shared" si="94"/>
        <v>258.43295338669657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11.011411985089063</v>
      </c>
      <c r="CL110" s="21">
        <f>EXP(-LN(2)/25)*CL109+(1-EXP(-LN(2)/25))/(LN(2)/25)*Calculateur!CG110*Calculateur!CI110*VLOOKUP('Données projet'!$B$12,Paramètres!$A$1:$I$89,3,0)*0.475*44/12</f>
        <v>4.1084414755845442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15.119853460673607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79.185599999999781</v>
      </c>
      <c r="D111" s="11">
        <f t="shared" si="86"/>
        <v>21.937940668679364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780.60277007401453</v>
      </c>
      <c r="H111" s="67">
        <f t="shared" si="56"/>
        <v>469.45683333128278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7.9349999999999969</v>
      </c>
      <c r="N111" s="13">
        <f>IF('Données projet'!$A$36&gt;35,N110+M111-V110,IF(A111&lt;'Données projet'!$A$36,$K$205^A111,IF(A111='Données projet'!$A$36,'Données projet'!$B$36,N110+M111-V110)))</f>
        <v>336.96000000000049</v>
      </c>
      <c r="O111" s="13">
        <f>N111*VLOOKUP('Données projet'!$B$9,Paramètres!$A$1:$I$89,3,0)*VLOOKUP('Données projet'!$B$9,Paramètres!$A$1:$I$89,5,0)</f>
        <v>304.88140800000042</v>
      </c>
      <c r="P111" s="13">
        <f t="shared" si="87"/>
        <v>72.198830820277394</v>
      </c>
      <c r="Q111" s="20">
        <f t="shared" si="107"/>
        <v>656.74808261198393</v>
      </c>
      <c r="R111" s="59">
        <f t="shared" si="55"/>
        <v>950.0814159453173</v>
      </c>
      <c r="S111" s="59">
        <f ca="1">AVERAGE(OFFSET($R$3,0,0,'Données projet'!$E$9+1,1))-AVERAGE(OFFSET($H$3,0,0,'Données projet'!$E$9+1,1))</f>
        <v>399.15057697410413</v>
      </c>
      <c r="T111" s="59">
        <f t="shared" si="88"/>
        <v>182.37700638847298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53.270314399170431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53.270314399170431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7.9349999999999969</v>
      </c>
      <c r="AI111" s="13">
        <f>IF('Données projet'!$A$62&gt;35,AI110+AH111-AQ110,IF(A111&lt;'Données projet'!$A$62,$AF$205^A111,IF(A111='Données projet'!$A$62,'Données projet'!$B$62,AI110+AH111-AQ110)))</f>
        <v>336.96000000000049</v>
      </c>
      <c r="AJ111" s="13">
        <f>AI111*VLOOKUP('Données projet'!$B$10,Paramètres!$A$1:$I$89,3,0)*VLOOKUP('Données projet'!$B$10,Paramètres!$A$1:$I$89,5,0)</f>
        <v>341.6774400000005</v>
      </c>
      <c r="AK111" s="13">
        <f t="shared" si="89"/>
        <v>79.846416815053246</v>
      </c>
      <c r="AL111" s="20">
        <f t="shared" si="58"/>
        <v>734.15405061955198</v>
      </c>
      <c r="AM111" s="59">
        <f t="shared" si="59"/>
        <v>1027.4873839528852</v>
      </c>
      <c r="AN111" s="59">
        <f ca="1">AVERAGE(OFFSET($AM$3,0,0,'Données projet'!$E$10+1,1))-AVERAGE(OFFSET($H$3,0,0,'Données projet'!$E$10+1,1))</f>
        <v>463.77045964052894</v>
      </c>
      <c r="AO111" s="59">
        <f t="shared" si="90"/>
        <v>209.77146243694483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59.699490274932387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59.699490274932387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7.9349999999999969</v>
      </c>
      <c r="BD111" s="12">
        <f>IF('Données projet'!$A$88&gt;35,BD110+BC111-BL110,IF(A111&lt;'Données projet'!$A$88,$BA$205^A111,IF(A111='Données projet'!$A$88,'Données projet'!$B$88,BD110+BC111-BL110)))</f>
        <v>336.96000000000049</v>
      </c>
      <c r="BE111" s="13">
        <f>BD111*VLOOKUP('Données projet'!$B$11,Paramètres!$A$1:$I$89,3,0)*VLOOKUP('Données projet'!$B$11,Paramètres!$A$1:$I$89,5,0)</f>
        <v>325.90771200000052</v>
      </c>
      <c r="BF111" s="13">
        <f t="shared" si="91"/>
        <v>76.581256274616251</v>
      </c>
      <c r="BG111" s="20">
        <f t="shared" si="61"/>
        <v>701.00161974495734</v>
      </c>
      <c r="BH111" s="59">
        <f t="shared" si="62"/>
        <v>994.33495307829071</v>
      </c>
      <c r="BI111" s="59">
        <f ca="1">AVERAGE(OFFSET($BH$3,0,0,'Données projet'!$E$11+1,1))-AVERAGE(OFFSET($H$3,0,0,'Données projet'!$E$11+1,1))</f>
        <v>436.0942819360734</v>
      </c>
      <c r="BJ111" s="59">
        <f t="shared" si="92"/>
        <v>198.03942180876311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56.944129185320108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56.944129185320108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>
        <f>BY111*VLOOKUP('Données projet'!$B$12,Paramètres!$A$1:$I$89,3,0)*VLOOKUP('Données projet'!$B$12,Paramètres!$A$1:$I$89,5,0)</f>
        <v>0</v>
      </c>
      <c r="CA111" s="13" t="e">
        <f t="shared" si="93"/>
        <v>#NUM!</v>
      </c>
      <c r="CB111" s="20" t="e">
        <f t="shared" si="64"/>
        <v>#NUM!</v>
      </c>
      <c r="CC111" s="59" t="e">
        <f t="shared" si="65"/>
        <v>#NUM!</v>
      </c>
      <c r="CD111" s="59">
        <f ca="1">AVERAGE(OFFSET($CC$3,0,0,'Données projet'!$E$12+1,1))-AVERAGE(OFFSET($H$3,0,0,'Données projet'!$E$12+1,1))</f>
        <v>183.99578440773581</v>
      </c>
      <c r="CE111" s="59">
        <f t="shared" si="94"/>
        <v>258.43295338669657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10.795484912359598</v>
      </c>
      <c r="CL111" s="21">
        <f>EXP(-LN(2)/25)*CL110+(1-EXP(-LN(2)/25))/(LN(2)/25)*Calculateur!CG111*Calculateur!CI111*VLOOKUP('Données projet'!$B$12,Paramètres!$A$1:$I$89,3,0)*0.475*44/12</f>
        <v>3.9960959273811376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14.791580839740735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79.918799999999777</v>
      </c>
      <c r="D112" s="11">
        <f t="shared" si="86"/>
        <v>22.117329133258693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787.64731260760925</v>
      </c>
      <c r="H112" s="67">
        <f t="shared" si="56"/>
        <v>471.04625824042512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7.9349999999999969</v>
      </c>
      <c r="N112" s="13">
        <f>IF('Données projet'!$A$36&gt;35,N111+M112-V111,IF(A112&lt;'Données projet'!$A$36,$K$205^A112,IF(A112='Données projet'!$A$36,'Données projet'!$B$36,N111+M112-V111)))</f>
        <v>344.89500000000049</v>
      </c>
      <c r="O112" s="13">
        <f>N112*VLOOKUP('Données projet'!$B$9,Paramètres!$A$1:$I$89,3,0)*VLOOKUP('Données projet'!$B$9,Paramètres!$A$1:$I$89,5,0)</f>
        <v>312.06099600000044</v>
      </c>
      <c r="P112" s="13">
        <f t="shared" si="87"/>
        <v>73.699082033131035</v>
      </c>
      <c r="Q112" s="20">
        <f t="shared" si="107"/>
        <v>671.86546924103743</v>
      </c>
      <c r="R112" s="59">
        <f t="shared" si="55"/>
        <v>965.1988025743708</v>
      </c>
      <c r="S112" s="59">
        <f ca="1">AVERAGE(OFFSET($R$3,0,0,'Données projet'!$E$9+1,1))-AVERAGE(OFFSET($H$3,0,0,'Données projet'!$E$9+1,1))</f>
        <v>399.15057697410413</v>
      </c>
      <c r="T112" s="59">
        <f t="shared" si="88"/>
        <v>182.37700638847298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52.225716025486193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52.225716025486193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7.9349999999999969</v>
      </c>
      <c r="AI112" s="13">
        <f>IF('Données projet'!$A$62&gt;35,AI111+AH112-AQ111,IF(A112&lt;'Données projet'!$A$62,$AF$205^A112,IF(A112='Données projet'!$A$62,'Données projet'!$B$62,AI111+AH112-AQ111)))</f>
        <v>344.89500000000049</v>
      </c>
      <c r="AJ112" s="13">
        <f>AI112*VLOOKUP('Données projet'!$B$10,Paramètres!$A$1:$I$89,3,0)*VLOOKUP('Données projet'!$B$10,Paramètres!$A$1:$I$89,5,0)</f>
        <v>349.72353000000055</v>
      </c>
      <c r="AK112" s="13">
        <f t="shared" si="89"/>
        <v>81.505580575848711</v>
      </c>
      <c r="AL112" s="20">
        <f t="shared" si="58"/>
        <v>751.05736758627074</v>
      </c>
      <c r="AM112" s="59">
        <f t="shared" si="59"/>
        <v>1044.3907009196041</v>
      </c>
      <c r="AN112" s="59">
        <f ca="1">AVERAGE(OFFSET($AM$3,0,0,'Données projet'!$E$10+1,1))-AVERAGE(OFFSET($H$3,0,0,'Données projet'!$E$10+1,1))</f>
        <v>463.77045964052894</v>
      </c>
      <c r="AO112" s="59">
        <f t="shared" si="90"/>
        <v>209.77146243694483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58.52881968373454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58.52881968373454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7.9349999999999969</v>
      </c>
      <c r="BD112" s="12">
        <f>IF('Données projet'!$A$88&gt;35,BD111+BC112-BL111,IF(A112&lt;'Données projet'!$A$88,$BA$205^A112,IF(A112='Données projet'!$A$88,'Données projet'!$B$88,BD111+BC112-BL111)))</f>
        <v>344.89500000000049</v>
      </c>
      <c r="BE112" s="13">
        <f>BD112*VLOOKUP('Données projet'!$B$11,Paramètres!$A$1:$I$89,3,0)*VLOOKUP('Données projet'!$B$11,Paramètres!$A$1:$I$89,5,0)</f>
        <v>333.58244400000052</v>
      </c>
      <c r="BF112" s="13">
        <f t="shared" si="91"/>
        <v>78.172571830595942</v>
      </c>
      <c r="BG112" s="20">
        <f t="shared" si="61"/>
        <v>717.13998590495532</v>
      </c>
      <c r="BH112" s="59">
        <f t="shared" si="62"/>
        <v>1010.4733192382887</v>
      </c>
      <c r="BI112" s="59">
        <f ca="1">AVERAGE(OFFSET($BH$3,0,0,'Données projet'!$E$11+1,1))-AVERAGE(OFFSET($H$3,0,0,'Données projet'!$E$11+1,1))</f>
        <v>436.0942819360734</v>
      </c>
      <c r="BJ112" s="59">
        <f t="shared" si="92"/>
        <v>198.03942180876311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55.827489544485232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55.827489544485232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>
        <f>BY112*VLOOKUP('Données projet'!$B$12,Paramètres!$A$1:$I$89,3,0)*VLOOKUP('Données projet'!$B$12,Paramètres!$A$1:$I$89,5,0)</f>
        <v>0</v>
      </c>
      <c r="CA112" s="13" t="e">
        <f t="shared" si="93"/>
        <v>#NUM!</v>
      </c>
      <c r="CB112" s="20" t="e">
        <f t="shared" si="64"/>
        <v>#NUM!</v>
      </c>
      <c r="CC112" s="59" t="e">
        <f t="shared" si="65"/>
        <v>#NUM!</v>
      </c>
      <c r="CD112" s="59">
        <f ca="1">AVERAGE(OFFSET($CC$3,0,0,'Données projet'!$E$12+1,1))-AVERAGE(OFFSET($H$3,0,0,'Données projet'!$E$12+1,1))</f>
        <v>183.99578440773581</v>
      </c>
      <c r="CE112" s="59">
        <f t="shared" si="94"/>
        <v>258.43295338669657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10.583792037823848</v>
      </c>
      <c r="CL112" s="21">
        <f>EXP(-LN(2)/25)*CL111+(1-EXP(-LN(2)/25))/(LN(2)/25)*Calculateur!CG112*Calculateur!CI112*VLOOKUP('Données projet'!$B$12,Paramètres!$A$1:$I$89,3,0)*0.475*44/12</f>
        <v>3.8868224741013488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14.470614511925197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80.651999999999774</v>
      </c>
      <c r="D113" s="11">
        <f t="shared" si="86"/>
        <v>22.296526130116188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794.69037714475496</v>
      </c>
      <c r="H113" s="67">
        <f t="shared" si="56"/>
        <v>472.6353496766186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7.9349999999999969</v>
      </c>
      <c r="N113" s="13">
        <f>IF('Données projet'!$A$36&gt;35,N112+M113-V112,IF(A113&lt;'Données projet'!$A$36,$K$205^A113,IF(A113='Données projet'!$A$36,'Données projet'!$B$36,N112+M113-V112)))</f>
        <v>352.8300000000005</v>
      </c>
      <c r="O113" s="13">
        <f>N113*VLOOKUP('Données projet'!$B$9,Paramètres!$A$1:$I$89,3,0)*VLOOKUP('Données projet'!$B$9,Paramètres!$A$1:$I$89,5,0)</f>
        <v>319.24058400000041</v>
      </c>
      <c r="P113" s="13">
        <f t="shared" si="87"/>
        <v>75.195320551435159</v>
      </c>
      <c r="Q113" s="20">
        <f t="shared" si="107"/>
        <v>686.97586709375025</v>
      </c>
      <c r="R113" s="59">
        <f t="shared" si="55"/>
        <v>980.30920042708362</v>
      </c>
      <c r="S113" s="59">
        <f ca="1">AVERAGE(OFFSET($R$3,0,0,'Données projet'!$E$9+1,1))-AVERAGE(OFFSET($H$3,0,0,'Données projet'!$E$9+1,1))</f>
        <v>399.15057697410413</v>
      </c>
      <c r="T113" s="59">
        <f t="shared" si="88"/>
        <v>182.37700638847298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51.201601588767808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51.201601588767808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7.9349999999999969</v>
      </c>
      <c r="AI113" s="13">
        <f>IF('Données projet'!$A$62&gt;35,AI112+AH113-AQ112,IF(A113&lt;'Données projet'!$A$62,$AF$205^A113,IF(A113='Données projet'!$A$62,'Données projet'!$B$62,AI112+AH113-AQ112)))</f>
        <v>352.8300000000005</v>
      </c>
      <c r="AJ113" s="13">
        <f>AI113*VLOOKUP('Données projet'!$B$10,Paramètres!$A$1:$I$89,3,0)*VLOOKUP('Données projet'!$B$10,Paramètres!$A$1:$I$89,5,0)</f>
        <v>357.76962000000054</v>
      </c>
      <c r="AK113" s="13">
        <f t="shared" si="89"/>
        <v>83.160306601601619</v>
      </c>
      <c r="AL113" s="20">
        <f t="shared" si="58"/>
        <v>767.95295549779041</v>
      </c>
      <c r="AM113" s="59">
        <f t="shared" si="59"/>
        <v>1061.2862888311238</v>
      </c>
      <c r="AN113" s="59">
        <f ca="1">AVERAGE(OFFSET($AM$3,0,0,'Données projet'!$E$10+1,1))-AVERAGE(OFFSET($H$3,0,0,'Données projet'!$E$10+1,1))</f>
        <v>463.77045964052894</v>
      </c>
      <c r="AO113" s="59">
        <f t="shared" si="90"/>
        <v>209.77146243694483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57.381105228791526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57.381105228791526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7.9349999999999969</v>
      </c>
      <c r="BD113" s="12">
        <f>IF('Données projet'!$A$88&gt;35,BD112+BC113-BL112,IF(A113&lt;'Données projet'!$A$88,$BA$205^A113,IF(A113='Données projet'!$A$88,'Données projet'!$B$88,BD112+BC113-BL112)))</f>
        <v>352.8300000000005</v>
      </c>
      <c r="BE113" s="13">
        <f>BD113*VLOOKUP('Données projet'!$B$11,Paramètres!$A$1:$I$89,3,0)*VLOOKUP('Données projet'!$B$11,Paramètres!$A$1:$I$89,5,0)</f>
        <v>341.25717600000047</v>
      </c>
      <c r="BF113" s="13">
        <f t="shared" si="91"/>
        <v>79.759631123888809</v>
      </c>
      <c r="BG113" s="20">
        <f t="shared" si="61"/>
        <v>733.2709390741071</v>
      </c>
      <c r="BH113" s="59">
        <f t="shared" si="62"/>
        <v>1026.6042724074405</v>
      </c>
      <c r="BI113" s="59">
        <f ca="1">AVERAGE(OFFSET($BH$3,0,0,'Données projet'!$E$11+1,1))-AVERAGE(OFFSET($H$3,0,0,'Données projet'!$E$11+1,1))</f>
        <v>436.0942819360734</v>
      </c>
      <c r="BJ113" s="59">
        <f t="shared" si="92"/>
        <v>198.03942180876311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54.732746525924199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54.732746525924199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>
        <f>BY113*VLOOKUP('Données projet'!$B$12,Paramètres!$A$1:$I$89,3,0)*VLOOKUP('Données projet'!$B$12,Paramètres!$A$1:$I$89,5,0)</f>
        <v>0</v>
      </c>
      <c r="CA113" s="13" t="e">
        <f t="shared" si="93"/>
        <v>#NUM!</v>
      </c>
      <c r="CB113" s="20" t="e">
        <f t="shared" si="64"/>
        <v>#NUM!</v>
      </c>
      <c r="CC113" s="59" t="e">
        <f t="shared" si="65"/>
        <v>#NUM!</v>
      </c>
      <c r="CD113" s="59">
        <f ca="1">AVERAGE(OFFSET($CC$3,0,0,'Données projet'!$E$12+1,1))-AVERAGE(OFFSET($H$3,0,0,'Données projet'!$E$12+1,1))</f>
        <v>183.99578440773581</v>
      </c>
      <c r="CE113" s="59">
        <f t="shared" si="94"/>
        <v>258.43295338669657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10.37625033143784</v>
      </c>
      <c r="CL113" s="21">
        <f>EXP(-LN(2)/25)*CL112+(1-EXP(-LN(2)/25))/(LN(2)/25)*Calculateur!CG113*Calculateur!CI113*VLOOKUP('Données projet'!$B$12,Paramètres!$A$1:$I$89,3,0)*0.475*44/12</f>
        <v>3.7805371091479372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14.156787440585777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81.38519999999977</v>
      </c>
      <c r="D114" s="11">
        <f t="shared" si="86"/>
        <v>22.475533601501073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801.73197867825218</v>
      </c>
      <c r="H114" s="67">
        <f t="shared" si="56"/>
        <v>474.2241110226139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7.9349999999999969</v>
      </c>
      <c r="N114" s="13">
        <f>IF('Données projet'!$A$36&gt;35,N113+M114-V113,IF(A114&lt;'Données projet'!$A$36,$K$205^A114,IF(A114='Données projet'!$A$36,'Données projet'!$B$36,N113+M114-V113)))</f>
        <v>360.7650000000005</v>
      </c>
      <c r="O114" s="13">
        <f>N114*VLOOKUP('Données projet'!$B$9,Paramètres!$A$1:$I$89,3,0)*VLOOKUP('Données projet'!$B$9,Paramètres!$A$1:$I$89,5,0)</f>
        <v>326.42017200000043</v>
      </c>
      <c r="P114" s="13">
        <f t="shared" si="87"/>
        <v>76.687647008791089</v>
      </c>
      <c r="Q114" s="20">
        <f t="shared" si="107"/>
        <v>702.07945144031191</v>
      </c>
      <c r="R114" s="59">
        <f t="shared" si="55"/>
        <v>995.41278477364517</v>
      </c>
      <c r="S114" s="59">
        <f ca="1">AVERAGE(OFFSET($R$3,0,0,'Données projet'!$E$9+1,1))-AVERAGE(OFFSET($H$3,0,0,'Données projet'!$E$9+1,1))</f>
        <v>399.15057697410413</v>
      </c>
      <c r="T114" s="59">
        <f t="shared" si="88"/>
        <v>182.37700638847298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50.197569411505341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50.197569411505341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7.9349999999999969</v>
      </c>
      <c r="AI114" s="13">
        <f>IF('Données projet'!$A$62&gt;35,AI113+AH114-AQ113,IF(A114&lt;'Données projet'!$A$62,$AF$205^A114,IF(A114='Données projet'!$A$62,'Données projet'!$B$62,AI113+AH114-AQ113)))</f>
        <v>360.7650000000005</v>
      </c>
      <c r="AJ114" s="13">
        <f>AI114*VLOOKUP('Données projet'!$B$10,Paramètres!$A$1:$I$89,3,0)*VLOOKUP('Données projet'!$B$10,Paramètres!$A$1:$I$89,5,0)</f>
        <v>365.81571000000054</v>
      </c>
      <c r="AK114" s="13">
        <f t="shared" si="89"/>
        <v>84.810706185422944</v>
      </c>
      <c r="AL114" s="20">
        <f t="shared" si="58"/>
        <v>784.84100818961235</v>
      </c>
      <c r="AM114" s="59">
        <f t="shared" si="59"/>
        <v>1078.1743415229457</v>
      </c>
      <c r="AN114" s="59">
        <f ca="1">AVERAGE(OFFSET($AM$3,0,0,'Données projet'!$E$10+1,1))-AVERAGE(OFFSET($H$3,0,0,'Données projet'!$E$10+1,1))</f>
        <v>463.77045964052894</v>
      </c>
      <c r="AO114" s="59">
        <f t="shared" si="90"/>
        <v>209.77146243694483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56.255896754273245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56.255896754273245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7.9349999999999969</v>
      </c>
      <c r="BD114" s="12">
        <f>IF('Données projet'!$A$88&gt;35,BD113+BC114-BL113,IF(A114&lt;'Données projet'!$A$88,$BA$205^A114,IF(A114='Données projet'!$A$88,'Données projet'!$B$88,BD113+BC114-BL113)))</f>
        <v>360.7650000000005</v>
      </c>
      <c r="BE114" s="13">
        <f>BD114*VLOOKUP('Données projet'!$B$11,Paramètres!$A$1:$I$89,3,0)*VLOOKUP('Données projet'!$B$11,Paramètres!$A$1:$I$89,5,0)</f>
        <v>348.93190800000048</v>
      </c>
      <c r="BF114" s="13">
        <f t="shared" si="91"/>
        <v>81.342540896495009</v>
      </c>
      <c r="BG114" s="20">
        <f t="shared" si="61"/>
        <v>749.39466516139635</v>
      </c>
      <c r="BH114" s="59">
        <f t="shared" si="62"/>
        <v>1042.7279984947297</v>
      </c>
      <c r="BI114" s="59">
        <f ca="1">AVERAGE(OFFSET($BH$3,0,0,'Données projet'!$E$11+1,1))-AVERAGE(OFFSET($H$3,0,0,'Données projet'!$E$11+1,1))</f>
        <v>436.0942819360734</v>
      </c>
      <c r="BJ114" s="59">
        <f t="shared" si="92"/>
        <v>198.03942180876311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53.659470750229843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53.659470750229843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>
        <f>BY114*VLOOKUP('Données projet'!$B$12,Paramètres!$A$1:$I$89,3,0)*VLOOKUP('Données projet'!$B$12,Paramètres!$A$1:$I$89,5,0)</f>
        <v>0</v>
      </c>
      <c r="CA114" s="13" t="e">
        <f t="shared" si="93"/>
        <v>#NUM!</v>
      </c>
      <c r="CB114" s="20" t="e">
        <f t="shared" si="64"/>
        <v>#NUM!</v>
      </c>
      <c r="CC114" s="59" t="e">
        <f t="shared" si="65"/>
        <v>#NUM!</v>
      </c>
      <c r="CD114" s="59">
        <f ca="1">AVERAGE(OFFSET($CC$3,0,0,'Données projet'!$E$12+1,1))-AVERAGE(OFFSET($H$3,0,0,'Données projet'!$E$12+1,1))</f>
        <v>183.99578440773581</v>
      </c>
      <c r="CE114" s="59">
        <f t="shared" si="94"/>
        <v>258.43295338669657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10.172778391326119</v>
      </c>
      <c r="CL114" s="21">
        <f>EXP(-LN(2)/25)*CL113+(1-EXP(-LN(2)/25))/(LN(2)/25)*Calculateur!CG114*Calculateur!CI114*VLOOKUP('Données projet'!$B$12,Paramètres!$A$1:$I$89,3,0)*0.475*44/12</f>
        <v>3.6771581230884807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13.849936514414599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82.118399999999767</v>
      </c>
      <c r="D115" s="11">
        <f t="shared" si="86"/>
        <v>22.654353452648337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808.77213191517831</v>
      </c>
      <c r="H115" s="67">
        <f t="shared" si="56"/>
        <v>475.81254559669543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7.9349999999999969</v>
      </c>
      <c r="N115" s="13">
        <f>IF('Données projet'!$A$36&gt;35,N114+M115-V114,IF(A115&lt;'Données projet'!$A$36,$K$205^A115,IF(A115='Données projet'!$A$36,'Données projet'!$B$36,N114+M115-V114)))</f>
        <v>368.7000000000005</v>
      </c>
      <c r="O115" s="13">
        <f>N115*VLOOKUP('Données projet'!$B$9,Paramètres!$A$1:$I$89,3,0)*VLOOKUP('Données projet'!$B$9,Paramètres!$A$1:$I$89,5,0)</f>
        <v>333.59976000000046</v>
      </c>
      <c r="P115" s="13">
        <f t="shared" si="87"/>
        <v>78.17615735915706</v>
      </c>
      <c r="Q115" s="20">
        <f t="shared" si="107"/>
        <v>717.17638940053257</v>
      </c>
      <c r="R115" s="59">
        <f t="shared" si="55"/>
        <v>1010.5097227338658</v>
      </c>
      <c r="S115" s="59">
        <f ca="1">AVERAGE(OFFSET($R$3,0,0,'Données projet'!$E$9+1,1))-AVERAGE(OFFSET($H$3,0,0,'Données projet'!$E$9+1,1))</f>
        <v>399.15057697410413</v>
      </c>
      <c r="T115" s="59">
        <f t="shared" si="88"/>
        <v>182.37700638847298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49.213225692839835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49.213225692839835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7.9349999999999969</v>
      </c>
      <c r="AI115" s="13">
        <f>IF('Données projet'!$A$62&gt;35,AI114+AH115-AQ114,IF(A115&lt;'Données projet'!$A$62,$AF$205^A115,IF(A115='Données projet'!$A$62,'Données projet'!$B$62,AI114+AH115-AQ114)))</f>
        <v>368.7000000000005</v>
      </c>
      <c r="AJ115" s="13">
        <f>AI115*VLOOKUP('Données projet'!$B$10,Paramètres!$A$1:$I$89,3,0)*VLOOKUP('Données projet'!$B$10,Paramètres!$A$1:$I$89,5,0)</f>
        <v>373.86180000000053</v>
      </c>
      <c r="AK115" s="13">
        <f t="shared" si="89"/>
        <v>86.456885445094045</v>
      </c>
      <c r="AL115" s="20">
        <f t="shared" si="58"/>
        <v>801.7217104835396</v>
      </c>
      <c r="AM115" s="59">
        <f t="shared" si="59"/>
        <v>1095.055043816873</v>
      </c>
      <c r="AN115" s="59">
        <f ca="1">AVERAGE(OFFSET($AM$3,0,0,'Données projet'!$E$10+1,1))-AVERAGE(OFFSET($H$3,0,0,'Données projet'!$E$10+1,1))</f>
        <v>463.77045964052894</v>
      </c>
      <c r="AO115" s="59">
        <f t="shared" si="90"/>
        <v>209.77146243694483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55.152752931630864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55.152752931630864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7.9349999999999969</v>
      </c>
      <c r="BD115" s="12">
        <f>IF('Données projet'!$A$88&gt;35,BD114+BC115-BL114,IF(A115&lt;'Données projet'!$A$88,$BA$205^A115,IF(A115='Données projet'!$A$88,'Données projet'!$B$88,BD114+BC115-BL114)))</f>
        <v>368.7000000000005</v>
      </c>
      <c r="BE115" s="13">
        <f>BD115*VLOOKUP('Données projet'!$B$11,Paramètres!$A$1:$I$89,3,0)*VLOOKUP('Données projet'!$B$11,Paramètres!$A$1:$I$89,5,0)</f>
        <v>356.60664000000048</v>
      </c>
      <c r="BF115" s="13">
        <f t="shared" si="91"/>
        <v>82.921402926720376</v>
      </c>
      <c r="BG115" s="20">
        <f t="shared" si="61"/>
        <v>765.51134143070556</v>
      </c>
      <c r="BH115" s="59">
        <f t="shared" si="62"/>
        <v>1058.8446747640389</v>
      </c>
      <c r="BI115" s="59">
        <f ca="1">AVERAGE(OFFSET($BH$3,0,0,'Données projet'!$E$11+1,1))-AVERAGE(OFFSET($H$3,0,0,'Données projet'!$E$11+1,1))</f>
        <v>436.0942819360734</v>
      </c>
      <c r="BJ115" s="59">
        <f t="shared" si="92"/>
        <v>198.03942180876311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52.607241257863272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52.607241257863272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>
        <f>BY115*VLOOKUP('Données projet'!$B$12,Paramètres!$A$1:$I$89,3,0)*VLOOKUP('Données projet'!$B$12,Paramètres!$A$1:$I$89,5,0)</f>
        <v>0</v>
      </c>
      <c r="CA115" s="13" t="e">
        <f t="shared" si="93"/>
        <v>#NUM!</v>
      </c>
      <c r="CB115" s="20" t="e">
        <f t="shared" si="64"/>
        <v>#NUM!</v>
      </c>
      <c r="CC115" s="59" t="e">
        <f t="shared" si="65"/>
        <v>#NUM!</v>
      </c>
      <c r="CD115" s="59">
        <f ca="1">AVERAGE(OFFSET($CC$3,0,0,'Données projet'!$E$12+1,1))-AVERAGE(OFFSET($H$3,0,0,'Données projet'!$E$12+1,1))</f>
        <v>183.99578440773581</v>
      </c>
      <c r="CE115" s="59">
        <f t="shared" si="94"/>
        <v>258.43295338669657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9.9732964118543617</v>
      </c>
      <c r="CL115" s="21">
        <f>EXP(-LN(2)/25)*CL114+(1-EXP(-LN(2)/25))/(LN(2)/25)*Calculateur!CG115*Calculateur!CI115*VLOOKUP('Données projet'!$B$12,Paramètres!$A$1:$I$89,3,0)*0.475*44/12</f>
        <v>3.5766060408392848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13.549902452693647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82.851599999999763</v>
      </c>
      <c r="D116" s="11">
        <f t="shared" si="86"/>
        <v>22.832987552808103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815.81085128483267</v>
      </c>
      <c r="H116" s="67">
        <f t="shared" si="56"/>
        <v>477.40065665447366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7.9349999999999969</v>
      </c>
      <c r="N116" s="13">
        <f>IF('Données projet'!$A$36&gt;35,N115+M116-V115,IF(A116&lt;'Données projet'!$A$36,$K$205^A116,IF(A116='Données projet'!$A$36,'Données projet'!$B$36,N115+M116-V115)))</f>
        <v>376.6350000000005</v>
      </c>
      <c r="O116" s="13">
        <f>N116*VLOOKUP('Données projet'!$B$9,Paramètres!$A$1:$I$89,3,0)*VLOOKUP('Données projet'!$B$9,Paramètres!$A$1:$I$89,5,0)</f>
        <v>340.77934800000043</v>
      </c>
      <c r="P116" s="13">
        <f t="shared" si="87"/>
        <v>79.660943190415296</v>
      </c>
      <c r="Q116" s="20">
        <f t="shared" si="107"/>
        <v>732.26684048997402</v>
      </c>
      <c r="R116" s="59">
        <f t="shared" si="55"/>
        <v>1025.6001738233074</v>
      </c>
      <c r="S116" s="59">
        <f ca="1">AVERAGE(OFFSET($R$3,0,0,'Données projet'!$E$9+1,1))-AVERAGE(OFFSET($H$3,0,0,'Données projet'!$E$9+1,1))</f>
        <v>399.15057697410413</v>
      </c>
      <c r="T116" s="59">
        <f t="shared" si="88"/>
        <v>182.37700638847298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48.248184354106975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48.248184354106975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7.9349999999999969</v>
      </c>
      <c r="AI116" s="13">
        <f>IF('Données projet'!$A$62&gt;35,AI115+AH116-AQ115,IF(A116&lt;'Données projet'!$A$62,$AF$205^A116,IF(A116='Données projet'!$A$62,'Données projet'!$B$62,AI115+AH116-AQ115)))</f>
        <v>376.6350000000005</v>
      </c>
      <c r="AJ116" s="13">
        <f>AI116*VLOOKUP('Données projet'!$B$10,Paramètres!$A$1:$I$89,3,0)*VLOOKUP('Données projet'!$B$10,Paramètres!$A$1:$I$89,5,0)</f>
        <v>381.90789000000052</v>
      </c>
      <c r="AK116" s="13">
        <f t="shared" si="89"/>
        <v>88.098945669848248</v>
      </c>
      <c r="AL116" s="20">
        <f t="shared" si="58"/>
        <v>818.59523879165329</v>
      </c>
      <c r="AM116" s="59">
        <f t="shared" si="59"/>
        <v>1111.9285721249867</v>
      </c>
      <c r="AN116" s="59">
        <f ca="1">AVERAGE(OFFSET($AM$3,0,0,'Données projet'!$E$10+1,1))-AVERAGE(OFFSET($H$3,0,0,'Données projet'!$E$10+1,1))</f>
        <v>463.77045964052894</v>
      </c>
      <c r="AO116" s="59">
        <f t="shared" si="90"/>
        <v>209.77146243694483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54.071241086499214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54.071241086499214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7.9349999999999969</v>
      </c>
      <c r="BD116" s="12">
        <f>IF('Données projet'!$A$88&gt;35,BD115+BC116-BL115,IF(A116&lt;'Données projet'!$A$88,$BA$205^A116,IF(A116='Données projet'!$A$88,'Données projet'!$B$88,BD115+BC116-BL115)))</f>
        <v>376.6350000000005</v>
      </c>
      <c r="BE116" s="13">
        <f>BD116*VLOOKUP('Données projet'!$B$11,Paramètres!$A$1:$I$89,3,0)*VLOOKUP('Données projet'!$B$11,Paramètres!$A$1:$I$89,5,0)</f>
        <v>364.28137200000049</v>
      </c>
      <c r="BF116" s="13">
        <f t="shared" si="91"/>
        <v>84.496314361776058</v>
      </c>
      <c r="BG116" s="20">
        <f t="shared" si="61"/>
        <v>781.62113708009417</v>
      </c>
      <c r="BH116" s="59">
        <f t="shared" si="62"/>
        <v>1074.9544704134275</v>
      </c>
      <c r="BI116" s="59">
        <f ca="1">AVERAGE(OFFSET($BH$3,0,0,'Données projet'!$E$11+1,1))-AVERAGE(OFFSET($H$3,0,0,'Données projet'!$E$11+1,1))</f>
        <v>436.0942819360734</v>
      </c>
      <c r="BJ116" s="59">
        <f t="shared" si="92"/>
        <v>198.03942180876311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51.575645344045391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51.575645344045391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>
        <f>BY116*VLOOKUP('Données projet'!$B$12,Paramètres!$A$1:$I$89,3,0)*VLOOKUP('Données projet'!$B$12,Paramètres!$A$1:$I$89,5,0)</f>
        <v>0</v>
      </c>
      <c r="CA116" s="13" t="e">
        <f t="shared" si="93"/>
        <v>#NUM!</v>
      </c>
      <c r="CB116" s="20" t="e">
        <f t="shared" si="64"/>
        <v>#NUM!</v>
      </c>
      <c r="CC116" s="59" t="e">
        <f t="shared" si="65"/>
        <v>#NUM!</v>
      </c>
      <c r="CD116" s="59">
        <f ca="1">AVERAGE(OFFSET($CC$3,0,0,'Données projet'!$E$12+1,1))-AVERAGE(OFFSET($H$3,0,0,'Données projet'!$E$12+1,1))</f>
        <v>183.99578440773581</v>
      </c>
      <c r="CE116" s="59">
        <f t="shared" si="94"/>
        <v>258.43295338669657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9.7777261523280519</v>
      </c>
      <c r="CL116" s="21">
        <f>EXP(-LN(2)/25)*CL115+(1-EXP(-LN(2)/25))/(LN(2)/25)*Calculateur!CG116*Calculateur!CI116*VLOOKUP('Données projet'!$B$12,Paramètres!$A$1:$I$89,3,0)*0.475*44/12</f>
        <v>3.4788035605669974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13.256529712895048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83.58479999999976</v>
      </c>
      <c r="D117" s="11">
        <f t="shared" si="86"/>
        <v>23.011437736237557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822.84815094639328</v>
      </c>
      <c r="H117" s="67">
        <f t="shared" si="56"/>
        <v>478.98844739061326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>
        <f>VLOOKUP(A117,'Données projet'!$A$35:$I$55,2,0)</f>
        <v>384.57</v>
      </c>
      <c r="L117" s="12">
        <f>VLOOKUP(A117,'Données projet'!$A$35:$I$55,9,0)</f>
        <v>7.9349999999999969</v>
      </c>
      <c r="M117" s="12">
        <f t="array" ref="M117">INDEX(L:L,MIN(IF(ISNUMBER(L117:L313),ROW(L117:L313),"")))</f>
        <v>7.9349999999999969</v>
      </c>
      <c r="N117" s="13">
        <f>IF('Données projet'!$A$36&gt;35,N116+M117-V116,IF(A117&lt;'Données projet'!$A$36,$K$205^A117,IF(A117='Données projet'!$A$36,'Données projet'!$B$36,N116+M117-V116)))</f>
        <v>384.5700000000005</v>
      </c>
      <c r="O117" s="13">
        <f>N117*VLOOKUP('Données projet'!$B$9,Paramètres!$A$1:$I$89,3,0)*VLOOKUP('Données projet'!$B$9,Paramètres!$A$1:$I$89,5,0)</f>
        <v>347.95893600000045</v>
      </c>
      <c r="P117" s="13">
        <f t="shared" si="87"/>
        <v>81.142092010767954</v>
      </c>
      <c r="Q117" s="20">
        <f t="shared" si="107"/>
        <v>747.35095711875499</v>
      </c>
      <c r="R117" s="59">
        <f t="shared" si="55"/>
        <v>1040.6842904520884</v>
      </c>
      <c r="S117" s="59">
        <f ca="1">AVERAGE(OFFSET($R$3,0,0,'Données projet'!$E$9+1,1))-AVERAGE(OFFSET($H$3,0,0,'Données projet'!$E$9+1,1))</f>
        <v>399.15057697410413</v>
      </c>
      <c r="T117" s="59">
        <f t="shared" si="88"/>
        <v>182.37700638847298</v>
      </c>
      <c r="U117" s="15">
        <f>IF(ISNA(VLOOKUP(A117,'Données projet'!$A$35:$I$55,3,0)),0,VLOOKUP(A117,'Données projet'!$A$35:$I$55,3,0))</f>
        <v>9</v>
      </c>
      <c r="V117" s="15">
        <f>IF(ISNA(VLOOKUP(A117,'Données projet'!$A$35:$I$55,4,0)),0,VLOOKUP(A117,'Données projet'!$A$35:$I$55,4,0))</f>
        <v>56.07</v>
      </c>
      <c r="W117" s="16">
        <f>IF(ISNA(VLOOKUP(A117,'Données projet'!$A$35:$I$55,5,0)),0%,VLOOKUP(A117,'Données projet'!$A$35:$I$55,5,0)*VLOOKUP('Données projet'!$B$9,Paramètres!$A$1:$I$89,7,0))</f>
        <v>0.25800000000000001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61.771448286126386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61.771448286126386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384.57</v>
      </c>
      <c r="AG117" s="12">
        <f>VLOOKUP(A117,'Données projet'!$A$61:$I$81,9,0)</f>
        <v>7.9349999999999969</v>
      </c>
      <c r="AH117" s="12">
        <f t="array" ref="AH117">INDEX(AG:AG,MIN(IF(ISNUMBER(AG117:AG313),ROW(AG117:AG313),"")))</f>
        <v>7.9349999999999969</v>
      </c>
      <c r="AI117" s="13">
        <f>IF('Données projet'!$A$62&gt;35,AI116+AH117-AQ116,IF(A117&lt;'Données projet'!$A$62,$AF$205^A117,IF(A117='Données projet'!$A$62,'Données projet'!$B$62,AI116+AH117-AQ116)))</f>
        <v>384.5700000000005</v>
      </c>
      <c r="AJ117" s="13">
        <f>AI117*VLOOKUP('Données projet'!$B$10,Paramètres!$A$1:$I$89,3,0)*VLOOKUP('Données projet'!$B$10,Paramètres!$A$1:$I$89,5,0)</f>
        <v>389.95398000000051</v>
      </c>
      <c r="AK117" s="13">
        <f t="shared" si="89"/>
        <v>89.736983637102725</v>
      </c>
      <c r="AL117" s="20">
        <f t="shared" si="58"/>
        <v>835.46176166795476</v>
      </c>
      <c r="AM117" s="59">
        <f t="shared" si="59"/>
        <v>1128.795095001288</v>
      </c>
      <c r="AN117" s="59">
        <f ca="1">AVERAGE(OFFSET($AM$3,0,0,'Données projet'!$E$10+1,1))-AVERAGE(OFFSET($H$3,0,0,'Données projet'!$E$10+1,1))</f>
        <v>463.77045964052894</v>
      </c>
      <c r="AO117" s="59">
        <f t="shared" si="90"/>
        <v>209.77146243694483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0.25800000000000001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69.226623079279591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69.226623079279591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>
        <f>VLOOKUP(A117,'Données projet'!$A$87:$I$107,2,0)</f>
        <v>384.57</v>
      </c>
      <c r="BB117" s="12">
        <f>VLOOKUP(A117,'Données projet'!$A$87:$I$107,9,0)</f>
        <v>7.9349999999999969</v>
      </c>
      <c r="BC117" s="12">
        <f t="array" ref="BC117">INDEX(BB:BB,MIN(IF(ISNUMBER(BB117:BB313),ROW(BB117:BB313),"")))</f>
        <v>7.9349999999999969</v>
      </c>
      <c r="BD117" s="12">
        <f>IF('Données projet'!$A$88&gt;35,BD116+BC117-BL116,IF(A117&lt;'Données projet'!$A$88,$BA$205^A117,IF(A117='Données projet'!$A$88,'Données projet'!$B$88,BD116+BC117-BL116)))</f>
        <v>384.5700000000005</v>
      </c>
      <c r="BE117" s="13">
        <f>BD117*VLOOKUP('Données projet'!$B$11,Paramètres!$A$1:$I$89,3,0)*VLOOKUP('Données projet'!$B$11,Paramètres!$A$1:$I$89,5,0)</f>
        <v>371.95610400000049</v>
      </c>
      <c r="BF117" s="13">
        <f t="shared" si="91"/>
        <v>86.067368021559375</v>
      </c>
      <c r="BG117" s="20">
        <f t="shared" si="61"/>
        <v>797.72421377088347</v>
      </c>
      <c r="BH117" s="59">
        <f t="shared" si="62"/>
        <v>1091.0575471042168</v>
      </c>
      <c r="BI117" s="59">
        <f ca="1">AVERAGE(OFFSET($BH$3,0,0,'Données projet'!$E$11+1,1))-AVERAGE(OFFSET($H$3,0,0,'Données projet'!$E$11+1,1))</f>
        <v>436.0942819360734</v>
      </c>
      <c r="BJ117" s="59">
        <f t="shared" si="92"/>
        <v>198.03942180876311</v>
      </c>
      <c r="BK117" s="15">
        <f>IF(ISNA(VLOOKUP(A117,'Données projet'!$A$87:$I$107,3,0)),0,VLOOKUP(A117,'Données projet'!$A$87:$I$107,3,0))</f>
        <v>9</v>
      </c>
      <c r="BL117" s="15">
        <f>IF(ISNA(VLOOKUP(A117,'Données projet'!$A$87:$I$107,4,0)),0,VLOOKUP(A117,'Données projet'!$A$87:$I$107,4,0))</f>
        <v>56.07</v>
      </c>
      <c r="BM117" s="16">
        <f>IF(ISNA(VLOOKUP(A117,'Données projet'!$A$87:$I$107,5,0)),0%,VLOOKUP(A117,'Données projet'!$A$87:$I$107,5,0)*VLOOKUP('Données projet'!$B$11,Paramètres!$A$1:$I$89,7,0))</f>
        <v>0.25800000000000001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66.031548167928207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66.031548167928207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>
        <f>BY117*VLOOKUP('Données projet'!$B$12,Paramètres!$A$1:$I$89,3,0)*VLOOKUP('Données projet'!$B$12,Paramètres!$A$1:$I$89,5,0)</f>
        <v>0</v>
      </c>
      <c r="CA117" s="13" t="e">
        <f t="shared" si="93"/>
        <v>#NUM!</v>
      </c>
      <c r="CB117" s="20" t="e">
        <f t="shared" si="64"/>
        <v>#NUM!</v>
      </c>
      <c r="CC117" s="59" t="e">
        <f t="shared" si="65"/>
        <v>#NUM!</v>
      </c>
      <c r="CD117" s="59">
        <f ca="1">AVERAGE(OFFSET($CC$3,0,0,'Données projet'!$E$12+1,1))-AVERAGE(OFFSET($H$3,0,0,'Données projet'!$E$12+1,1))</f>
        <v>183.99578440773581</v>
      </c>
      <c r="CE117" s="59">
        <f t="shared" si="94"/>
        <v>258.43295338669657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9.5859909063049731</v>
      </c>
      <c r="CL117" s="21">
        <f>EXP(-LN(2)/25)*CL116+(1-EXP(-LN(2)/25))/(LN(2)/25)*Calculateur!CG117*Calculateur!CI117*VLOOKUP('Données projet'!$B$12,Paramètres!$A$1:$I$89,3,0)*0.475*44/12</f>
        <v>3.3836754942609644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12.969666400565938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84.317999999999756</v>
      </c>
      <c r="D118" s="11">
        <f t="shared" si="86"/>
        <v>23.189705803157189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829.88404479629924</v>
      </c>
      <c r="H118" s="67">
        <f t="shared" si="56"/>
        <v>480.57592094049829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7.9920000000000018</v>
      </c>
      <c r="N118" s="13">
        <f>IF('Données projet'!$A$36&gt;35,N117+M118-V117,IF(A118&lt;'Données projet'!$A$36,$K$205^A118,IF(A118='Données projet'!$A$36,'Données projet'!$B$36,N117+M118-V117)))</f>
        <v>336.49200000000053</v>
      </c>
      <c r="O118" s="13">
        <f>N118*VLOOKUP('Données projet'!$B$9,Paramètres!$A$1:$I$89,3,0)*VLOOKUP('Données projet'!$B$9,Paramètres!$A$1:$I$89,5,0)</f>
        <v>304.45796160000049</v>
      </c>
      <c r="P118" s="13">
        <f t="shared" si="87"/>
        <v>72.11021964481435</v>
      </c>
      <c r="Q118" s="20">
        <f t="shared" si="107"/>
        <v>655.85624900138566</v>
      </c>
      <c r="R118" s="59">
        <f t="shared" si="55"/>
        <v>949.18958233471903</v>
      </c>
      <c r="S118" s="59">
        <f ca="1">AVERAGE(OFFSET($R$3,0,0,'Données projet'!$E$9+1,1))-AVERAGE(OFFSET($H$3,0,0,'Données projet'!$E$9+1,1))</f>
        <v>399.15057697410413</v>
      </c>
      <c r="T118" s="59">
        <f t="shared" si="88"/>
        <v>182.37700638847298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60.560147862098624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60.560147862098624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7.9920000000000018</v>
      </c>
      <c r="AI118" s="13">
        <f>IF('Données projet'!$A$62&gt;35,AI117+AH118-AQ117,IF(A118&lt;'Données projet'!$A$62,$AF$205^A118,IF(A118='Données projet'!$A$62,'Données projet'!$B$62,AI117+AH118-AQ117)))</f>
        <v>336.49200000000053</v>
      </c>
      <c r="AJ118" s="13">
        <f>AI118*VLOOKUP('Données projet'!$B$10,Paramètres!$A$1:$I$89,3,0)*VLOOKUP('Données projet'!$B$10,Paramètres!$A$1:$I$89,5,0)</f>
        <v>341.2028880000006</v>
      </c>
      <c r="AK118" s="13">
        <f t="shared" si="89"/>
        <v>79.748419593074587</v>
      </c>
      <c r="AL118" s="20">
        <f t="shared" si="58"/>
        <v>733.15686072460585</v>
      </c>
      <c r="AM118" s="59">
        <f t="shared" si="59"/>
        <v>1026.4901940579391</v>
      </c>
      <c r="AN118" s="59">
        <f ca="1">AVERAGE(OFFSET($AM$3,0,0,'Données projet'!$E$10+1,1))-AVERAGE(OFFSET($H$3,0,0,'Données projet'!$E$10+1,1))</f>
        <v>463.77045964052894</v>
      </c>
      <c r="AO118" s="59">
        <f t="shared" si="90"/>
        <v>209.77146243694483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67.869131224765709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67.869131224765709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7.9920000000000018</v>
      </c>
      <c r="BD118" s="12">
        <f>IF('Données projet'!$A$88&gt;35,BD117+BC118-BL117,IF(A118&lt;'Données projet'!$A$88,$BA$205^A118,IF(A118='Données projet'!$A$88,'Données projet'!$B$88,BD117+BC118-BL117)))</f>
        <v>336.49200000000053</v>
      </c>
      <c r="BE118" s="13">
        <f>BD118*VLOOKUP('Données projet'!$B$11,Paramètres!$A$1:$I$89,3,0)*VLOOKUP('Données projet'!$B$11,Paramètres!$A$1:$I$89,5,0)</f>
        <v>325.45506240000054</v>
      </c>
      <c r="BF118" s="13">
        <f t="shared" si="91"/>
        <v>76.487266454284907</v>
      </c>
      <c r="BG118" s="20">
        <f t="shared" si="61"/>
        <v>700.04955608788043</v>
      </c>
      <c r="BH118" s="59">
        <f t="shared" si="62"/>
        <v>993.3828894212138</v>
      </c>
      <c r="BI118" s="59">
        <f ca="1">AVERAGE(OFFSET($BH$3,0,0,'Données projet'!$E$11+1,1))-AVERAGE(OFFSET($H$3,0,0,'Données projet'!$E$11+1,1))</f>
        <v>436.0942819360734</v>
      </c>
      <c r="BJ118" s="59">
        <f t="shared" si="92"/>
        <v>198.03942180876311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64.736709783622672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64.736709783622672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>
        <f>BY118*VLOOKUP('Données projet'!$B$12,Paramètres!$A$1:$I$89,3,0)*VLOOKUP('Données projet'!$B$12,Paramètres!$A$1:$I$89,5,0)</f>
        <v>0</v>
      </c>
      <c r="CA118" s="13" t="e">
        <f t="shared" si="93"/>
        <v>#NUM!</v>
      </c>
      <c r="CB118" s="20" t="e">
        <f t="shared" si="64"/>
        <v>#NUM!</v>
      </c>
      <c r="CC118" s="59" t="e">
        <f t="shared" si="65"/>
        <v>#NUM!</v>
      </c>
      <c r="CD118" s="59">
        <f ca="1">AVERAGE(OFFSET($CC$3,0,0,'Données projet'!$E$12+1,1))-AVERAGE(OFFSET($H$3,0,0,'Données projet'!$E$12+1,1))</f>
        <v>183.99578440773581</v>
      </c>
      <c r="CE118" s="59">
        <f t="shared" si="94"/>
        <v>258.43295338669657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9.3980154715094546</v>
      </c>
      <c r="CL118" s="21">
        <f>EXP(-LN(2)/25)*CL117+(1-EXP(-LN(2)/25))/(LN(2)/25)*Calculateur!CG118*Calculateur!CI118*VLOOKUP('Données projet'!$B$12,Paramètres!$A$1:$I$89,3,0)*0.475*44/12</f>
        <v>3.2911487099306376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12.689164181440091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85.051199999999753</v>
      </c>
      <c r="D119" s="11">
        <f t="shared" si="86"/>
        <v>23.367793520672667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836.91854647536604</v>
      </c>
      <c r="H119" s="67">
        <f t="shared" si="56"/>
        <v>482.16308038183774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7.9920000000000018</v>
      </c>
      <c r="N119" s="13">
        <f>IF('Données projet'!$A$36&gt;35,N118+M119-V118,IF(A119&lt;'Données projet'!$A$36,$K$205^A119,IF(A119='Données projet'!$A$36,'Données projet'!$B$36,N118+M119-V118)))</f>
        <v>344.48400000000055</v>
      </c>
      <c r="O119" s="13">
        <f>N119*VLOOKUP('Données projet'!$B$9,Paramètres!$A$1:$I$89,3,0)*VLOOKUP('Données projet'!$B$9,Paramètres!$A$1:$I$89,5,0)</f>
        <v>311.68912320000049</v>
      </c>
      <c r="P119" s="13">
        <f t="shared" si="87"/>
        <v>73.621474685301479</v>
      </c>
      <c r="Q119" s="20">
        <f t="shared" si="107"/>
        <v>671.08262465023415</v>
      </c>
      <c r="R119" s="59">
        <f t="shared" si="55"/>
        <v>964.41595798356752</v>
      </c>
      <c r="S119" s="59">
        <f ca="1">AVERAGE(OFFSET($R$3,0,0,'Données projet'!$E$9+1,1))-AVERAGE(OFFSET($H$3,0,0,'Données projet'!$E$9+1,1))</f>
        <v>399.15057697410413</v>
      </c>
      <c r="T119" s="59">
        <f t="shared" si="88"/>
        <v>182.37700638847298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59.372600300565736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59.372600300565736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7.9920000000000018</v>
      </c>
      <c r="AI119" s="13">
        <f>IF('Données projet'!$A$62&gt;35,AI118+AH119-AQ118,IF(A119&lt;'Données projet'!$A$62,$AF$205^A119,IF(A119='Données projet'!$A$62,'Données projet'!$B$62,AI118+AH119-AQ118)))</f>
        <v>344.48400000000055</v>
      </c>
      <c r="AJ119" s="13">
        <f>AI119*VLOOKUP('Données projet'!$B$10,Paramètres!$A$1:$I$89,3,0)*VLOOKUP('Données projet'!$B$10,Paramètres!$A$1:$I$89,5,0)</f>
        <v>349.30677600000058</v>
      </c>
      <c r="AK119" s="13">
        <f t="shared" si="89"/>
        <v>81.419752750490431</v>
      </c>
      <c r="AL119" s="20">
        <f t="shared" si="58"/>
        <v>750.18203757377194</v>
      </c>
      <c r="AM119" s="59">
        <f t="shared" si="59"/>
        <v>1043.5153709071053</v>
      </c>
      <c r="AN119" s="59">
        <f ca="1">AVERAGE(OFFSET($AM$3,0,0,'Données projet'!$E$10+1,1))-AVERAGE(OFFSET($H$3,0,0,'Données projet'!$E$10+1,1))</f>
        <v>463.77045964052894</v>
      </c>
      <c r="AO119" s="59">
        <f t="shared" si="90"/>
        <v>209.77146243694483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66.538258957530573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66.538258957530573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7.9920000000000018</v>
      </c>
      <c r="BD119" s="12">
        <f>IF('Données projet'!$A$88&gt;35,BD118+BC119-BL118,IF(A119&lt;'Données projet'!$A$88,$BA$205^A119,IF(A119='Données projet'!$A$88,'Données projet'!$B$88,BD118+BC119-BL118)))</f>
        <v>344.48400000000055</v>
      </c>
      <c r="BE119" s="13">
        <f>BD119*VLOOKUP('Données projet'!$B$11,Paramètres!$A$1:$I$89,3,0)*VLOOKUP('Données projet'!$B$11,Paramètres!$A$1:$I$89,5,0)</f>
        <v>333.18492480000054</v>
      </c>
      <c r="BF119" s="13">
        <f t="shared" si="91"/>
        <v>78.090253763593893</v>
      </c>
      <c r="BG119" s="20">
        <f t="shared" si="61"/>
        <v>716.30426933159345</v>
      </c>
      <c r="BH119" s="59">
        <f t="shared" si="62"/>
        <v>1009.6376026649268</v>
      </c>
      <c r="BI119" s="59">
        <f ca="1">AVERAGE(OFFSET($BH$3,0,0,'Données projet'!$E$11+1,1))-AVERAGE(OFFSET($H$3,0,0,'Données projet'!$E$11+1,1))</f>
        <v>436.0942819360734</v>
      </c>
      <c r="BJ119" s="59">
        <f t="shared" si="92"/>
        <v>198.03942180876311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63.467262390259933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63.467262390259933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>
        <f>BY119*VLOOKUP('Données projet'!$B$12,Paramètres!$A$1:$I$89,3,0)*VLOOKUP('Données projet'!$B$12,Paramètres!$A$1:$I$89,5,0)</f>
        <v>0</v>
      </c>
      <c r="CA119" s="13" t="e">
        <f t="shared" si="93"/>
        <v>#NUM!</v>
      </c>
      <c r="CB119" s="20" t="e">
        <f t="shared" si="64"/>
        <v>#NUM!</v>
      </c>
      <c r="CC119" s="59" t="e">
        <f t="shared" si="65"/>
        <v>#NUM!</v>
      </c>
      <c r="CD119" s="59">
        <f ca="1">AVERAGE(OFFSET($CC$3,0,0,'Données projet'!$E$12+1,1))-AVERAGE(OFFSET($H$3,0,0,'Données projet'!$E$12+1,1))</f>
        <v>183.99578440773581</v>
      </c>
      <c r="CE119" s="59">
        <f t="shared" si="94"/>
        <v>258.43295338669657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9.213726120336581</v>
      </c>
      <c r="CL119" s="21">
        <f>EXP(-LN(2)/25)*CL118+(1-EXP(-LN(2)/25))/(LN(2)/25)*Calculateur!CG119*Calculateur!CI119*VLOOKUP('Données projet'!$B$12,Paramètres!$A$1:$I$89,3,0)*0.475*44/12</f>
        <v>3.2011520753835958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12.414878195720178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85.784399999999749</v>
      </c>
      <c r="D120" s="11">
        <f t="shared" si="86"/>
        <v>23.545702623664145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843.95166937565102</v>
      </c>
      <c r="H120" s="67">
        <f t="shared" si="56"/>
        <v>483.7499287362146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7.9920000000000018</v>
      </c>
      <c r="N120" s="13">
        <f>IF('Données projet'!$A$36&gt;35,N119+M120-V119,IF(A120&lt;'Données projet'!$A$36,$K$205^A120,IF(A120='Données projet'!$A$36,'Données projet'!$B$36,N119+M120-V119)))</f>
        <v>352.47600000000057</v>
      </c>
      <c r="O120" s="13">
        <f>N120*VLOOKUP('Données projet'!$B$9,Paramètres!$A$1:$I$89,3,0)*VLOOKUP('Données projet'!$B$9,Paramètres!$A$1:$I$89,5,0)</f>
        <v>318.9202848000005</v>
      </c>
      <c r="P120" s="13">
        <f t="shared" si="87"/>
        <v>75.128653745521831</v>
      </c>
      <c r="Q120" s="20">
        <f t="shared" si="107"/>
        <v>686.30190130011806</v>
      </c>
      <c r="R120" s="59">
        <f t="shared" si="55"/>
        <v>979.63523463345132</v>
      </c>
      <c r="S120" s="59">
        <f ca="1">AVERAGE(OFFSET($R$3,0,0,'Données projet'!$E$9+1,1))-AVERAGE(OFFSET($H$3,0,0,'Données projet'!$E$9+1,1))</f>
        <v>399.15057697410413</v>
      </c>
      <c r="T120" s="59">
        <f t="shared" si="88"/>
        <v>182.37700638847298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58.208339822382015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58.208339822382015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7.9920000000000018</v>
      </c>
      <c r="AI120" s="13">
        <f>IF('Données projet'!$A$62&gt;35,AI119+AH120-AQ119,IF(A120&lt;'Données projet'!$A$62,$AF$205^A120,IF(A120='Données projet'!$A$62,'Données projet'!$B$62,AI119+AH120-AQ119)))</f>
        <v>352.47600000000057</v>
      </c>
      <c r="AJ120" s="13">
        <f>AI120*VLOOKUP('Données projet'!$B$10,Paramètres!$A$1:$I$89,3,0)*VLOOKUP('Données projet'!$B$10,Paramètres!$A$1:$I$89,5,0)</f>
        <v>357.41066400000057</v>
      </c>
      <c r="AK120" s="13">
        <f t="shared" si="89"/>
        <v>83.086578183672941</v>
      </c>
      <c r="AL120" s="20">
        <f t="shared" si="58"/>
        <v>767.199363469898</v>
      </c>
      <c r="AM120" s="59">
        <f t="shared" si="59"/>
        <v>1060.5326968032314</v>
      </c>
      <c r="AN120" s="59">
        <f ca="1">AVERAGE(OFFSET($AM$3,0,0,'Données projet'!$E$10+1,1))-AVERAGE(OFFSET($H$3,0,0,'Données projet'!$E$10+1,1))</f>
        <v>463.77045964052894</v>
      </c>
      <c r="AO120" s="59">
        <f t="shared" si="90"/>
        <v>209.77146243694483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65.233484283703987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65.233484283703987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7.9920000000000018</v>
      </c>
      <c r="BD120" s="12">
        <f>IF('Données projet'!$A$88&gt;35,BD119+BC120-BL119,IF(A120&lt;'Données projet'!$A$88,$BA$205^A120,IF(A120='Données projet'!$A$88,'Données projet'!$B$88,BD119+BC120-BL119)))</f>
        <v>352.47600000000057</v>
      </c>
      <c r="BE120" s="13">
        <f>BD120*VLOOKUP('Données projet'!$B$11,Paramètres!$A$1:$I$89,3,0)*VLOOKUP('Données projet'!$B$11,Paramètres!$A$1:$I$89,5,0)</f>
        <v>340.91478720000055</v>
      </c>
      <c r="BF120" s="13">
        <f t="shared" si="91"/>
        <v>79.68891768309399</v>
      </c>
      <c r="BG120" s="20">
        <f t="shared" si="61"/>
        <v>732.55145267138971</v>
      </c>
      <c r="BH120" s="59">
        <f t="shared" si="62"/>
        <v>1025.8847860047231</v>
      </c>
      <c r="BI120" s="59">
        <f ca="1">AVERAGE(OFFSET($BH$3,0,0,'Données projet'!$E$11+1,1))-AVERAGE(OFFSET($H$3,0,0,'Données projet'!$E$11+1,1))</f>
        <v>436.0942819360734</v>
      </c>
      <c r="BJ120" s="59">
        <f t="shared" si="92"/>
        <v>198.03942180876311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62.222708085994576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62.222708085994576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>
        <f>BY120*VLOOKUP('Données projet'!$B$12,Paramètres!$A$1:$I$89,3,0)*VLOOKUP('Données projet'!$B$12,Paramètres!$A$1:$I$89,5,0)</f>
        <v>0</v>
      </c>
      <c r="CA120" s="13" t="e">
        <f t="shared" si="93"/>
        <v>#NUM!</v>
      </c>
      <c r="CB120" s="20" t="e">
        <f t="shared" si="64"/>
        <v>#NUM!</v>
      </c>
      <c r="CC120" s="59" t="e">
        <f t="shared" si="65"/>
        <v>#NUM!</v>
      </c>
      <c r="CD120" s="59">
        <f ca="1">AVERAGE(OFFSET($CC$3,0,0,'Données projet'!$E$12+1,1))-AVERAGE(OFFSET($H$3,0,0,'Données projet'!$E$12+1,1))</f>
        <v>183.99578440773581</v>
      </c>
      <c r="CE120" s="59">
        <f t="shared" si="94"/>
        <v>258.43295338669657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9.0330505709348028</v>
      </c>
      <c r="CL120" s="21">
        <f>EXP(-LN(2)/25)*CL119+(1-EXP(-LN(2)/25))/(LN(2)/25)*Calculateur!CG120*Calculateur!CI120*VLOOKUP('Données projet'!$B$12,Paramètres!$A$1:$I$89,3,0)*0.475*44/12</f>
        <v>3.1136164035409601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12.146666974475764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86.517599999999746</v>
      </c>
      <c r="D121" s="11">
        <f t="shared" si="86"/>
        <v>23.72343481564414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850.9834266470757</v>
      </c>
      <c r="H121" s="67">
        <f t="shared" si="56"/>
        <v>485.33646897057974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7.9920000000000018</v>
      </c>
      <c r="N121" s="13">
        <f>IF('Données projet'!$A$36&gt;35,N120+M121-V120,IF(A121&lt;'Données projet'!$A$36,$K$205^A121,IF(A121='Données projet'!$A$36,'Données projet'!$B$36,N120+M121-V120)))</f>
        <v>360.46800000000059</v>
      </c>
      <c r="O121" s="13">
        <f>N121*VLOOKUP('Données projet'!$B$9,Paramètres!$A$1:$I$89,3,0)*VLOOKUP('Données projet'!$B$9,Paramètres!$A$1:$I$89,5,0)</f>
        <v>326.15144640000051</v>
      </c>
      <c r="P121" s="13">
        <f t="shared" si="87"/>
        <v>76.631859883081802</v>
      </c>
      <c r="Q121" s="20">
        <f t="shared" si="107"/>
        <v>701.51425844303503</v>
      </c>
      <c r="R121" s="59">
        <f t="shared" si="55"/>
        <v>994.84759177636829</v>
      </c>
      <c r="S121" s="59">
        <f ca="1">AVERAGE(OFFSET($R$3,0,0,'Données projet'!$E$9+1,1))-AVERAGE(OFFSET($H$3,0,0,'Données projet'!$E$9+1,1))</f>
        <v>399.15057697410413</v>
      </c>
      <c r="T121" s="59">
        <f t="shared" si="88"/>
        <v>182.37700638847298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57.066909782046707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57.066909782046707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7.9920000000000018</v>
      </c>
      <c r="AI121" s="13">
        <f>IF('Données projet'!$A$62&gt;35,AI120+AH121-AQ120,IF(A121&lt;'Données projet'!$A$62,$AF$205^A121,IF(A121='Données projet'!$A$62,'Données projet'!$B$62,AI120+AH121-AQ120)))</f>
        <v>360.46800000000059</v>
      </c>
      <c r="AJ121" s="13">
        <f>AI121*VLOOKUP('Données projet'!$B$10,Paramètres!$A$1:$I$89,3,0)*VLOOKUP('Données projet'!$B$10,Paramètres!$A$1:$I$89,5,0)</f>
        <v>365.51455200000061</v>
      </c>
      <c r="AK121" s="13">
        <f t="shared" si="89"/>
        <v>84.749009866498071</v>
      </c>
      <c r="AL121" s="20">
        <f t="shared" si="58"/>
        <v>784.20903691748515</v>
      </c>
      <c r="AM121" s="59">
        <f t="shared" si="59"/>
        <v>1077.5423702508185</v>
      </c>
      <c r="AN121" s="59">
        <f ca="1">AVERAGE(OFFSET($AM$3,0,0,'Données projet'!$E$10+1,1))-AVERAGE(OFFSET($H$3,0,0,'Données projet'!$E$10+1,1))</f>
        <v>463.77045964052894</v>
      </c>
      <c r="AO121" s="59">
        <f t="shared" si="90"/>
        <v>209.77146243694483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63.954295445397179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63.954295445397179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7.9920000000000018</v>
      </c>
      <c r="BD121" s="12">
        <f>IF('Données projet'!$A$88&gt;35,BD120+BC121-BL120,IF(A121&lt;'Données projet'!$A$88,$BA$205^A121,IF(A121='Données projet'!$A$88,'Données projet'!$B$88,BD120+BC121-BL120)))</f>
        <v>360.46800000000059</v>
      </c>
      <c r="BE121" s="13">
        <f>BD121*VLOOKUP('Données projet'!$B$11,Paramètres!$A$1:$I$89,3,0)*VLOOKUP('Données projet'!$B$11,Paramètres!$A$1:$I$89,5,0)</f>
        <v>348.64464960000061</v>
      </c>
      <c r="BF121" s="13">
        <f t="shared" si="91"/>
        <v>81.283367525926224</v>
      </c>
      <c r="BG121" s="20">
        <f t="shared" si="61"/>
        <v>748.79129649432252</v>
      </c>
      <c r="BH121" s="59">
        <f t="shared" si="62"/>
        <v>1042.1246298276558</v>
      </c>
      <c r="BI121" s="59">
        <f ca="1">AVERAGE(OFFSET($BH$3,0,0,'Données projet'!$E$11+1,1))-AVERAGE(OFFSET($H$3,0,0,'Données projet'!$E$11+1,1))</f>
        <v>436.0942819360734</v>
      </c>
      <c r="BJ121" s="59">
        <f t="shared" si="92"/>
        <v>198.03942180876311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61.002558732532698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61.002558732532698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>
        <f>BY121*VLOOKUP('Données projet'!$B$12,Paramètres!$A$1:$I$89,3,0)*VLOOKUP('Données projet'!$B$12,Paramètres!$A$1:$I$89,5,0)</f>
        <v>0</v>
      </c>
      <c r="CA121" s="13" t="e">
        <f t="shared" si="93"/>
        <v>#NUM!</v>
      </c>
      <c r="CB121" s="20" t="e">
        <f t="shared" si="64"/>
        <v>#NUM!</v>
      </c>
      <c r="CC121" s="59" t="e">
        <f t="shared" si="65"/>
        <v>#NUM!</v>
      </c>
      <c r="CD121" s="59">
        <f ca="1">AVERAGE(OFFSET($CC$3,0,0,'Données projet'!$E$12+1,1))-AVERAGE(OFFSET($H$3,0,0,'Données projet'!$E$12+1,1))</f>
        <v>183.99578440773581</v>
      </c>
      <c r="CE121" s="59">
        <f t="shared" si="94"/>
        <v>258.43295338669657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8.8559179588555903</v>
      </c>
      <c r="CL121" s="21">
        <f>EXP(-LN(2)/25)*CL120+(1-EXP(-LN(2)/25))/(LN(2)/25)*Calculateur!CG121*Calculateur!CI121*VLOOKUP('Données projet'!$B$12,Paramètres!$A$1:$I$89,3,0)*0.475*44/12</f>
        <v>3.0284743992481622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11.884392358103753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87.250799999999742</v>
      </c>
      <c r="D122" s="11">
        <f t="shared" si="86"/>
        <v>23.900991769585712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858.01383120381763</v>
      </c>
      <c r="H122" s="67">
        <f t="shared" si="56"/>
        <v>486.92270399869466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7.9920000000000018</v>
      </c>
      <c r="N122" s="13">
        <f>IF('Données projet'!$A$36&gt;35,N121+M122-V121,IF(A122&lt;'Données projet'!$A$36,$K$205^A122,IF(A122='Données projet'!$A$36,'Données projet'!$B$36,N121+M122-V121)))</f>
        <v>368.4600000000006</v>
      </c>
      <c r="O122" s="13">
        <f>N122*VLOOKUP('Données projet'!$B$9,Paramètres!$A$1:$I$89,3,0)*VLOOKUP('Données projet'!$B$9,Paramètres!$A$1:$I$89,5,0)</f>
        <v>333.38260800000052</v>
      </c>
      <c r="P122" s="13">
        <f t="shared" si="87"/>
        <v>78.13119132485231</v>
      </c>
      <c r="Q122" s="20">
        <f t="shared" si="107"/>
        <v>716.71986715745197</v>
      </c>
      <c r="R122" s="59">
        <f t="shared" si="55"/>
        <v>1010.0532004907852</v>
      </c>
      <c r="S122" s="59">
        <f ca="1">AVERAGE(OFFSET($R$3,0,0,'Données projet'!$E$9+1,1))-AVERAGE(OFFSET($H$3,0,0,'Données projet'!$E$9+1,1))</f>
        <v>399.15057697410413</v>
      </c>
      <c r="T122" s="59">
        <f t="shared" si="88"/>
        <v>182.37700638847298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55.947862488598794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55.947862488598794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7.9920000000000018</v>
      </c>
      <c r="AI122" s="13">
        <f>IF('Données projet'!$A$62&gt;35,AI121+AH122-AQ121,IF(A122&lt;'Données projet'!$A$62,$AF$205^A122,IF(A122='Données projet'!$A$62,'Données projet'!$B$62,AI121+AH122-AQ121)))</f>
        <v>368.4600000000006</v>
      </c>
      <c r="AJ122" s="13">
        <f>AI122*VLOOKUP('Données projet'!$B$10,Paramètres!$A$1:$I$89,3,0)*VLOOKUP('Données projet'!$B$10,Paramètres!$A$1:$I$89,5,0)</f>
        <v>373.61844000000065</v>
      </c>
      <c r="AK122" s="13">
        <f t="shared" si="89"/>
        <v>86.407156430415824</v>
      </c>
      <c r="AL122" s="20">
        <f t="shared" si="58"/>
        <v>801.21124711630875</v>
      </c>
      <c r="AM122" s="59">
        <f t="shared" si="59"/>
        <v>1094.5445804496421</v>
      </c>
      <c r="AN122" s="59">
        <f ca="1">AVERAGE(OFFSET($AM$3,0,0,'Données projet'!$E$10+1,1))-AVERAGE(OFFSET($H$3,0,0,'Données projet'!$E$10+1,1))</f>
        <v>463.77045964052894</v>
      </c>
      <c r="AO122" s="59">
        <f t="shared" si="90"/>
        <v>209.77146243694483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62.700190719981414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62.700190719981414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7.9920000000000018</v>
      </c>
      <c r="BD122" s="12">
        <f>IF('Données projet'!$A$88&gt;35,BD121+BC122-BL121,IF(A122&lt;'Données projet'!$A$88,$BA$205^A122,IF(A122='Données projet'!$A$88,'Données projet'!$B$88,BD121+BC122-BL121)))</f>
        <v>368.4600000000006</v>
      </c>
      <c r="BE122" s="13">
        <f>BD122*VLOOKUP('Données projet'!$B$11,Paramètres!$A$1:$I$89,3,0)*VLOOKUP('Données projet'!$B$11,Paramètres!$A$1:$I$89,5,0)</f>
        <v>356.37451200000061</v>
      </c>
      <c r="BF122" s="13">
        <f t="shared" si="91"/>
        <v>82.873707481273101</v>
      </c>
      <c r="BG122" s="20">
        <f t="shared" si="61"/>
        <v>765.02398226321839</v>
      </c>
      <c r="BH122" s="59">
        <f t="shared" si="62"/>
        <v>1058.3573155965516</v>
      </c>
      <c r="BI122" s="59">
        <f ca="1">AVERAGE(OFFSET($BH$3,0,0,'Données projet'!$E$11+1,1))-AVERAGE(OFFSET($H$3,0,0,'Données projet'!$E$11+1,1))</f>
        <v>436.0942819360734</v>
      </c>
      <c r="BJ122" s="59">
        <f t="shared" si="92"/>
        <v>198.03942180876311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59.806335763674582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59.806335763674582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>
        <f>BY122*VLOOKUP('Données projet'!$B$12,Paramètres!$A$1:$I$89,3,0)*VLOOKUP('Données projet'!$B$12,Paramètres!$A$1:$I$89,5,0)</f>
        <v>0</v>
      </c>
      <c r="CA122" s="13" t="e">
        <f t="shared" si="93"/>
        <v>#NUM!</v>
      </c>
      <c r="CB122" s="20" t="e">
        <f t="shared" si="64"/>
        <v>#NUM!</v>
      </c>
      <c r="CC122" s="59" t="e">
        <f t="shared" si="65"/>
        <v>#NUM!</v>
      </c>
      <c r="CD122" s="59">
        <f ca="1">AVERAGE(OFFSET($CC$3,0,0,'Données projet'!$E$12+1,1))-AVERAGE(OFFSET($H$3,0,0,'Données projet'!$E$12+1,1))</f>
        <v>183.99578440773581</v>
      </c>
      <c r="CE122" s="59">
        <f t="shared" si="94"/>
        <v>258.43295338669657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8.6822588092590252</v>
      </c>
      <c r="CL122" s="21">
        <f>EXP(-LN(2)/25)*CL121+(1-EXP(-LN(2)/25))/(LN(2)/25)*Calculateur!CG122*Calculateur!CI122*VLOOKUP('Données projet'!$B$12,Paramètres!$A$1:$I$89,3,0)*0.475*44/12</f>
        <v>2.9456606075401743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11.6279194167992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87.983999999999739</v>
      </c>
      <c r="D123" s="11">
        <f t="shared" si="86"/>
        <v>24.078375128721721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865.04289573048152</v>
      </c>
      <c r="H123" s="67">
        <f t="shared" si="56"/>
        <v>488.50863668252316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7.9920000000000018</v>
      </c>
      <c r="N123" s="13">
        <f>IF('Données projet'!$A$36&gt;35,N122+M123-V122,IF(A123&lt;'Données projet'!$A$36,$K$205^A123,IF(A123='Données projet'!$A$36,'Données projet'!$B$36,N122+M123-V122)))</f>
        <v>376.45200000000062</v>
      </c>
      <c r="O123" s="13">
        <f>N123*VLOOKUP('Données projet'!$B$9,Paramètres!$A$1:$I$89,3,0)*VLOOKUP('Données projet'!$B$9,Paramètres!$A$1:$I$89,5,0)</f>
        <v>340.61376960000058</v>
      </c>
      <c r="P123" s="13">
        <f t="shared" si="87"/>
        <v>79.626741793195919</v>
      </c>
      <c r="Q123" s="20">
        <f t="shared" si="107"/>
        <v>731.9188906764839</v>
      </c>
      <c r="R123" s="59">
        <f t="shared" si="55"/>
        <v>1025.2522240098172</v>
      </c>
      <c r="S123" s="59">
        <f ca="1">AVERAGE(OFFSET($R$3,0,0,'Données projet'!$E$9+1,1))-AVERAGE(OFFSET($H$3,0,0,'Données projet'!$E$9+1,1))</f>
        <v>399.15057697410413</v>
      </c>
      <c r="T123" s="59">
        <f t="shared" si="88"/>
        <v>182.37700638847298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54.850759030023944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54.850759030023944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7.9920000000000018</v>
      </c>
      <c r="AI123" s="13">
        <f>IF('Données projet'!$A$62&gt;35,AI122+AH123-AQ122,IF(A123&lt;'Données projet'!$A$62,$AF$205^A123,IF(A123='Données projet'!$A$62,'Données projet'!$B$62,AI122+AH123-AQ122)))</f>
        <v>376.45200000000062</v>
      </c>
      <c r="AJ123" s="13">
        <f>AI123*VLOOKUP('Données projet'!$B$10,Paramètres!$A$1:$I$89,3,0)*VLOOKUP('Données projet'!$B$10,Paramètres!$A$1:$I$89,5,0)</f>
        <v>381.72232800000063</v>
      </c>
      <c r="AK123" s="13">
        <f t="shared" si="89"/>
        <v>88.061121525232409</v>
      </c>
      <c r="AL123" s="20">
        <f t="shared" si="58"/>
        <v>818.20617458978086</v>
      </c>
      <c r="AM123" s="59">
        <f t="shared" si="59"/>
        <v>1111.5395079231141</v>
      </c>
      <c r="AN123" s="59">
        <f ca="1">AVERAGE(OFFSET($AM$3,0,0,'Données projet'!$E$10+1,1))-AVERAGE(OFFSET($H$3,0,0,'Données projet'!$E$10+1,1))</f>
        <v>463.77045964052894</v>
      </c>
      <c r="AO123" s="59">
        <f t="shared" si="90"/>
        <v>209.77146243694483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61.470678223302698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61.470678223302698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7.9920000000000018</v>
      </c>
      <c r="BD123" s="12">
        <f>IF('Données projet'!$A$88&gt;35,BD122+BC123-BL122,IF(A123&lt;'Données projet'!$A$88,$BA$205^A123,IF(A123='Données projet'!$A$88,'Données projet'!$B$88,BD122+BC123-BL122)))</f>
        <v>376.45200000000062</v>
      </c>
      <c r="BE123" s="13">
        <f>BD123*VLOOKUP('Données projet'!$B$11,Paramètres!$A$1:$I$89,3,0)*VLOOKUP('Données projet'!$B$11,Paramètres!$A$1:$I$89,5,0)</f>
        <v>364.10437440000061</v>
      </c>
      <c r="BF123" s="13">
        <f t="shared" si="91"/>
        <v>84.460036960388123</v>
      </c>
      <c r="BG123" s="20">
        <f t="shared" si="61"/>
        <v>781.24968311934356</v>
      </c>
      <c r="BH123" s="59">
        <f t="shared" si="62"/>
        <v>1074.5830164526769</v>
      </c>
      <c r="BI123" s="59">
        <f ca="1">AVERAGE(OFFSET($BH$3,0,0,'Données projet'!$E$11+1,1))-AVERAGE(OFFSET($H$3,0,0,'Données projet'!$E$11+1,1))</f>
        <v>436.0942819360734</v>
      </c>
      <c r="BJ123" s="59">
        <f t="shared" si="92"/>
        <v>198.03942180876311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58.633569997611808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58.633569997611808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>
        <f>BY123*VLOOKUP('Données projet'!$B$12,Paramètres!$A$1:$I$89,3,0)*VLOOKUP('Données projet'!$B$12,Paramètres!$A$1:$I$89,5,0)</f>
        <v>0</v>
      </c>
      <c r="CA123" s="13" t="e">
        <f t="shared" si="93"/>
        <v>#NUM!</v>
      </c>
      <c r="CB123" s="20" t="e">
        <f t="shared" si="64"/>
        <v>#NUM!</v>
      </c>
      <c r="CC123" s="59" t="e">
        <f t="shared" si="65"/>
        <v>#NUM!</v>
      </c>
      <c r="CD123" s="59">
        <f ca="1">AVERAGE(OFFSET($CC$3,0,0,'Données projet'!$E$12+1,1))-AVERAGE(OFFSET($H$3,0,0,'Données projet'!$E$12+1,1))</f>
        <v>183.99578440773581</v>
      </c>
      <c r="CE123" s="59">
        <f t="shared" si="94"/>
        <v>258.43295338669657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8.512005009664426</v>
      </c>
      <c r="CL123" s="21">
        <f>EXP(-LN(2)/25)*CL122+(1-EXP(-LN(2)/25))/(LN(2)/25)*Calculateur!CG123*Calculateur!CI123*VLOOKUP('Données projet'!$B$12,Paramètres!$A$1:$I$89,3,0)*0.475*44/12</f>
        <v>2.8651113633214291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11.377116372985855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88.717199999999735</v>
      </c>
      <c r="D124" s="11">
        <f t="shared" si="86"/>
        <v>24.255586507317027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872.07063268805916</v>
      </c>
      <c r="H124" s="67">
        <f t="shared" si="56"/>
        <v>490.09426983357662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7.9920000000000018</v>
      </c>
      <c r="N124" s="13">
        <f>IF('Données projet'!$A$36&gt;35,N123+M124-V123,IF(A124&lt;'Données projet'!$A$36,$K$205^A124,IF(A124='Données projet'!$A$36,'Données projet'!$B$36,N123+M124-V123)))</f>
        <v>384.44400000000064</v>
      </c>
      <c r="O124" s="13">
        <f>N124*VLOOKUP('Données projet'!$B$9,Paramètres!$A$1:$I$89,3,0)*VLOOKUP('Données projet'!$B$9,Paramètres!$A$1:$I$89,5,0)</f>
        <v>347.84493120000059</v>
      </c>
      <c r="P124" s="13">
        <f t="shared" si="87"/>
        <v>81.11860080370937</v>
      </c>
      <c r="Q124" s="20">
        <f t="shared" si="107"/>
        <v>747.11148490646144</v>
      </c>
      <c r="R124" s="59">
        <f t="shared" si="55"/>
        <v>1040.4448182397948</v>
      </c>
      <c r="S124" s="59">
        <f ca="1">AVERAGE(OFFSET($R$3,0,0,'Données projet'!$E$9+1,1))-AVERAGE(OFFSET($H$3,0,0,'Données projet'!$E$9+1,1))</f>
        <v>399.15057697410413</v>
      </c>
      <c r="T124" s="59">
        <f t="shared" si="88"/>
        <v>182.37700638847298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53.775169101104709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53.775169101104709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7.9920000000000018</v>
      </c>
      <c r="AI124" s="13">
        <f>IF('Données projet'!$A$62&gt;35,AI123+AH124-AQ123,IF(A124&lt;'Données projet'!$A$62,$AF$205^A124,IF(A124='Données projet'!$A$62,'Données projet'!$B$62,AI123+AH124-AQ123)))</f>
        <v>384.44400000000064</v>
      </c>
      <c r="AJ124" s="13">
        <f>AI124*VLOOKUP('Données projet'!$B$10,Paramètres!$A$1:$I$89,3,0)*VLOOKUP('Données projet'!$B$10,Paramètres!$A$1:$I$89,5,0)</f>
        <v>389.82621600000067</v>
      </c>
      <c r="AK124" s="13">
        <f t="shared" si="89"/>
        <v>89.711004148391098</v>
      </c>
      <c r="AL124" s="20">
        <f t="shared" si="58"/>
        <v>835.19399175844899</v>
      </c>
      <c r="AM124" s="59">
        <f t="shared" si="59"/>
        <v>1128.5273250917824</v>
      </c>
      <c r="AN124" s="59">
        <f ca="1">AVERAGE(OFFSET($AM$3,0,0,'Données projet'!$E$10+1,1))-AVERAGE(OFFSET($H$3,0,0,'Données projet'!$E$10+1,1))</f>
        <v>463.77045964052894</v>
      </c>
      <c r="AO124" s="59">
        <f t="shared" si="90"/>
        <v>209.77146243694483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60.265275716755283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60.265275716755283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7.9920000000000018</v>
      </c>
      <c r="BD124" s="12">
        <f>IF('Données projet'!$A$88&gt;35,BD123+BC124-BL123,IF(A124&lt;'Données projet'!$A$88,$BA$205^A124,IF(A124='Données projet'!$A$88,'Données projet'!$B$88,BD123+BC124-BL123)))</f>
        <v>384.44400000000064</v>
      </c>
      <c r="BE124" s="13">
        <f>BD124*VLOOKUP('Données projet'!$B$11,Paramètres!$A$1:$I$89,3,0)*VLOOKUP('Données projet'!$B$11,Paramètres!$A$1:$I$89,5,0)</f>
        <v>371.83423680000061</v>
      </c>
      <c r="BF124" s="13">
        <f t="shared" si="91"/>
        <v>86.042450912410658</v>
      </c>
      <c r="BG124" s="20">
        <f t="shared" si="61"/>
        <v>797.46856443244951</v>
      </c>
      <c r="BH124" s="59">
        <f t="shared" si="62"/>
        <v>1090.8018977657828</v>
      </c>
      <c r="BI124" s="59">
        <f ca="1">AVERAGE(OFFSET($BH$3,0,0,'Données projet'!$E$11+1,1))-AVERAGE(OFFSET($H$3,0,0,'Données projet'!$E$11+1,1))</f>
        <v>436.0942819360734</v>
      </c>
      <c r="BJ124" s="59">
        <f t="shared" si="92"/>
        <v>198.03942180876311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57.483801452905041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57.483801452905041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>
        <f>BY124*VLOOKUP('Données projet'!$B$12,Paramètres!$A$1:$I$89,3,0)*VLOOKUP('Données projet'!$B$12,Paramètres!$A$1:$I$89,5,0)</f>
        <v>0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183.99578440773581</v>
      </c>
      <c r="CE124" s="59">
        <f t="shared" si="94"/>
        <v>258.43295338669657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8.3450897832353146</v>
      </c>
      <c r="CL124" s="21">
        <f>EXP(-LN(2)/25)*CL123+(1-EXP(-LN(2)/25))/(LN(2)/25)*Calculateur!CG124*Calculateur!CI124*VLOOKUP('Données projet'!$B$12,Paramètres!$A$1:$I$89,3,0)*0.475*44/12</f>
        <v>2.7867647424217465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11.131854525657062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89.450399999999732</v>
      </c>
      <c r="D125" s="11">
        <f t="shared" si="86"/>
        <v>24.432627491414117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879.09705431968598</v>
      </c>
      <c r="H125" s="67">
        <f t="shared" si="56"/>
        <v>491.67960621421241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7.9920000000000018</v>
      </c>
      <c r="N125" s="13">
        <f>IF('Données projet'!$A$36&gt;35,N124+M125-V124,IF(A125&lt;'Données projet'!$A$36,$K$205^A125,IF(A125='Données projet'!$A$36,'Données projet'!$B$36,N124+M125-V124)))</f>
        <v>392.43600000000066</v>
      </c>
      <c r="O125" s="13">
        <f>N125*VLOOKUP('Données projet'!$B$9,Paramètres!$A$1:$I$89,3,0)*VLOOKUP('Données projet'!$B$9,Paramètres!$A$1:$I$89,5,0)</f>
        <v>355.07609280000059</v>
      </c>
      <c r="P125" s="13">
        <f t="shared" si="87"/>
        <v>82.606853937508674</v>
      </c>
      <c r="Q125" s="20">
        <f t="shared" si="107"/>
        <v>762.29779890116197</v>
      </c>
      <c r="R125" s="59">
        <f t="shared" si="55"/>
        <v>1055.6311322344952</v>
      </c>
      <c r="S125" s="59">
        <f ca="1">AVERAGE(OFFSET($R$3,0,0,'Données projet'!$E$9+1,1))-AVERAGE(OFFSET($H$3,0,0,'Données projet'!$E$9+1,1))</f>
        <v>399.15057697410413</v>
      </c>
      <c r="T125" s="59">
        <f t="shared" si="88"/>
        <v>182.37700638847298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52.720670834646505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52.720670834646505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7.9920000000000018</v>
      </c>
      <c r="AI125" s="13">
        <f>IF('Données projet'!$A$62&gt;35,AI124+AH125-AQ124,IF(A125&lt;'Données projet'!$A$62,$AF$205^A125,IF(A125='Données projet'!$A$62,'Données projet'!$B$62,AI124+AH125-AQ124)))</f>
        <v>392.43600000000066</v>
      </c>
      <c r="AJ125" s="13">
        <f>AI125*VLOOKUP('Données projet'!$B$10,Paramètres!$A$1:$I$89,3,0)*VLOOKUP('Données projet'!$B$10,Paramètres!$A$1:$I$89,5,0)</f>
        <v>397.93010400000071</v>
      </c>
      <c r="AK125" s="13">
        <f t="shared" si="89"/>
        <v>91.356898946098624</v>
      </c>
      <c r="AL125" s="20">
        <f t="shared" si="58"/>
        <v>852.17486346445639</v>
      </c>
      <c r="AM125" s="59">
        <f t="shared" si="59"/>
        <v>1145.5081967977897</v>
      </c>
      <c r="AN125" s="59">
        <f ca="1">AVERAGE(OFFSET($AM$3,0,0,'Données projet'!$E$10+1,1))-AVERAGE(OFFSET($H$3,0,0,'Données projet'!$E$10+1,1))</f>
        <v>463.77045964052894</v>
      </c>
      <c r="AO125" s="59">
        <f t="shared" si="90"/>
        <v>209.77146243694483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59.083510418138331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59.083510418138331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7.9920000000000018</v>
      </c>
      <c r="BD125" s="12">
        <f>IF('Données projet'!$A$88&gt;35,BD124+BC125-BL124,IF(A125&lt;'Données projet'!$A$88,$BA$205^A125,IF(A125='Données projet'!$A$88,'Données projet'!$B$88,BD124+BC125-BL124)))</f>
        <v>392.43600000000066</v>
      </c>
      <c r="BE125" s="13">
        <f>BD125*VLOOKUP('Données projet'!$B$11,Paramètres!$A$1:$I$89,3,0)*VLOOKUP('Données projet'!$B$11,Paramètres!$A$1:$I$89,5,0)</f>
        <v>379.56409920000067</v>
      </c>
      <c r="BF125" s="13">
        <f t="shared" si="91"/>
        <v>87.621040113179006</v>
      </c>
      <c r="BG125" s="20">
        <f t="shared" si="61"/>
        <v>813.68078430378785</v>
      </c>
      <c r="BH125" s="59">
        <f t="shared" si="62"/>
        <v>1107.0141176371212</v>
      </c>
      <c r="BI125" s="59">
        <f ca="1">AVERAGE(OFFSET($BH$3,0,0,'Données projet'!$E$11+1,1))-AVERAGE(OFFSET($H$3,0,0,'Données projet'!$E$11+1,1))</f>
        <v>436.0942819360734</v>
      </c>
      <c r="BJ125" s="59">
        <f t="shared" si="92"/>
        <v>198.03942180876311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56.356579168070411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56.356579168070411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>
        <f>BY125*VLOOKUP('Données projet'!$B$12,Paramètres!$A$1:$I$89,3,0)*VLOOKUP('Données projet'!$B$12,Paramètres!$A$1:$I$89,5,0)</f>
        <v>0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183.99578440773581</v>
      </c>
      <c r="CE125" s="59">
        <f t="shared" si="94"/>
        <v>258.43295338669657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8.1814476625882424</v>
      </c>
      <c r="CL125" s="21">
        <f>EXP(-LN(2)/25)*CL124+(1-EXP(-LN(2)/25))/(LN(2)/25)*Calculateur!CG125*Calculateur!CI125*VLOOKUP('Données projet'!$B$12,Paramètres!$A$1:$I$89,3,0)*0.475*44/12</f>
        <v>2.7105605139906355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10.892008176578878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90.183599999999728</v>
      </c>
      <c r="D126" s="11">
        <f t="shared" si="86"/>
        <v>24.609499639553714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886.12217265620211</v>
      </c>
      <c r="H126" s="67">
        <f t="shared" si="56"/>
        <v>493.26464853888888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7.9920000000000018</v>
      </c>
      <c r="N126" s="13">
        <f>IF('Données projet'!$A$36&gt;35,N125+M126-V125,IF(A126&lt;'Données projet'!$A$36,$K$205^A126,IF(A126='Données projet'!$A$36,'Données projet'!$B$36,N125+M126-V125)))</f>
        <v>400.42800000000068</v>
      </c>
      <c r="O126" s="13">
        <f>N126*VLOOKUP('Données projet'!$B$9,Paramètres!$A$1:$I$89,3,0)*VLOOKUP('Données projet'!$B$9,Paramètres!$A$1:$I$89,5,0)</f>
        <v>362.3072544000006</v>
      </c>
      <c r="P126" s="13">
        <f t="shared" si="87"/>
        <v>84.09158309070763</v>
      </c>
      <c r="Q126" s="20">
        <f t="shared" si="107"/>
        <v>777.4779752963168</v>
      </c>
      <c r="R126" s="59">
        <f t="shared" si="55"/>
        <v>1070.8113086296501</v>
      </c>
      <c r="S126" s="59">
        <f ca="1">AVERAGE(OFFSET($R$3,0,0,'Données projet'!$E$9+1,1))-AVERAGE(OFFSET($H$3,0,0,'Données projet'!$E$9+1,1))</f>
        <v>399.15057697410413</v>
      </c>
      <c r="T126" s="59">
        <f t="shared" si="88"/>
        <v>182.37700638847298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51.686850636013112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51.686850636013112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7.9920000000000018</v>
      </c>
      <c r="AI126" s="13">
        <f>IF('Données projet'!$A$62&gt;35,AI125+AH126-AQ125,IF(A126&lt;'Données projet'!$A$62,$AF$205^A126,IF(A126='Données projet'!$A$62,'Données projet'!$B$62,AI125+AH126-AQ125)))</f>
        <v>400.42800000000068</v>
      </c>
      <c r="AJ126" s="13">
        <f>AI126*VLOOKUP('Données projet'!$B$10,Paramètres!$A$1:$I$89,3,0)*VLOOKUP('Données projet'!$B$10,Paramètres!$A$1:$I$89,5,0)</f>
        <v>406.03399200000069</v>
      </c>
      <c r="AK126" s="13">
        <f t="shared" si="89"/>
        <v>92.998896489228883</v>
      </c>
      <c r="AL126" s="20">
        <f t="shared" si="58"/>
        <v>869.14894745207482</v>
      </c>
      <c r="AM126" s="59">
        <f t="shared" si="59"/>
        <v>1162.4822807854082</v>
      </c>
      <c r="AN126" s="59">
        <f ca="1">AVERAGE(OFFSET($AM$3,0,0,'Données projet'!$E$10+1,1))-AVERAGE(OFFSET($H$3,0,0,'Données projet'!$E$10+1,1))</f>
        <v>463.77045964052894</v>
      </c>
      <c r="AO126" s="59">
        <f t="shared" si="90"/>
        <v>209.77146243694483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57.924918816221599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57.924918816221599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7.9920000000000018</v>
      </c>
      <c r="BD126" s="12">
        <f>IF('Données projet'!$A$88&gt;35,BD125+BC126-BL125,IF(A126&lt;'Données projet'!$A$88,$BA$205^A126,IF(A126='Données projet'!$A$88,'Données projet'!$B$88,BD125+BC126-BL125)))</f>
        <v>400.42800000000068</v>
      </c>
      <c r="BE126" s="13">
        <f>BD126*VLOOKUP('Données projet'!$B$11,Paramètres!$A$1:$I$89,3,0)*VLOOKUP('Données projet'!$B$11,Paramètres!$A$1:$I$89,5,0)</f>
        <v>387.29396160000067</v>
      </c>
      <c r="BF126" s="13">
        <f t="shared" si="91"/>
        <v>89.195891429851343</v>
      </c>
      <c r="BG126" s="20">
        <f t="shared" si="61"/>
        <v>829.8864940269923</v>
      </c>
      <c r="BH126" s="59">
        <f t="shared" si="62"/>
        <v>1123.2198273603256</v>
      </c>
      <c r="BI126" s="59">
        <f ca="1">AVERAGE(OFFSET($BH$3,0,0,'Données projet'!$E$11+1,1))-AVERAGE(OFFSET($H$3,0,0,'Données projet'!$E$11+1,1))</f>
        <v>436.0942819360734</v>
      </c>
      <c r="BJ126" s="59">
        <f t="shared" si="92"/>
        <v>198.03942180876311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55.25146102470368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55.25146102470368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>
        <f>BY126*VLOOKUP('Données projet'!$B$12,Paramètres!$A$1:$I$89,3,0)*VLOOKUP('Données projet'!$B$12,Paramètres!$A$1:$I$89,5,0)</f>
        <v>0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183.99578440773581</v>
      </c>
      <c r="CE126" s="59">
        <f t="shared" si="94"/>
        <v>258.43295338669657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8.0210144641152201</v>
      </c>
      <c r="CL126" s="21">
        <f>EXP(-LN(2)/25)*CL125+(1-EXP(-LN(2)/25))/(LN(2)/25)*Calculateur!CG126*Calculateur!CI126*VLOOKUP('Données projet'!$B$12,Paramètres!$A$1:$I$89,3,0)*0.475*44/12</f>
        <v>2.6364400941933792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10.657454558308599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90.916799999999725</v>
      </c>
      <c r="D127" s="11">
        <f t="shared" si="86"/>
        <v>24.786204483471373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893.14599952153128</v>
      </c>
      <c r="H127" s="67">
        <f t="shared" si="56"/>
        <v>494.84939947537879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>
        <f>VLOOKUP(A127,'Données projet'!$A$35:$I$55,2,0)</f>
        <v>408.42</v>
      </c>
      <c r="L127" s="12">
        <f>VLOOKUP(A127,'Données projet'!$A$35:$I$55,9,0)</f>
        <v>7.9920000000000018</v>
      </c>
      <c r="M127" s="12">
        <f t="array" ref="M127">INDEX(L:L,MIN(IF(ISNUMBER(L127:L323),ROW(L127:L323),"")))</f>
        <v>7.9920000000000018</v>
      </c>
      <c r="N127" s="13">
        <f>IF('Données projet'!$A$36&gt;35,N126+M127-V126,IF(A127&lt;'Données projet'!$A$36,$K$205^A127,IF(A127='Données projet'!$A$36,'Données projet'!$B$36,N126+M127-V126)))</f>
        <v>408.4200000000007</v>
      </c>
      <c r="O127" s="13">
        <f>N127*VLOOKUP('Données projet'!$B$9,Paramètres!$A$1:$I$89,3,0)*VLOOKUP('Données projet'!$B$9,Paramètres!$A$1:$I$89,5,0)</f>
        <v>369.53841600000061</v>
      </c>
      <c r="P127" s="13">
        <f t="shared" si="87"/>
        <v>85.572866703416025</v>
      </c>
      <c r="Q127" s="20">
        <f t="shared" si="107"/>
        <v>792.65215070845068</v>
      </c>
      <c r="R127" s="59">
        <f t="shared" si="55"/>
        <v>1085.985484041784</v>
      </c>
      <c r="S127" s="59">
        <f ca="1">AVERAGE(OFFSET($R$3,0,0,'Données projet'!$E$9+1,1))-AVERAGE(OFFSET($H$3,0,0,'Données projet'!$E$9+1,1))</f>
        <v>399.15057697410413</v>
      </c>
      <c r="T127" s="59">
        <f t="shared" si="88"/>
        <v>182.37700638847298</v>
      </c>
      <c r="U127" s="15">
        <f>IF(ISNA(VLOOKUP(A127,'Données projet'!$A$35:$I$55,3,0)),0,VLOOKUP(A127,'Données projet'!$A$35:$I$55,3,0))</f>
        <v>10</v>
      </c>
      <c r="V127" s="15">
        <f>IF(ISNA(VLOOKUP(A127,'Données projet'!$A$35:$I$55,4,0)),0,VLOOKUP(A127,'Données projet'!$A$35:$I$55,4,0))</f>
        <v>52.53</v>
      </c>
      <c r="W127" s="16">
        <f>IF(ISNA(VLOOKUP(A127,'Données projet'!$A$35:$I$55,5,0)),0%,VLOOKUP(A127,'Données projet'!$A$35:$I$55,5,0)*VLOOKUP('Données projet'!$B$9,Paramètres!$A$1:$I$89,7,0))</f>
        <v>0.25800000000000001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64.229154721898368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64.229154721898368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408.42</v>
      </c>
      <c r="AG127" s="12">
        <f>VLOOKUP(A127,'Données projet'!$A$61:$I$81,9,0)</f>
        <v>7.9920000000000018</v>
      </c>
      <c r="AH127" s="12">
        <f t="array" ref="AH127">INDEX(AG:AG,MIN(IF(ISNUMBER(AG127:AG323),ROW(AG127:AG323),"")))</f>
        <v>7.9920000000000018</v>
      </c>
      <c r="AI127" s="13">
        <f>IF('Données projet'!$A$62&gt;35,AI126+AH127-AQ126,IF(A127&lt;'Données projet'!$A$62,$AF$205^A127,IF(A127='Données projet'!$A$62,'Données projet'!$B$62,AI126+AH127-AQ126)))</f>
        <v>408.4200000000007</v>
      </c>
      <c r="AJ127" s="13">
        <f>AI127*VLOOKUP('Données projet'!$B$10,Paramètres!$A$1:$I$89,3,0)*VLOOKUP('Données projet'!$B$10,Paramètres!$A$1:$I$89,5,0)</f>
        <v>414.13788000000073</v>
      </c>
      <c r="AK127" s="13">
        <f t="shared" si="89"/>
        <v>94.637083526579147</v>
      </c>
      <c r="AL127" s="20">
        <f t="shared" si="58"/>
        <v>886.1163948087933</v>
      </c>
      <c r="AM127" s="59">
        <f t="shared" si="59"/>
        <v>1179.4497281421266</v>
      </c>
      <c r="AN127" s="59">
        <f ca="1">AVERAGE(OFFSET($AM$3,0,0,'Données projet'!$E$10+1,1))-AVERAGE(OFFSET($H$3,0,0,'Données projet'!$E$10+1,1))</f>
        <v>463.77045964052894</v>
      </c>
      <c r="AO127" s="59">
        <f t="shared" si="90"/>
        <v>209.77146243694483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0.25800000000000001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71.980949257299912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71.980949257299912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>
        <f>VLOOKUP(A127,'Données projet'!$A$87:$I$107,2,0)</f>
        <v>408.42</v>
      </c>
      <c r="BB127" s="12">
        <f>VLOOKUP(A127,'Données projet'!$A$87:$I$107,9,0)</f>
        <v>7.9920000000000018</v>
      </c>
      <c r="BC127" s="12">
        <f t="array" ref="BC127">INDEX(BB:BB,MIN(IF(ISNUMBER(BB127:BB323),ROW(BB127:BB323),"")))</f>
        <v>7.9920000000000018</v>
      </c>
      <c r="BD127" s="12">
        <f>IF('Données projet'!$A$88&gt;35,BD126+BC127-BL126,IF(A127&lt;'Données projet'!$A$88,$BA$205^A127,IF(A127='Données projet'!$A$88,'Données projet'!$B$88,BD126+BC127-BL126)))</f>
        <v>408.4200000000007</v>
      </c>
      <c r="BE127" s="13">
        <f>BD127*VLOOKUP('Données projet'!$B$11,Paramètres!$A$1:$I$89,3,0)*VLOOKUP('Données projet'!$B$11,Paramètres!$A$1:$I$89,5,0)</f>
        <v>395.02382400000067</v>
      </c>
      <c r="BF127" s="13">
        <f t="shared" si="91"/>
        <v>90.767088063805105</v>
      </c>
      <c r="BG127" s="20">
        <f t="shared" si="61"/>
        <v>846.08583851112826</v>
      </c>
      <c r="BH127" s="59">
        <f t="shared" si="62"/>
        <v>1139.4191718444615</v>
      </c>
      <c r="BI127" s="59">
        <f ca="1">AVERAGE(OFFSET($BH$3,0,0,'Données projet'!$E$11+1,1))-AVERAGE(OFFSET($H$3,0,0,'Données projet'!$E$11+1,1))</f>
        <v>436.0942819360734</v>
      </c>
      <c r="BJ127" s="59">
        <f t="shared" si="92"/>
        <v>198.03942180876311</v>
      </c>
      <c r="BK127" s="15">
        <f>IF(ISNA(VLOOKUP(A127,'Données projet'!$A$87:$I$107,3,0)),0,VLOOKUP(A127,'Données projet'!$A$87:$I$107,3,0))</f>
        <v>10</v>
      </c>
      <c r="BL127" s="15">
        <f>IF(ISNA(VLOOKUP(A127,'Données projet'!$A$87:$I$107,4,0)),0,VLOOKUP(A127,'Données projet'!$A$87:$I$107,4,0))</f>
        <v>52.53</v>
      </c>
      <c r="BM127" s="16">
        <f>IF(ISNA(VLOOKUP(A127,'Données projet'!$A$87:$I$107,5,0)),0%,VLOOKUP(A127,'Données projet'!$A$87:$I$107,5,0)*VLOOKUP('Données projet'!$B$11,Paramètres!$A$1:$I$89,7,0))</f>
        <v>0.25800000000000001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68.658751599270687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68.658751599270687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>
        <f>BY127*VLOOKUP('Données projet'!$B$12,Paramètres!$A$1:$I$89,3,0)*VLOOKUP('Données projet'!$B$12,Paramètres!$A$1:$I$89,5,0)</f>
        <v>0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183.99578440773581</v>
      </c>
      <c r="CE127" s="59">
        <f t="shared" si="94"/>
        <v>258.43295338669657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7.8637272628096655</v>
      </c>
      <c r="CL127" s="21">
        <f>EXP(-LN(2)/25)*CL126+(1-EXP(-LN(2)/25))/(LN(2)/25)*Calculateur!CG127*Calculateur!CI127*VLOOKUP('Données projet'!$B$12,Paramètres!$A$1:$I$89,3,0)*0.475*44/12</f>
        <v>2.5643465011733024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10.428073763982969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91.649999999999721</v>
      </c>
      <c r="D128" s="11">
        <f t="shared" si="86"/>
        <v>24.96274352877078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900.16854653787743</v>
      </c>
      <c r="H128" s="67">
        <f t="shared" si="56"/>
        <v>496.43386164594193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8.0699999999999985</v>
      </c>
      <c r="N128" s="13">
        <f>IF('Données projet'!$A$36&gt;35,N127+M128-V127,IF(A128&lt;'Données projet'!$A$36,$K$205^A128,IF(A128='Données projet'!$A$36,'Données projet'!$B$36,N127+M128-V127)))</f>
        <v>363.96000000000072</v>
      </c>
      <c r="O128" s="13">
        <f>N128*VLOOKUP('Données projet'!$B$9,Paramètres!$A$1:$I$89,3,0)*VLOOKUP('Données projet'!$B$9,Paramètres!$A$1:$I$89,5,0)</f>
        <v>329.31100800000064</v>
      </c>
      <c r="P128" s="13">
        <f t="shared" si="87"/>
        <v>77.287444180583748</v>
      </c>
      <c r="Q128" s="20">
        <f t="shared" si="107"/>
        <v>708.15897088118447</v>
      </c>
      <c r="R128" s="59">
        <f t="shared" si="55"/>
        <v>1001.4923042145178</v>
      </c>
      <c r="S128" s="59">
        <f ca="1">AVERAGE(OFFSET($R$3,0,0,'Données projet'!$E$9+1,1))-AVERAGE(OFFSET($H$3,0,0,'Données projet'!$E$9+1,1))</f>
        <v>399.15057697410413</v>
      </c>
      <c r="T128" s="59">
        <f t="shared" si="88"/>
        <v>182.37700638847298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62.969660173718019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62.969660173718019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8.0699999999999985</v>
      </c>
      <c r="AI128" s="13">
        <f>IF('Données projet'!$A$62&gt;35,AI127+AH128-AQ127,IF(A128&lt;'Données projet'!$A$62,$AF$205^A128,IF(A128='Données projet'!$A$62,'Données projet'!$B$62,AI127+AH128-AQ127)))</f>
        <v>363.96000000000072</v>
      </c>
      <c r="AJ128" s="13">
        <f>AI128*VLOOKUP('Données projet'!$B$10,Paramètres!$A$1:$I$89,3,0)*VLOOKUP('Données projet'!$B$10,Paramètres!$A$1:$I$89,5,0)</f>
        <v>369.05544000000071</v>
      </c>
      <c r="AK128" s="13">
        <f t="shared" si="89"/>
        <v>85.474036248241589</v>
      </c>
      <c r="AL128" s="20">
        <f t="shared" si="58"/>
        <v>791.63883779902199</v>
      </c>
      <c r="AM128" s="59">
        <f t="shared" si="59"/>
        <v>1084.9721711323552</v>
      </c>
      <c r="AN128" s="59">
        <f ca="1">AVERAGE(OFFSET($AM$3,0,0,'Données projet'!$E$10+1,1))-AVERAGE(OFFSET($H$3,0,0,'Données projet'!$E$10+1,1))</f>
        <v>463.77045964052894</v>
      </c>
      <c r="AO128" s="59">
        <f t="shared" si="90"/>
        <v>209.77146243694483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70.569446746408147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70.569446746408147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8.0699999999999985</v>
      </c>
      <c r="BD128" s="12">
        <f>IF('Données projet'!$A$88&gt;35,BD127+BC128-BL127,IF(A128&lt;'Données projet'!$A$88,$BA$205^A128,IF(A128='Données projet'!$A$88,'Données projet'!$B$88,BD127+BC128-BL127)))</f>
        <v>363.96000000000072</v>
      </c>
      <c r="BE128" s="13">
        <f>BD128*VLOOKUP('Données projet'!$B$11,Paramètres!$A$1:$I$89,3,0)*VLOOKUP('Données projet'!$B$11,Paramètres!$A$1:$I$89,5,0)</f>
        <v>352.02211200000067</v>
      </c>
      <c r="BF128" s="13">
        <f t="shared" si="91"/>
        <v>81.978745394600864</v>
      </c>
      <c r="BG128" s="20">
        <f t="shared" si="61"/>
        <v>755.88482662893102</v>
      </c>
      <c r="BH128" s="59">
        <f t="shared" si="62"/>
        <v>1049.2181599622643</v>
      </c>
      <c r="BI128" s="59">
        <f ca="1">AVERAGE(OFFSET($BH$3,0,0,'Données projet'!$E$11+1,1))-AVERAGE(OFFSET($H$3,0,0,'Données projet'!$E$11+1,1))</f>
        <v>436.0942819360734</v>
      </c>
      <c r="BJ128" s="59">
        <f t="shared" si="92"/>
        <v>198.03942180876311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67.312395358112383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67.312395358112383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>
        <f>BY128*VLOOKUP('Données projet'!$B$12,Paramètres!$A$1:$I$89,3,0)*VLOOKUP('Données projet'!$B$12,Paramètres!$A$1:$I$89,5,0)</f>
        <v>0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183.99578440773581</v>
      </c>
      <c r="CE128" s="59">
        <f t="shared" si="94"/>
        <v>258.43295338669657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7.7095243675859928</v>
      </c>
      <c r="CL128" s="21">
        <f>EXP(-LN(2)/25)*CL127+(1-EXP(-LN(2)/25))/(LN(2)/25)*Calculateur!CG128*Calculateur!CI128*VLOOKUP('Données projet'!$B$12,Paramètres!$A$1:$I$89,3,0)*0.475*44/12</f>
        <v>2.4942243112455968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10.203748678831589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92.383199999999718</v>
      </c>
      <c r="D129" s="11">
        <f t="shared" si="86"/>
        <v>25.139118255575003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907.18982513075218</v>
      </c>
      <c r="H129" s="67">
        <f t="shared" si="56"/>
        <v>498.0180376284593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8.0699999999999985</v>
      </c>
      <c r="N129" s="13">
        <f>IF('Données projet'!$A$36&gt;35,N128+M129-V128,IF(A129&lt;'Données projet'!$A$36,$K$205^A129,IF(A129='Données projet'!$A$36,'Données projet'!$B$36,N128+M129-V128)))</f>
        <v>372.03000000000071</v>
      </c>
      <c r="O129" s="13">
        <f>N129*VLOOKUP('Données projet'!$B$9,Paramètres!$A$1:$I$89,3,0)*VLOOKUP('Données projet'!$B$9,Paramètres!$A$1:$I$89,5,0)</f>
        <v>336.61274400000065</v>
      </c>
      <c r="P129" s="13">
        <f t="shared" si="87"/>
        <v>78.799710600410648</v>
      </c>
      <c r="Q129" s="20">
        <f t="shared" si="107"/>
        <v>723.51002509571629</v>
      </c>
      <c r="R129" s="59">
        <f t="shared" si="55"/>
        <v>1016.8433584290497</v>
      </c>
      <c r="S129" s="59">
        <f ca="1">AVERAGE(OFFSET($R$3,0,0,'Données projet'!$E$9+1,1))-AVERAGE(OFFSET($H$3,0,0,'Données projet'!$E$9+1,1))</f>
        <v>399.15057697410413</v>
      </c>
      <c r="T129" s="59">
        <f t="shared" si="88"/>
        <v>182.37700638847298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61.73486354541167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61.73486354541167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8.0699999999999985</v>
      </c>
      <c r="AI129" s="13">
        <f>IF('Données projet'!$A$62&gt;35,AI128+AH129-AQ128,IF(A129&lt;'Données projet'!$A$62,$AF$205^A129,IF(A129='Données projet'!$A$62,'Données projet'!$B$62,AI128+AH129-AQ128)))</f>
        <v>372.03000000000071</v>
      </c>
      <c r="AJ129" s="13">
        <f>AI129*VLOOKUP('Données projet'!$B$10,Paramètres!$A$1:$I$89,3,0)*VLOOKUP('Données projet'!$B$10,Paramètres!$A$1:$I$89,5,0)</f>
        <v>377.23842000000076</v>
      </c>
      <c r="AK129" s="13">
        <f t="shared" si="89"/>
        <v>87.146487914300891</v>
      </c>
      <c r="AL129" s="20">
        <f t="shared" si="58"/>
        <v>808.80371461740867</v>
      </c>
      <c r="AM129" s="59">
        <f t="shared" si="59"/>
        <v>1102.137047950742</v>
      </c>
      <c r="AN129" s="59">
        <f ca="1">AVERAGE(OFFSET($AM$3,0,0,'Données projet'!$E$10+1,1))-AVERAGE(OFFSET($H$3,0,0,'Données projet'!$E$10+1,1))</f>
        <v>463.77045964052894</v>
      </c>
      <c r="AO129" s="59">
        <f t="shared" si="90"/>
        <v>209.77146243694483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69.185622938823442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69.185622938823442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8.0699999999999985</v>
      </c>
      <c r="BD129" s="12">
        <f>IF('Données projet'!$A$88&gt;35,BD128+BC129-BL128,IF(A129&lt;'Données projet'!$A$88,$BA$205^A129,IF(A129='Données projet'!$A$88,'Données projet'!$B$88,BD128+BC129-BL128)))</f>
        <v>372.03000000000071</v>
      </c>
      <c r="BE129" s="13">
        <f>BD129*VLOOKUP('Données projet'!$B$11,Paramètres!$A$1:$I$89,3,0)*VLOOKUP('Données projet'!$B$11,Paramètres!$A$1:$I$89,5,0)</f>
        <v>359.82741600000071</v>
      </c>
      <c r="BF129" s="13">
        <f t="shared" si="91"/>
        <v>83.582805473365028</v>
      </c>
      <c r="BG129" s="20">
        <f t="shared" si="61"/>
        <v>772.27280239944514</v>
      </c>
      <c r="BH129" s="59">
        <f t="shared" si="62"/>
        <v>1065.6061357327785</v>
      </c>
      <c r="BI129" s="59">
        <f ca="1">AVERAGE(OFFSET($BH$3,0,0,'Données projet'!$E$11+1,1))-AVERAGE(OFFSET($H$3,0,0,'Données projet'!$E$11+1,1))</f>
        <v>436.0942819360734</v>
      </c>
      <c r="BJ129" s="59">
        <f t="shared" si="92"/>
        <v>198.03942180876311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65.992440341646969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65.992440341646969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>
        <f>BY129*VLOOKUP('Données projet'!$B$12,Paramètres!$A$1:$I$89,3,0)*VLOOKUP('Données projet'!$B$12,Paramètres!$A$1:$I$89,5,0)</f>
        <v>0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183.99578440773581</v>
      </c>
      <c r="CE129" s="59">
        <f t="shared" si="94"/>
        <v>258.43295338669657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7.5583452970831777</v>
      </c>
      <c r="CL129" s="21">
        <f>EXP(-LN(2)/25)*CL128+(1-EXP(-LN(2)/25))/(LN(2)/25)*Calculateur!CG129*Calculateur!CI129*VLOOKUP('Données projet'!$B$12,Paramètres!$A$1:$I$89,3,0)*0.475*44/12</f>
        <v>2.4260196162890302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9.9843649133722074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93.116399999999715</v>
      </c>
      <c r="D130" s="11">
        <f t="shared" si="86"/>
        <v>25.31533011915646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914.20984653383709</v>
      </c>
      <c r="H130" s="67">
        <f t="shared" si="56"/>
        <v>499.60192995753027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8.0699999999999985</v>
      </c>
      <c r="N130" s="13">
        <f>IF('Données projet'!$A$36&gt;35,N129+M130-V129,IF(A130&lt;'Données projet'!$A$36,$K$205^A130,IF(A130='Données projet'!$A$36,'Données projet'!$B$36,N129+M130-V129)))</f>
        <v>380.1000000000007</v>
      </c>
      <c r="O130" s="13">
        <f>N130*VLOOKUP('Données projet'!$B$9,Paramètres!$A$1:$I$89,3,0)*VLOOKUP('Données projet'!$B$9,Paramètres!$A$1:$I$89,5,0)</f>
        <v>343.91448000000065</v>
      </c>
      <c r="P130" s="13">
        <f t="shared" si="87"/>
        <v>80.308163160675235</v>
      </c>
      <c r="Q130" s="20">
        <f t="shared" si="107"/>
        <v>738.85443683817709</v>
      </c>
      <c r="R130" s="59">
        <f t="shared" si="55"/>
        <v>1032.1877701715105</v>
      </c>
      <c r="S130" s="59">
        <f ca="1">AVERAGE(OFFSET($R$3,0,0,'Données projet'!$E$9+1,1))-AVERAGE(OFFSET($H$3,0,0,'Données projet'!$E$9+1,1))</f>
        <v>399.15057697410413</v>
      </c>
      <c r="T130" s="59">
        <f t="shared" si="88"/>
        <v>182.37700638847298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60.524280525834833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60.524280525834833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8.0699999999999985</v>
      </c>
      <c r="AI130" s="13">
        <f>IF('Données projet'!$A$62&gt;35,AI129+AH130-AQ129,IF(A130&lt;'Données projet'!$A$62,$AF$205^A130,IF(A130='Données projet'!$A$62,'Données projet'!$B$62,AI129+AH130-AQ129)))</f>
        <v>380.1000000000007</v>
      </c>
      <c r="AJ130" s="13">
        <f>AI130*VLOOKUP('Données projet'!$B$10,Paramètres!$A$1:$I$89,3,0)*VLOOKUP('Données projet'!$B$10,Paramètres!$A$1:$I$89,5,0)</f>
        <v>385.42140000000074</v>
      </c>
      <c r="AK130" s="13">
        <f t="shared" si="89"/>
        <v>88.814721741694029</v>
      </c>
      <c r="AL130" s="20">
        <f t="shared" si="58"/>
        <v>825.96124536678508</v>
      </c>
      <c r="AM130" s="59">
        <f t="shared" si="59"/>
        <v>1119.2945787001183</v>
      </c>
      <c r="AN130" s="59">
        <f ca="1">AVERAGE(OFFSET($AM$3,0,0,'Données projet'!$E$10+1,1))-AVERAGE(OFFSET($H$3,0,0,'Données projet'!$E$10+1,1))</f>
        <v>463.77045964052894</v>
      </c>
      <c r="AO130" s="59">
        <f t="shared" si="90"/>
        <v>209.77146243694483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67.828935072056296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67.828935072056296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8.0699999999999985</v>
      </c>
      <c r="BD130" s="12">
        <f>IF('Données projet'!$A$88&gt;35,BD129+BC130-BL129,IF(A130&lt;'Données projet'!$A$88,$BA$205^A130,IF(A130='Données projet'!$A$88,'Données projet'!$B$88,BD129+BC130-BL129)))</f>
        <v>380.1000000000007</v>
      </c>
      <c r="BE130" s="13">
        <f>BD130*VLOOKUP('Données projet'!$B$11,Paramètres!$A$1:$I$89,3,0)*VLOOKUP('Données projet'!$B$11,Paramètres!$A$1:$I$89,5,0)</f>
        <v>367.63272000000069</v>
      </c>
      <c r="BF130" s="13">
        <f t="shared" si="91"/>
        <v>85.182820193593429</v>
      </c>
      <c r="BG130" s="20">
        <f t="shared" si="61"/>
        <v>788.65373250384312</v>
      </c>
      <c r="BH130" s="59">
        <f t="shared" si="62"/>
        <v>1081.9870658371765</v>
      </c>
      <c r="BI130" s="59">
        <f ca="1">AVERAGE(OFFSET($BH$3,0,0,'Données projet'!$E$11+1,1))-AVERAGE(OFFSET($H$3,0,0,'Données projet'!$E$11+1,1))</f>
        <v>436.0942819360734</v>
      </c>
      <c r="BJ130" s="59">
        <f t="shared" si="92"/>
        <v>198.03942180876311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64.698368837961382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64.698368837961382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>
        <f>BY130*VLOOKUP('Données projet'!$B$12,Paramètres!$A$1:$I$89,3,0)*VLOOKUP('Données projet'!$B$12,Paramètres!$A$1:$I$89,5,0)</f>
        <v>0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183.99578440773581</v>
      </c>
      <c r="CE130" s="59">
        <f t="shared" si="94"/>
        <v>258.43295338669657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7.4101307559427951</v>
      </c>
      <c r="CL130" s="21">
        <f>EXP(-LN(2)/25)*CL129+(1-EXP(-LN(2)/25))/(LN(2)/25)*Calculateur!CG130*Calculateur!CI130*VLOOKUP('Données projet'!$B$12,Paramètres!$A$1:$I$89,3,0)*0.475*44/12</f>
        <v>2.3596799823027799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9.7698107382455746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93.849599999999711</v>
      </c>
      <c r="D131" s="11">
        <f t="shared" si="86"/>
        <v>25.491380550546399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921.22862179368929</v>
      </c>
      <c r="H131" s="67">
        <f t="shared" si="56"/>
        <v>501.18554112553443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8.0699999999999985</v>
      </c>
      <c r="N131" s="13">
        <f>IF('Données projet'!$A$36&gt;35,N130+M131-V130,IF(A131&lt;'Données projet'!$A$36,$K$205^A131,IF(A131='Données projet'!$A$36,'Données projet'!$B$36,N130+M131-V130)))</f>
        <v>388.1700000000007</v>
      </c>
      <c r="O131" s="13">
        <f>N131*VLOOKUP('Données projet'!$B$9,Paramètres!$A$1:$I$89,3,0)*VLOOKUP('Données projet'!$B$9,Paramètres!$A$1:$I$89,5,0)</f>
        <v>351.2162160000006</v>
      </c>
      <c r="P131" s="13">
        <f t="shared" si="87"/>
        <v>81.812892161752615</v>
      </c>
      <c r="Q131" s="20">
        <f t="shared" ref="Q131:Q153" si="108">(O131+P131)*0.475*44/12</f>
        <v>754.19236338172016</v>
      </c>
      <c r="R131" s="59">
        <f t="shared" ref="R131:R194" si="109">Q131+(I131+J131)*44/12</f>
        <v>1047.5256967150535</v>
      </c>
      <c r="S131" s="59">
        <f ca="1">AVERAGE(OFFSET($R$3,0,0,'Données projet'!$E$9+1,1))-AVERAGE(OFFSET($H$3,0,0,'Données projet'!$E$9+1,1))</f>
        <v>399.15057697410413</v>
      </c>
      <c r="T131" s="59">
        <f t="shared" si="88"/>
        <v>182.37700638847298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59.337436300889166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59.337436300889166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8.0699999999999985</v>
      </c>
      <c r="AI131" s="13">
        <f>IF('Données projet'!$A$62&gt;35,AI130+AH131-AQ130,IF(A131&lt;'Données projet'!$A$62,$AF$205^A131,IF(A131='Données projet'!$A$62,'Données projet'!$B$62,AI130+AH131-AQ130)))</f>
        <v>388.1700000000007</v>
      </c>
      <c r="AJ131" s="13">
        <f>AI131*VLOOKUP('Données projet'!$B$10,Paramètres!$A$1:$I$89,3,0)*VLOOKUP('Données projet'!$B$10,Paramètres!$A$1:$I$89,5,0)</f>
        <v>393.60438000000073</v>
      </c>
      <c r="AK131" s="13">
        <f t="shared" si="89"/>
        <v>90.478837595769321</v>
      </c>
      <c r="AL131" s="20">
        <f t="shared" si="58"/>
        <v>843.1116039792995</v>
      </c>
      <c r="AM131" s="59">
        <f t="shared" si="59"/>
        <v>1136.4449373126329</v>
      </c>
      <c r="AN131" s="59">
        <f ca="1">AVERAGE(OFFSET($AM$3,0,0,'Données projet'!$E$10+1,1))-AVERAGE(OFFSET($H$3,0,0,'Données projet'!$E$10+1,1))</f>
        <v>463.77045964052894</v>
      </c>
      <c r="AO131" s="59">
        <f t="shared" si="90"/>
        <v>209.77146243694483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66.49885102685856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66.49885102685856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8.0699999999999985</v>
      </c>
      <c r="BD131" s="12">
        <f>IF('Données projet'!$A$88&gt;35,BD130+BC131-BL130,IF(A131&lt;'Données projet'!$A$88,$BA$205^A131,IF(A131='Données projet'!$A$88,'Données projet'!$B$88,BD130+BC131-BL130)))</f>
        <v>388.1700000000007</v>
      </c>
      <c r="BE131" s="13">
        <f>BD131*VLOOKUP('Données projet'!$B$11,Paramètres!$A$1:$I$89,3,0)*VLOOKUP('Données projet'!$B$11,Paramètres!$A$1:$I$89,5,0)</f>
        <v>375.43802400000067</v>
      </c>
      <c r="BF131" s="13">
        <f t="shared" si="91"/>
        <v>86.778885336839423</v>
      </c>
      <c r="BG131" s="20">
        <f t="shared" si="61"/>
        <v>805.02778376166316</v>
      </c>
      <c r="BH131" s="59">
        <f t="shared" si="62"/>
        <v>1098.3611170949964</v>
      </c>
      <c r="BI131" s="59">
        <f ca="1">AVERAGE(OFFSET($BH$3,0,0,'Données projet'!$E$11+1,1))-AVERAGE(OFFSET($H$3,0,0,'Données projet'!$E$11+1,1))</f>
        <v>436.0942819360734</v>
      </c>
      <c r="BJ131" s="59">
        <f t="shared" si="92"/>
        <v>198.03942180876311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63.429673287157392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63.429673287157392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>
        <f>BY131*VLOOKUP('Données projet'!$B$12,Paramètres!$A$1:$I$89,3,0)*VLOOKUP('Données projet'!$B$12,Paramètres!$A$1:$I$89,5,0)</f>
        <v>0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183.99578440773581</v>
      </c>
      <c r="CE131" s="59">
        <f t="shared" si="94"/>
        <v>258.43295338669657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7.2648226115522316</v>
      </c>
      <c r="CL131" s="21">
        <f>EXP(-LN(2)/25)*CL130+(1-EXP(-LN(2)/25))/(LN(2)/25)*Calculateur!CG131*Calculateur!CI131*VLOOKUP('Données projet'!$B$12,Paramètres!$A$1:$I$89,3,0)*0.475*44/12</f>
        <v>2.2951544090965332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9.5599770206487644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94.582799999999708</v>
      </c>
      <c r="D132" s="11">
        <f t="shared" si="86"/>
        <v>25.667270957125002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928.24616177429607</v>
      </c>
      <c r="H132" s="67">
        <f t="shared" ref="H132:H195" si="110">(B132+E132+F132)*44/12+(C132+D132)*0.475*44/12</f>
        <v>502.76887358365883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8.0699999999999985</v>
      </c>
      <c r="N132" s="13">
        <f>IF('Données projet'!$A$36&gt;35,N131+M132-V131,IF(A132&lt;'Données projet'!$A$36,$K$205^A132,IF(A132='Données projet'!$A$36,'Données projet'!$B$36,N131+M132-V131)))</f>
        <v>396.24000000000069</v>
      </c>
      <c r="O132" s="13">
        <f>N132*VLOOKUP('Données projet'!$B$9,Paramètres!$A$1:$I$89,3,0)*VLOOKUP('Données projet'!$B$9,Paramètres!$A$1:$I$89,5,0)</f>
        <v>358.51795200000061</v>
      </c>
      <c r="P132" s="13">
        <f t="shared" si="87"/>
        <v>83.313983934777241</v>
      </c>
      <c r="Q132" s="20">
        <f t="shared" si="108"/>
        <v>769.52395508640473</v>
      </c>
      <c r="R132" s="59">
        <f t="shared" si="109"/>
        <v>1062.8572884197381</v>
      </c>
      <c r="S132" s="59">
        <f ca="1">AVERAGE(OFFSET($R$3,0,0,'Données projet'!$E$9+1,1))-AVERAGE(OFFSET($H$3,0,0,'Données projet'!$E$9+1,1))</f>
        <v>399.15057697410413</v>
      </c>
      <c r="T132" s="59">
        <f t="shared" si="88"/>
        <v>182.37700638847298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58.173865367291185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58.173865367291185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8.0699999999999985</v>
      </c>
      <c r="AI132" s="13">
        <f>IF('Données projet'!$A$62&gt;35,AI131+AH132-AQ131,IF(A132&lt;'Données projet'!$A$62,$AF$205^A132,IF(A132='Données projet'!$A$62,'Données projet'!$B$62,AI131+AH132-AQ131)))</f>
        <v>396.24000000000069</v>
      </c>
      <c r="AJ132" s="13">
        <f>AI132*VLOOKUP('Données projet'!$B$10,Paramètres!$A$1:$I$89,3,0)*VLOOKUP('Données projet'!$B$10,Paramètres!$A$1:$I$89,5,0)</f>
        <v>401.78736000000072</v>
      </c>
      <c r="AK132" s="13">
        <f t="shared" si="89"/>
        <v>92.138930952196844</v>
      </c>
      <c r="AL132" s="20">
        <f t="shared" ref="AL132:AL153" si="112">(AJ132+AK132)*0.475*44/12</f>
        <v>860.25495674174408</v>
      </c>
      <c r="AM132" s="59">
        <f t="shared" ref="AM132:AM195" si="113">AL132+(AD132+AE132)*44/12</f>
        <v>1153.5882900750773</v>
      </c>
      <c r="AN132" s="59">
        <f ca="1">AVERAGE(OFFSET($AM$3,0,0,'Données projet'!$E$10+1,1))-AVERAGE(OFFSET($H$3,0,0,'Données projet'!$E$10+1,1))</f>
        <v>463.77045964052894</v>
      </c>
      <c r="AO132" s="59">
        <f t="shared" si="90"/>
        <v>209.77146243694483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65.19484911851599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65.19484911851599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8.0699999999999985</v>
      </c>
      <c r="BD132" s="12">
        <f>IF('Données projet'!$A$88&gt;35,BD131+BC132-BL131,IF(A132&lt;'Données projet'!$A$88,$BA$205^A132,IF(A132='Données projet'!$A$88,'Données projet'!$B$88,BD131+BC132-BL131)))</f>
        <v>396.24000000000069</v>
      </c>
      <c r="BE132" s="13">
        <f>BD132*VLOOKUP('Données projet'!$B$11,Paramètres!$A$1:$I$89,3,0)*VLOOKUP('Données projet'!$B$11,Paramètres!$A$1:$I$89,5,0)</f>
        <v>383.2433280000007</v>
      </c>
      <c r="BF132" s="13">
        <f t="shared" si="91"/>
        <v>88.371092474485081</v>
      </c>
      <c r="BG132" s="20">
        <f t="shared" ref="BG132:BG153" si="115">(BE132+BF132)*0.475*44/12</f>
        <v>821.39511565972941</v>
      </c>
      <c r="BH132" s="59">
        <f t="shared" ref="BH132:BH195" si="116">BG132+(AY132+AZ132)*44/12</f>
        <v>1114.7284489930628</v>
      </c>
      <c r="BI132" s="59">
        <f ca="1">AVERAGE(OFFSET($BH$3,0,0,'Données projet'!$E$11+1,1))-AVERAGE(OFFSET($H$3,0,0,'Données projet'!$E$11+1,1))</f>
        <v>436.0942819360734</v>
      </c>
      <c r="BJ132" s="59">
        <f t="shared" si="92"/>
        <v>198.03942180876311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62.185856082276793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62.185856082276793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>
        <f>BY132*VLOOKUP('Données projet'!$B$12,Paramètres!$A$1:$I$89,3,0)*VLOOKUP('Données projet'!$B$12,Paramètres!$A$1:$I$89,5,0)</f>
        <v>0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183.99578440773581</v>
      </c>
      <c r="CE132" s="59">
        <f t="shared" si="94"/>
        <v>258.43295338669657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7.1223638712439499</v>
      </c>
      <c r="CL132" s="21">
        <f>EXP(-LN(2)/25)*CL131+(1-EXP(-LN(2)/25))/(LN(2)/25)*Calculateur!CG132*Calculateur!CI132*VLOOKUP('Données projet'!$B$12,Paramètres!$A$1:$I$89,3,0)*0.475*44/12</f>
        <v>2.2323932910828637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9.3547571623268126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95.315999999999704</v>
      </c>
      <c r="D133" s="11">
        <f t="shared" ref="D133:D196" si="140">IFERROR(EXP(-1.0587+0.8836*LN(C133)+0.284),0)</f>
        <v>25.843002723192335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935.26247716148237</v>
      </c>
      <c r="H133" s="67">
        <f t="shared" si="110"/>
        <v>504.35192974289276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8.0699999999999985</v>
      </c>
      <c r="N133" s="13">
        <f>IF('Données projet'!$A$36&gt;35,N132+M133-V132,IF(A133&lt;'Données projet'!$A$36,$K$205^A133,IF(A133='Données projet'!$A$36,'Données projet'!$B$36,N132+M133-V132)))</f>
        <v>404.31000000000068</v>
      </c>
      <c r="O133" s="13">
        <f>N133*VLOOKUP('Données projet'!$B$9,Paramètres!$A$1:$I$89,3,0)*VLOOKUP('Données projet'!$B$9,Paramètres!$A$1:$I$89,5,0)</f>
        <v>365.81968800000061</v>
      </c>
      <c r="P133" s="13">
        <f t="shared" ref="P133:P196" si="141">EXP(-1.0587+0.8836*LN(O133)+0.284)</f>
        <v>84.811521093342051</v>
      </c>
      <c r="Q133" s="20">
        <f t="shared" si="108"/>
        <v>784.84935583757169</v>
      </c>
      <c r="R133" s="59">
        <f t="shared" si="109"/>
        <v>1078.182689170905</v>
      </c>
      <c r="S133" s="59">
        <f ca="1">AVERAGE(OFFSET($R$3,0,0,'Données projet'!$E$9+1,1))-AVERAGE(OFFSET($H$3,0,0,'Données projet'!$E$9+1,1))</f>
        <v>399.15057697410413</v>
      </c>
      <c r="T133" s="59">
        <f t="shared" ref="T133:T196" si="142">$T$3</f>
        <v>182.37700638847298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57.033111349992865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57.033111349992865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8.0699999999999985</v>
      </c>
      <c r="AI133" s="13">
        <f>IF('Données projet'!$A$62&gt;35,AI132+AH133-AQ132,IF(A133&lt;'Données projet'!$A$62,$AF$205^A133,IF(A133='Données projet'!$A$62,'Données projet'!$B$62,AI132+AH133-AQ132)))</f>
        <v>404.31000000000068</v>
      </c>
      <c r="AJ133" s="13">
        <f>AI133*VLOOKUP('Données projet'!$B$10,Paramètres!$A$1:$I$89,3,0)*VLOOKUP('Données projet'!$B$10,Paramètres!$A$1:$I$89,5,0)</f>
        <v>409.9703400000007</v>
      </c>
      <c r="AK133" s="13">
        <f t="shared" ref="AK133:AK153" si="143">EXP(-1.0587+0.8836*LN(AJ133)+0.284)</f>
        <v>93.795093175328134</v>
      </c>
      <c r="AL133" s="20">
        <f t="shared" si="112"/>
        <v>877.39146278036435</v>
      </c>
      <c r="AM133" s="59">
        <f t="shared" si="113"/>
        <v>1170.7247961136977</v>
      </c>
      <c r="AN133" s="59">
        <f ca="1">AVERAGE(OFFSET($AM$3,0,0,'Données projet'!$E$10+1,1))-AVERAGE(OFFSET($H$3,0,0,'Données projet'!$E$10+1,1))</f>
        <v>463.77045964052894</v>
      </c>
      <c r="AO133" s="59">
        <f t="shared" ref="AO133:AO196" si="144">$AO$3</f>
        <v>209.77146243694483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63.91641789223339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63.91641789223339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8.0699999999999985</v>
      </c>
      <c r="BD133" s="12">
        <f>IF('Données projet'!$A$88&gt;35,BD132+BC133-BL132,IF(A133&lt;'Données projet'!$A$88,$BA$205^A133,IF(A133='Données projet'!$A$88,'Données projet'!$B$88,BD132+BC133-BL132)))</f>
        <v>404.31000000000068</v>
      </c>
      <c r="BE133" s="13">
        <f>BD133*VLOOKUP('Données projet'!$B$11,Paramètres!$A$1:$I$89,3,0)*VLOOKUP('Données projet'!$B$11,Paramètres!$A$1:$I$89,5,0)</f>
        <v>391.04863200000068</v>
      </c>
      <c r="BF133" s="13">
        <f t="shared" ref="BF133:BF153" si="145">EXP(-1.0587+0.8836*LN(BE133)+0.284)</f>
        <v>89.959529234718644</v>
      </c>
      <c r="BG133" s="20">
        <f t="shared" si="115"/>
        <v>837.75588081713613</v>
      </c>
      <c r="BH133" s="59">
        <f t="shared" si="116"/>
        <v>1131.0892141504694</v>
      </c>
      <c r="BI133" s="59">
        <f ca="1">AVERAGE(OFFSET($BH$3,0,0,'Données projet'!$E$11+1,1))-AVERAGE(OFFSET($H$3,0,0,'Données projet'!$E$11+1,1))</f>
        <v>436.0942819360734</v>
      </c>
      <c r="BJ133" s="59">
        <f t="shared" ref="BJ133:BJ196" si="146">$BJ$3</f>
        <v>198.03942180876311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60.966429374130314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60.966429374130314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>
        <f>BY133*VLOOKUP('Données projet'!$B$12,Paramètres!$A$1:$I$89,3,0)*VLOOKUP('Données projet'!$B$12,Paramètres!$A$1:$I$89,5,0)</f>
        <v>0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183.99578440773581</v>
      </c>
      <c r="CE133" s="59">
        <f t="shared" ref="CE133:CE196" si="148">$CE$3</f>
        <v>258.43295338669657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6.9826986599418621</v>
      </c>
      <c r="CL133" s="21">
        <f>EXP(-LN(2)/25)*CL132+(1-EXP(-LN(2)/25))/(LN(2)/25)*Calculateur!CG133*Calculateur!CI133*VLOOKUP('Données projet'!$B$12,Paramètres!$A$1:$I$89,3,0)*0.475*44/12</f>
        <v>2.1713483791417416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9.1540470390836042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96.049199999999701</v>
      </c>
      <c r="D134" s="11">
        <f t="shared" si="140"/>
        <v>26.018577210521507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942.27757846718123</v>
      </c>
      <c r="H134" s="67">
        <f t="shared" si="110"/>
        <v>505.93471197499105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8.0699999999999985</v>
      </c>
      <c r="N134" s="13">
        <f>IF('Données projet'!$A$36&gt;35,N133+M134-V133,IF(A134&lt;'Données projet'!$A$36,$K$205^A134,IF(A134='Données projet'!$A$36,'Données projet'!$B$36,N133+M134-V133)))</f>
        <v>412.38000000000068</v>
      </c>
      <c r="O134" s="13">
        <f>N134*VLOOKUP('Données projet'!$B$9,Paramètres!$A$1:$I$89,3,0)*VLOOKUP('Données projet'!$B$9,Paramètres!$A$1:$I$89,5,0)</f>
        <v>373.12142400000062</v>
      </c>
      <c r="P134" s="13">
        <f t="shared" si="141"/>
        <v>86.305582764533938</v>
      </c>
      <c r="Q134" s="20">
        <f t="shared" si="108"/>
        <v>800.16870344823099</v>
      </c>
      <c r="R134" s="59">
        <f t="shared" si="109"/>
        <v>1093.5020367815644</v>
      </c>
      <c r="S134" s="59">
        <f ca="1">AVERAGE(OFFSET($R$3,0,0,'Données projet'!$E$9+1,1))-AVERAGE(OFFSET($H$3,0,0,'Données projet'!$E$9+1,1))</f>
        <v>399.15057697410413</v>
      </c>
      <c r="T134" s="59">
        <f t="shared" si="142"/>
        <v>182.37700638847298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55.914726823182519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55.914726823182519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8.0699999999999985</v>
      </c>
      <c r="AI134" s="13">
        <f>IF('Données projet'!$A$62&gt;35,AI133+AH134-AQ133,IF(A134&lt;'Données projet'!$A$62,$AF$205^A134,IF(A134='Données projet'!$A$62,'Données projet'!$B$62,AI133+AH134-AQ133)))</f>
        <v>412.38000000000068</v>
      </c>
      <c r="AJ134" s="13">
        <f>AI134*VLOOKUP('Données projet'!$B$10,Paramètres!$A$1:$I$89,3,0)*VLOOKUP('Données projet'!$B$10,Paramètres!$A$1:$I$89,5,0)</f>
        <v>418.15332000000069</v>
      </c>
      <c r="AK134" s="13">
        <f t="shared" si="143"/>
        <v>95.44741177370463</v>
      </c>
      <c r="AL134" s="20">
        <f t="shared" si="112"/>
        <v>894.52127450587011</v>
      </c>
      <c r="AM134" s="59">
        <f t="shared" si="113"/>
        <v>1187.8546078392035</v>
      </c>
      <c r="AN134" s="59">
        <f ca="1">AVERAGE(OFFSET($AM$3,0,0,'Données projet'!$E$10+1,1))-AVERAGE(OFFSET($H$3,0,0,'Données projet'!$E$10+1,1))</f>
        <v>463.77045964052894</v>
      </c>
      <c r="AO134" s="59">
        <f t="shared" si="144"/>
        <v>209.77146243694483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62.663055922532145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62.663055922532145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8.0699999999999985</v>
      </c>
      <c r="BD134" s="12">
        <f>IF('Données projet'!$A$88&gt;35,BD133+BC134-BL133,IF(A134&lt;'Données projet'!$A$88,$BA$205^A134,IF(A134='Données projet'!$A$88,'Données projet'!$B$88,BD133+BC134-BL133)))</f>
        <v>412.38000000000068</v>
      </c>
      <c r="BE134" s="13">
        <f>BD134*VLOOKUP('Données projet'!$B$11,Paramètres!$A$1:$I$89,3,0)*VLOOKUP('Données projet'!$B$11,Paramètres!$A$1:$I$89,5,0)</f>
        <v>398.85393600000066</v>
      </c>
      <c r="BF134" s="13">
        <f t="shared" si="145"/>
        <v>91.54427954759349</v>
      </c>
      <c r="BG134" s="20">
        <f t="shared" si="115"/>
        <v>854.11022541205978</v>
      </c>
      <c r="BH134" s="59">
        <f t="shared" si="116"/>
        <v>1147.4435587453931</v>
      </c>
      <c r="BI134" s="59">
        <f ca="1">AVERAGE(OFFSET($BH$3,0,0,'Données projet'!$E$11+1,1))-AVERAGE(OFFSET($H$3,0,0,'Données projet'!$E$11+1,1))</f>
        <v>436.0942819360734</v>
      </c>
      <c r="BJ134" s="59">
        <f t="shared" si="146"/>
        <v>198.03942180876311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59.770914879953736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59.770914879953736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>
        <f>BY134*VLOOKUP('Données projet'!$B$12,Paramètres!$A$1:$I$89,3,0)*VLOOKUP('Données projet'!$B$12,Paramètres!$A$1:$I$89,5,0)</f>
        <v>0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183.99578440773581</v>
      </c>
      <c r="CE134" s="59">
        <f t="shared" si="148"/>
        <v>258.43295338669657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6.8457721982460411</v>
      </c>
      <c r="CL134" s="21">
        <f>EXP(-LN(2)/25)*CL133+(1-EXP(-LN(2)/25))/(LN(2)/25)*Calculateur!CG134*Calculateur!CI134*VLOOKUP('Données projet'!$B$12,Paramètres!$A$1:$I$89,3,0)*0.475*44/12</f>
        <v>2.1119727435278621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8.9577449417739032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96.782399999999697</v>
      </c>
      <c r="D135" s="11">
        <f t="shared" si="140"/>
        <v>26.193995758894371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949.2914760335683</v>
      </c>
      <c r="H135" s="67">
        <f t="shared" si="110"/>
        <v>507.51722261340717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8.0699999999999985</v>
      </c>
      <c r="N135" s="13">
        <f>IF('Données projet'!$A$36&gt;35,N134+M135-V134,IF(A135&lt;'Données projet'!$A$36,$K$205^A135,IF(A135='Données projet'!$A$36,'Données projet'!$B$36,N134+M135-V134)))</f>
        <v>420.45000000000067</v>
      </c>
      <c r="O135" s="13">
        <f>N135*VLOOKUP('Données projet'!$B$9,Paramètres!$A$1:$I$89,3,0)*VLOOKUP('Données projet'!$B$9,Paramètres!$A$1:$I$89,5,0)</f>
        <v>380.42316000000056</v>
      </c>
      <c r="P135" s="13">
        <f t="shared" si="141"/>
        <v>87.79624480137376</v>
      </c>
      <c r="Q135" s="20">
        <f t="shared" si="108"/>
        <v>815.48213002906016</v>
      </c>
      <c r="R135" s="59">
        <f t="shared" si="109"/>
        <v>1108.8154633623935</v>
      </c>
      <c r="S135" s="59">
        <f ca="1">AVERAGE(OFFSET($R$3,0,0,'Données projet'!$E$9+1,1))-AVERAGE(OFFSET($H$3,0,0,'Données projet'!$E$9+1,1))</f>
        <v>399.15057697410413</v>
      </c>
      <c r="T135" s="59">
        <f t="shared" si="142"/>
        <v>182.37700638847298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54.818273134795724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54.818273134795724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8.0699999999999985</v>
      </c>
      <c r="AI135" s="13">
        <f>IF('Données projet'!$A$62&gt;35,AI134+AH135-AQ134,IF(A135&lt;'Données projet'!$A$62,$AF$205^A135,IF(A135='Données projet'!$A$62,'Données projet'!$B$62,AI134+AH135-AQ134)))</f>
        <v>420.45000000000067</v>
      </c>
      <c r="AJ135" s="13">
        <f>AI135*VLOOKUP('Données projet'!$B$10,Paramètres!$A$1:$I$89,3,0)*VLOOKUP('Données projet'!$B$10,Paramètres!$A$1:$I$89,5,0)</f>
        <v>426.33630000000073</v>
      </c>
      <c r="AK135" s="13">
        <f t="shared" si="143"/>
        <v>97.095970634999375</v>
      </c>
      <c r="AL135" s="20">
        <f t="shared" si="112"/>
        <v>911.64453802262517</v>
      </c>
      <c r="AM135" s="59">
        <f t="shared" si="113"/>
        <v>1204.9778713559585</v>
      </c>
      <c r="AN135" s="59">
        <f ca="1">AVERAGE(OFFSET($AM$3,0,0,'Données projet'!$E$10+1,1))-AVERAGE(OFFSET($H$3,0,0,'Données projet'!$E$10+1,1))</f>
        <v>463.77045964052894</v>
      </c>
      <c r="AO135" s="59">
        <f t="shared" si="144"/>
        <v>209.77146243694483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61.43427161658142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61.43427161658142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8.0699999999999985</v>
      </c>
      <c r="BD135" s="12">
        <f>IF('Données projet'!$A$88&gt;35,BD134+BC135-BL134,IF(A135&lt;'Données projet'!$A$88,$BA$205^A135,IF(A135='Données projet'!$A$88,'Données projet'!$B$88,BD134+BC135-BL134)))</f>
        <v>420.45000000000067</v>
      </c>
      <c r="BE135" s="13">
        <f>BD135*VLOOKUP('Données projet'!$B$11,Paramètres!$A$1:$I$89,3,0)*VLOOKUP('Données projet'!$B$11,Paramètres!$A$1:$I$89,5,0)</f>
        <v>406.65924000000069</v>
      </c>
      <c r="BF135" s="13">
        <f t="shared" si="145"/>
        <v>93.125423870362923</v>
      </c>
      <c r="BG135" s="20">
        <f t="shared" si="115"/>
        <v>870.45828957421656</v>
      </c>
      <c r="BH135" s="59">
        <f t="shared" si="116"/>
        <v>1163.7916229075499</v>
      </c>
      <c r="BI135" s="59">
        <f ca="1">AVERAGE(OFFSET($BH$3,0,0,'Données projet'!$E$11+1,1))-AVERAGE(OFFSET($H$3,0,0,'Données projet'!$E$11+1,1))</f>
        <v>436.0942819360734</v>
      </c>
      <c r="BJ135" s="59">
        <f t="shared" si="146"/>
        <v>198.03942180876311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58.598843695816122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58.598843695816122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>
        <f>BY135*VLOOKUP('Données projet'!$B$12,Paramètres!$A$1:$I$89,3,0)*VLOOKUP('Données projet'!$B$12,Paramètres!$A$1:$I$89,5,0)</f>
        <v>0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183.99578440773581</v>
      </c>
      <c r="CE135" s="59">
        <f t="shared" si="148"/>
        <v>258.43295338669657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6.7115307809471796</v>
      </c>
      <c r="CL135" s="21">
        <f>EXP(-LN(2)/25)*CL134+(1-EXP(-LN(2)/25))/(LN(2)/25)*Calculateur!CG135*Calculateur!CI135*VLOOKUP('Données projet'!$B$12,Paramètres!$A$1:$I$89,3,0)*0.475*44/12</f>
        <v>2.054220737792273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8.765751518739453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97.515599999999694</v>
      </c>
      <c r="D136" s="11">
        <f t="shared" si="140"/>
        <v>26.369259686620403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956.30418003706757</v>
      </c>
      <c r="H136" s="67">
        <f t="shared" si="110"/>
        <v>509.09946395419666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8.0699999999999985</v>
      </c>
      <c r="N136" s="13">
        <f>IF('Données projet'!$A$36&gt;35,N135+M136-V135,IF(A136&lt;'Données projet'!$A$36,$K$205^A136,IF(A136='Données projet'!$A$36,'Données projet'!$B$36,N135+M136-V135)))</f>
        <v>428.52000000000066</v>
      </c>
      <c r="O136" s="13">
        <f>N136*VLOOKUP('Données projet'!$B$9,Paramètres!$A$1:$I$89,3,0)*VLOOKUP('Données projet'!$B$9,Paramètres!$A$1:$I$89,5,0)</f>
        <v>387.72489600000057</v>
      </c>
      <c r="P136" s="13">
        <f t="shared" si="141"/>
        <v>89.283579978484866</v>
      </c>
      <c r="Q136" s="20">
        <f t="shared" si="108"/>
        <v>830.78976232919547</v>
      </c>
      <c r="R136" s="59">
        <f t="shared" si="109"/>
        <v>1124.1230956625288</v>
      </c>
      <c r="S136" s="59">
        <f ca="1">AVERAGE(OFFSET($R$3,0,0,'Données projet'!$E$9+1,1))-AVERAGE(OFFSET($H$3,0,0,'Données projet'!$E$9+1,1))</f>
        <v>399.15057697410413</v>
      </c>
      <c r="T136" s="59">
        <f t="shared" si="142"/>
        <v>182.37700638847298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53.743320234467475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53.743320234467475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8.0699999999999985</v>
      </c>
      <c r="AI136" s="13">
        <f>IF('Données projet'!$A$62&gt;35,AI135+AH136-AQ135,IF(A136&lt;'Données projet'!$A$62,$AF$205^A136,IF(A136='Données projet'!$A$62,'Données projet'!$B$62,AI135+AH136-AQ135)))</f>
        <v>428.52000000000066</v>
      </c>
      <c r="AJ136" s="13">
        <f>AI136*VLOOKUP('Données projet'!$B$10,Paramètres!$A$1:$I$89,3,0)*VLOOKUP('Données projet'!$B$10,Paramètres!$A$1:$I$89,5,0)</f>
        <v>434.51928000000072</v>
      </c>
      <c r="AK136" s="13">
        <f t="shared" si="143"/>
        <v>98.740850242411952</v>
      </c>
      <c r="AL136" s="20">
        <f t="shared" si="112"/>
        <v>928.76139350553524</v>
      </c>
      <c r="AM136" s="59">
        <f t="shared" si="113"/>
        <v>1222.0947268388686</v>
      </c>
      <c r="AN136" s="59">
        <f ca="1">AVERAGE(OFFSET($AM$3,0,0,'Données projet'!$E$10+1,1))-AVERAGE(OFFSET($H$3,0,0,'Données projet'!$E$10+1,1))</f>
        <v>463.77045964052894</v>
      </c>
      <c r="AO136" s="59">
        <f t="shared" si="144"/>
        <v>209.77146243694483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60.22958302138597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60.22958302138597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8.0699999999999985</v>
      </c>
      <c r="BD136" s="12">
        <f>IF('Données projet'!$A$88&gt;35,BD135+BC136-BL135,IF(A136&lt;'Données projet'!$A$88,$BA$205^A136,IF(A136='Données projet'!$A$88,'Données projet'!$B$88,BD135+BC136-BL135)))</f>
        <v>428.52000000000066</v>
      </c>
      <c r="BE136" s="13">
        <f>BD136*VLOOKUP('Données projet'!$B$11,Paramètres!$A$1:$I$89,3,0)*VLOOKUP('Données projet'!$B$11,Paramètres!$A$1:$I$89,5,0)</f>
        <v>414.46454400000067</v>
      </c>
      <c r="BF136" s="13">
        <f t="shared" si="145"/>
        <v>94.703039395025982</v>
      </c>
      <c r="BG136" s="20">
        <f t="shared" si="115"/>
        <v>886.80020774633806</v>
      </c>
      <c r="BH136" s="59">
        <f t="shared" si="116"/>
        <v>1180.1335410796714</v>
      </c>
      <c r="BI136" s="59">
        <f ca="1">AVERAGE(OFFSET($BH$3,0,0,'Données projet'!$E$11+1,1))-AVERAGE(OFFSET($H$3,0,0,'Données projet'!$E$11+1,1))</f>
        <v>436.0942819360734</v>
      </c>
      <c r="BJ136" s="59">
        <f t="shared" si="146"/>
        <v>198.03942180876311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57.449756112706616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57.449756112706616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>
        <f>BY136*VLOOKUP('Données projet'!$B$12,Paramètres!$A$1:$I$89,3,0)*VLOOKUP('Données projet'!$B$12,Paramètres!$A$1:$I$89,5,0)</f>
        <v>0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183.99578440773581</v>
      </c>
      <c r="CE136" s="59">
        <f t="shared" si="148"/>
        <v>258.43295338669657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6.5799217559623697</v>
      </c>
      <c r="CL136" s="21">
        <f>EXP(-LN(2)/25)*CL135+(1-EXP(-LN(2)/25))/(LN(2)/25)*Calculateur!CG136*Calculateur!CI136*VLOOKUP('Données projet'!$B$12,Paramètres!$A$1:$I$89,3,0)*0.475*44/12</f>
        <v>1.9980479636905697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8.5779697196529394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98.24879999999969</v>
      </c>
      <c r="D137" s="11">
        <f t="shared" si="140"/>
        <v>26.544370291039762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963.31570049223421</v>
      </c>
      <c r="H137" s="67">
        <f t="shared" si="110"/>
        <v>510.68143825689367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>
        <f>VLOOKUP(A137,'Données projet'!$A$35:$I$55,2,0)</f>
        <v>436.59</v>
      </c>
      <c r="L137" s="12">
        <f>VLOOKUP(A137,'Données projet'!$A$35:$I$55,9,0)</f>
        <v>8.0699999999999985</v>
      </c>
      <c r="M137" s="12">
        <f t="array" ref="M137">INDEX(L:L,MIN(IF(ISNUMBER(L137:L333),ROW(L137:L333),"")))</f>
        <v>8.0699999999999985</v>
      </c>
      <c r="N137" s="13">
        <f>IF('Données projet'!$A$36&gt;35,N136+M137-V136,IF(A137&lt;'Données projet'!$A$36,$K$205^A137,IF(A137='Données projet'!$A$36,'Données projet'!$B$36,N136+M137-V136)))</f>
        <v>436.59000000000066</v>
      </c>
      <c r="O137" s="13">
        <f>N137*VLOOKUP('Données projet'!$B$9,Paramètres!$A$1:$I$89,3,0)*VLOOKUP('Données projet'!$B$9,Paramètres!$A$1:$I$89,5,0)</f>
        <v>395.02663200000057</v>
      </c>
      <c r="P137" s="13">
        <f t="shared" si="141"/>
        <v>90.767658172605465</v>
      </c>
      <c r="Q137" s="20">
        <f t="shared" si="108"/>
        <v>846.09172205062214</v>
      </c>
      <c r="R137" s="59">
        <f t="shared" si="109"/>
        <v>1139.4250553839554</v>
      </c>
      <c r="S137" s="59">
        <f ca="1">AVERAGE(OFFSET($R$3,0,0,'Données projet'!$E$9+1,1))-AVERAGE(OFFSET($H$3,0,0,'Données projet'!$E$9+1,1))</f>
        <v>399.15057697410413</v>
      </c>
      <c r="T137" s="59">
        <f t="shared" si="142"/>
        <v>182.37700638847298</v>
      </c>
      <c r="U137" s="15">
        <f>IF(ISNA(VLOOKUP(A137,'Données projet'!$A$35:$I$55,3,0)),0,VLOOKUP(A137,'Données projet'!$A$35:$I$55,3,0))</f>
        <v>11</v>
      </c>
      <c r="V137" s="15">
        <f>IF(ISNA(VLOOKUP(A137,'Données projet'!$A$35:$I$55,4,0)),0,VLOOKUP(A137,'Données projet'!$A$35:$I$55,4,0))</f>
        <v>54.95</v>
      </c>
      <c r="W137" s="16">
        <f>IF(ISNA(VLOOKUP(A137,'Données projet'!$A$35:$I$55,5,0)),0%,VLOOKUP(A137,'Données projet'!$A$35:$I$55,5,0)*VLOOKUP('Données projet'!$B$9,Paramètres!$A$1:$I$89,7,0))</f>
        <v>0.25800000000000001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66.869801558531918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66.869801558531918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436.59</v>
      </c>
      <c r="AG137" s="12">
        <f>VLOOKUP(A137,'Données projet'!$A$61:$I$81,9,0)</f>
        <v>8.0699999999999985</v>
      </c>
      <c r="AH137" s="12">
        <f t="array" ref="AH137">INDEX(AG:AG,MIN(IF(ISNUMBER(AG137:AG333),ROW(AG137:AG333),"")))</f>
        <v>8.0699999999999985</v>
      </c>
      <c r="AI137" s="13">
        <f>IF('Données projet'!$A$62&gt;35,AI136+AH137-AQ136,IF(A137&lt;'Données projet'!$A$62,$AF$205^A137,IF(A137='Données projet'!$A$62,'Données projet'!$B$62,AI136+AH137-AQ136)))</f>
        <v>436.59000000000066</v>
      </c>
      <c r="AJ137" s="13">
        <f>AI137*VLOOKUP('Données projet'!$B$10,Paramètres!$A$1:$I$89,3,0)*VLOOKUP('Données projet'!$B$10,Paramètres!$A$1:$I$89,5,0)</f>
        <v>442.70226000000071</v>
      </c>
      <c r="AK137" s="13">
        <f t="shared" si="143"/>
        <v>100.38212787430139</v>
      </c>
      <c r="AL137" s="20">
        <f t="shared" si="112"/>
        <v>945.87197554774275</v>
      </c>
      <c r="AM137" s="59">
        <f t="shared" si="113"/>
        <v>1239.205308881076</v>
      </c>
      <c r="AN137" s="59">
        <f ca="1">AVERAGE(OFFSET($AM$3,0,0,'Données projet'!$E$10+1,1))-AVERAGE(OFFSET($H$3,0,0,'Données projet'!$E$10+1,1))</f>
        <v>463.77045964052894</v>
      </c>
      <c r="AO137" s="59">
        <f t="shared" si="144"/>
        <v>209.77146243694483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0.25800000000000001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74.940294850078871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74.940294850078871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>
        <f>VLOOKUP(A137,'Données projet'!$A$87:$I$107,2,0)</f>
        <v>436.59</v>
      </c>
      <c r="BB137" s="12">
        <f>VLOOKUP(A137,'Données projet'!$A$87:$I$107,9,0)</f>
        <v>8.0699999999999985</v>
      </c>
      <c r="BC137" s="12">
        <f t="array" ref="BC137">INDEX(BB:BB,MIN(IF(ISNUMBER(BB137:BB333),ROW(BB137:BB333),"")))</f>
        <v>8.0699999999999985</v>
      </c>
      <c r="BD137" s="12">
        <f>IF('Données projet'!$A$88&gt;35,BD136+BC137-BL136,IF(A137&lt;'Données projet'!$A$88,$BA$205^A137,IF(A137='Données projet'!$A$88,'Données projet'!$B$88,BD136+BC137-BL136)))</f>
        <v>436.59000000000066</v>
      </c>
      <c r="BE137" s="13">
        <f>BD137*VLOOKUP('Données projet'!$B$11,Paramètres!$A$1:$I$89,3,0)*VLOOKUP('Données projet'!$B$11,Paramètres!$A$1:$I$89,5,0)</f>
        <v>422.26984800000071</v>
      </c>
      <c r="BF137" s="13">
        <f t="shared" si="145"/>
        <v>96.277200239796969</v>
      </c>
      <c r="BG137" s="20">
        <f t="shared" si="115"/>
        <v>903.13610901764775</v>
      </c>
      <c r="BH137" s="59">
        <f t="shared" si="116"/>
        <v>1196.4694423509811</v>
      </c>
      <c r="BI137" s="59">
        <f ca="1">AVERAGE(OFFSET($BH$3,0,0,'Données projet'!$E$11+1,1))-AVERAGE(OFFSET($H$3,0,0,'Données projet'!$E$11+1,1))</f>
        <v>436.0942819360734</v>
      </c>
      <c r="BJ137" s="59">
        <f t="shared" si="146"/>
        <v>198.03942180876311</v>
      </c>
      <c r="BK137" s="15">
        <f>IF(ISNA(VLOOKUP(A137,'Données projet'!$A$87:$I$107,3,0)),0,VLOOKUP(A137,'Données projet'!$A$87:$I$107,3,0))</f>
        <v>11</v>
      </c>
      <c r="BL137" s="15">
        <f>IF(ISNA(VLOOKUP(A137,'Données projet'!$A$87:$I$107,4,0)),0,VLOOKUP(A137,'Données projet'!$A$87:$I$107,4,0))</f>
        <v>54.95</v>
      </c>
      <c r="BM137" s="16">
        <f>IF(ISNA(VLOOKUP(A137,'Données projet'!$A$87:$I$107,5,0)),0%,VLOOKUP(A137,'Données projet'!$A$87:$I$107,5,0)*VLOOKUP('Données projet'!$B$11,Paramètres!$A$1:$I$89,7,0))</f>
        <v>0.25800000000000001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71.481512010844469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71.481512010844469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>
        <f>BY137*VLOOKUP('Données projet'!$B$12,Paramètres!$A$1:$I$89,3,0)*VLOOKUP('Données projet'!$B$12,Paramètres!$A$1:$I$89,5,0)</f>
        <v>0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183.99578440773581</v>
      </c>
      <c r="CE137" s="59">
        <f t="shared" si="148"/>
        <v>258.43295338669657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6.4508935036839326</v>
      </c>
      <c r="CL137" s="21">
        <f>EXP(-LN(2)/25)*CL136+(1-EXP(-LN(2)/25))/(LN(2)/25)*Calculateur!CG137*Calculateur!CI137*VLOOKUP('Données projet'!$B$12,Paramètres!$A$1:$I$89,3,0)*0.475*44/12</f>
        <v>1.9434112370506753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8.3943047407346079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98.981999999999687</v>
      </c>
      <c r="D138" s="11">
        <f t="shared" si="140"/>
        <v>26.719328849010672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970.3260472555188</v>
      </c>
      <c r="H138" s="67">
        <f t="shared" si="110"/>
        <v>512.26314774535967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8.1590000000000025</v>
      </c>
      <c r="N138" s="13">
        <f>IF('Données projet'!$A$36&gt;35,N137+M138-V137,IF(A138&lt;'Données projet'!$A$36,$K$205^A138,IF(A138='Données projet'!$A$36,'Données projet'!$B$36,N137+M138-V137)))</f>
        <v>389.79900000000066</v>
      </c>
      <c r="O138" s="13">
        <f>N138*VLOOKUP('Données projet'!$B$9,Paramètres!$A$1:$I$89,3,0)*VLOOKUP('Données projet'!$B$9,Paramètres!$A$1:$I$89,5,0)</f>
        <v>352.69013520000055</v>
      </c>
      <c r="P138" s="13">
        <f t="shared" si="141"/>
        <v>82.116190931394016</v>
      </c>
      <c r="Q138" s="20">
        <f t="shared" si="108"/>
        <v>757.28768467884549</v>
      </c>
      <c r="R138" s="59">
        <f t="shared" si="109"/>
        <v>1050.6210180121789</v>
      </c>
      <c r="S138" s="59">
        <f ca="1">AVERAGE(OFFSET($R$3,0,0,'Données projet'!$E$9+1,1))-AVERAGE(OFFSET($H$3,0,0,'Données projet'!$E$9+1,1))</f>
        <v>399.15057697410413</v>
      </c>
      <c r="T138" s="59">
        <f t="shared" si="142"/>
        <v>182.37700638847298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65.558525536520719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65.558525536520719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8.1590000000000025</v>
      </c>
      <c r="AI138" s="13">
        <f>IF('Données projet'!$A$62&gt;35,AI137+AH138-AQ137,IF(A138&lt;'Données projet'!$A$62,$AF$205^A138,IF(A138='Données projet'!$A$62,'Données projet'!$B$62,AI137+AH138-AQ137)))</f>
        <v>389.79900000000066</v>
      </c>
      <c r="AJ138" s="13">
        <f>AI138*VLOOKUP('Données projet'!$B$10,Paramètres!$A$1:$I$89,3,0)*VLOOKUP('Données projet'!$B$10,Paramètres!$A$1:$I$89,5,0)</f>
        <v>395.2561860000007</v>
      </c>
      <c r="AK138" s="13">
        <f t="shared" si="143"/>
        <v>90.814262971847356</v>
      </c>
      <c r="AL138" s="20">
        <f t="shared" si="112"/>
        <v>846.57269862596866</v>
      </c>
      <c r="AM138" s="59">
        <f t="shared" si="113"/>
        <v>1139.906031959302</v>
      </c>
      <c r="AN138" s="59">
        <f ca="1">AVERAGE(OFFSET($AM$3,0,0,'Données projet'!$E$10+1,1))-AVERAGE(OFFSET($H$3,0,0,'Données projet'!$E$10+1,1))</f>
        <v>463.77045964052894</v>
      </c>
      <c r="AO138" s="59">
        <f t="shared" si="144"/>
        <v>209.77146243694483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73.47076137713529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73.47076137713529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8.1590000000000025</v>
      </c>
      <c r="BD138" s="12">
        <f>IF('Données projet'!$A$88&gt;35,BD137+BC138-BL137,IF(A138&lt;'Données projet'!$A$88,$BA$205^A138,IF(A138='Données projet'!$A$88,'Données projet'!$B$88,BD137+BC138-BL137)))</f>
        <v>389.79900000000066</v>
      </c>
      <c r="BE138" s="13">
        <f>BD138*VLOOKUP('Données projet'!$B$11,Paramètres!$A$1:$I$89,3,0)*VLOOKUP('Données projet'!$B$11,Paramètres!$A$1:$I$89,5,0)</f>
        <v>377.01359280000065</v>
      </c>
      <c r="BF138" s="13">
        <f t="shared" si="145"/>
        <v>87.100594158738531</v>
      </c>
      <c r="BG138" s="20">
        <f t="shared" si="115"/>
        <v>808.33220895313741</v>
      </c>
      <c r="BH138" s="59">
        <f t="shared" si="116"/>
        <v>1101.6655422864708</v>
      </c>
      <c r="BI138" s="59">
        <f ca="1">AVERAGE(OFFSET($BH$3,0,0,'Données projet'!$E$11+1,1))-AVERAGE(OFFSET($H$3,0,0,'Données projet'!$E$11+1,1))</f>
        <v>436.0942819360734</v>
      </c>
      <c r="BJ138" s="59">
        <f t="shared" si="146"/>
        <v>198.03942180876311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70.079803159729053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70.079803159729053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>
        <f>BY138*VLOOKUP('Données projet'!$B$12,Paramètres!$A$1:$I$89,3,0)*VLOOKUP('Données projet'!$B$12,Paramètres!$A$1:$I$89,5,0)</f>
        <v>0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183.99578440773581</v>
      </c>
      <c r="CE138" s="59">
        <f t="shared" si="148"/>
        <v>258.43295338669657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6.3243954167332133</v>
      </c>
      <c r="CL138" s="21">
        <f>EXP(-LN(2)/25)*CL137+(1-EXP(-LN(2)/25))/(LN(2)/25)*Calculateur!CG138*Calculateur!CI138*VLOOKUP('Données projet'!$B$12,Paramètres!$A$1:$I$89,3,0)*0.475*44/12</f>
        <v>1.8902685545739695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8.2146639713071821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99.715199999999683</v>
      </c>
      <c r="D139" s="11">
        <f t="shared" si="140"/>
        <v>26.894136617382109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977.33523002891206</v>
      </c>
      <c r="H139" s="67">
        <f t="shared" si="110"/>
        <v>513.8445946086066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8.1590000000000025</v>
      </c>
      <c r="N139" s="13">
        <f>IF('Données projet'!$A$36&gt;35,N138+M139-V138,IF(A139&lt;'Données projet'!$A$36,$K$205^A139,IF(A139='Données projet'!$A$36,'Données projet'!$B$36,N138+M139-V138)))</f>
        <v>397.95800000000065</v>
      </c>
      <c r="O139" s="13">
        <f>N139*VLOOKUP('Données projet'!$B$9,Paramètres!$A$1:$I$89,3,0)*VLOOKUP('Données projet'!$B$9,Paramètres!$A$1:$I$89,5,0)</f>
        <v>360.07239840000057</v>
      </c>
      <c r="P139" s="13">
        <f t="shared" si="141"/>
        <v>83.633085567444908</v>
      </c>
      <c r="Q139" s="20">
        <f t="shared" si="108"/>
        <v>772.78705124330099</v>
      </c>
      <c r="R139" s="59">
        <f t="shared" si="109"/>
        <v>1066.1203845766343</v>
      </c>
      <c r="S139" s="59">
        <f ca="1">AVERAGE(OFFSET($R$3,0,0,'Données projet'!$E$9+1,1))-AVERAGE(OFFSET($H$3,0,0,'Données projet'!$E$9+1,1))</f>
        <v>399.15057697410413</v>
      </c>
      <c r="T139" s="59">
        <f t="shared" si="142"/>
        <v>182.37700638847298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64.272962837501765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64.272962837501765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8.1590000000000025</v>
      </c>
      <c r="AI139" s="13">
        <f>IF('Données projet'!$A$62&gt;35,AI138+AH139-AQ138,IF(A139&lt;'Données projet'!$A$62,$AF$205^A139,IF(A139='Données projet'!$A$62,'Données projet'!$B$62,AI138+AH139-AQ138)))</f>
        <v>397.95800000000065</v>
      </c>
      <c r="AJ139" s="13">
        <f>AI139*VLOOKUP('Données projet'!$B$10,Paramètres!$A$1:$I$89,3,0)*VLOOKUP('Données projet'!$B$10,Paramètres!$A$1:$I$89,5,0)</f>
        <v>403.52941200000066</v>
      </c>
      <c r="AK139" s="13">
        <f t="shared" si="143"/>
        <v>92.491833093116057</v>
      </c>
      <c r="AL139" s="20">
        <f t="shared" si="112"/>
        <v>863.90366853717831</v>
      </c>
      <c r="AM139" s="59">
        <f t="shared" si="113"/>
        <v>1157.2370018705117</v>
      </c>
      <c r="AN139" s="59">
        <f ca="1">AVERAGE(OFFSET($AM$3,0,0,'Données projet'!$E$10+1,1))-AVERAGE(OFFSET($H$3,0,0,'Données projet'!$E$10+1,1))</f>
        <v>463.77045964052894</v>
      </c>
      <c r="AO139" s="59">
        <f t="shared" si="144"/>
        <v>209.77146243694483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72.030044559269214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72.030044559269214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8.1590000000000025</v>
      </c>
      <c r="BD139" s="12">
        <f>IF('Données projet'!$A$88&gt;35,BD138+BC139-BL138,IF(A139&lt;'Données projet'!$A$88,$BA$205^A139,IF(A139='Données projet'!$A$88,'Données projet'!$B$88,BD138+BC139-BL138)))</f>
        <v>397.95800000000065</v>
      </c>
      <c r="BE139" s="13">
        <f>BD139*VLOOKUP('Données projet'!$B$11,Paramètres!$A$1:$I$89,3,0)*VLOOKUP('Données projet'!$B$11,Paramètres!$A$1:$I$89,5,0)</f>
        <v>384.90497760000062</v>
      </c>
      <c r="BF139" s="13">
        <f t="shared" si="145"/>
        <v>88.709563383658136</v>
      </c>
      <c r="BG139" s="20">
        <f t="shared" si="115"/>
        <v>824.87865887987221</v>
      </c>
      <c r="BH139" s="59">
        <f t="shared" si="116"/>
        <v>1118.2119922132056</v>
      </c>
      <c r="BI139" s="59">
        <f ca="1">AVERAGE(OFFSET($BH$3,0,0,'Données projet'!$E$11+1,1))-AVERAGE(OFFSET($H$3,0,0,'Données projet'!$E$11+1,1))</f>
        <v>436.0942819360734</v>
      </c>
      <c r="BJ139" s="59">
        <f t="shared" si="146"/>
        <v>198.03942180876311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68.70558096422603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68.70558096422603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>
        <f>BY139*VLOOKUP('Données projet'!$B$12,Paramètres!$A$1:$I$89,3,0)*VLOOKUP('Données projet'!$B$12,Paramètres!$A$1:$I$89,5,0)</f>
        <v>0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183.99578440773581</v>
      </c>
      <c r="CE139" s="59">
        <f t="shared" si="148"/>
        <v>258.43295338669657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6.2003778801113825</v>
      </c>
      <c r="CL139" s="21">
        <f>EXP(-LN(2)/25)*CL138+(1-EXP(-LN(2)/25))/(LN(2)/25)*Calculateur!CG139*Calculateur!CI139*VLOOKUP('Données projet'!$B$12,Paramètres!$A$1:$I$89,3,0)*0.475*44/12</f>
        <v>1.8385790615442412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8.0389569416556235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100.44839999999968</v>
      </c>
      <c r="D140" s="11">
        <f t="shared" si="140"/>
        <v>27.068794833452092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984.34325836348728</v>
      </c>
      <c r="H140" s="67">
        <f t="shared" si="110"/>
        <v>515.42578100159517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8.1590000000000025</v>
      </c>
      <c r="N140" s="13">
        <f>IF('Données projet'!$A$36&gt;35,N139+M140-V139,IF(A140&lt;'Données projet'!$A$36,$K$205^A140,IF(A140='Données projet'!$A$36,'Données projet'!$B$36,N139+M140-V139)))</f>
        <v>406.11700000000064</v>
      </c>
      <c r="O140" s="13">
        <f>N140*VLOOKUP('Données projet'!$B$9,Paramètres!$A$1:$I$89,3,0)*VLOOKUP('Données projet'!$B$9,Paramètres!$A$1:$I$89,5,0)</f>
        <v>367.45466160000058</v>
      </c>
      <c r="P140" s="13">
        <f t="shared" si="141"/>
        <v>85.146364255773364</v>
      </c>
      <c r="Q140" s="20">
        <f t="shared" si="108"/>
        <v>788.28012003213962</v>
      </c>
      <c r="R140" s="59">
        <f t="shared" si="109"/>
        <v>1081.6134533654729</v>
      </c>
      <c r="S140" s="59">
        <f ca="1">AVERAGE(OFFSET($R$3,0,0,'Données projet'!$E$9+1,1))-AVERAGE(OFFSET($H$3,0,0,'Données projet'!$E$9+1,1))</f>
        <v>399.15057697410413</v>
      </c>
      <c r="T140" s="59">
        <f t="shared" si="142"/>
        <v>182.37700638847298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63.012609238894747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63.012609238894747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8.1590000000000025</v>
      </c>
      <c r="AI140" s="13">
        <f>IF('Données projet'!$A$62&gt;35,AI139+AH140-AQ139,IF(A140&lt;'Données projet'!$A$62,$AF$205^A140,IF(A140='Données projet'!$A$62,'Données projet'!$B$62,AI139+AH140-AQ139)))</f>
        <v>406.11700000000064</v>
      </c>
      <c r="AJ140" s="13">
        <f>AI140*VLOOKUP('Données projet'!$B$10,Paramètres!$A$1:$I$89,3,0)*VLOOKUP('Données projet'!$B$10,Paramètres!$A$1:$I$89,5,0)</f>
        <v>411.80263800000068</v>
      </c>
      <c r="AK140" s="13">
        <f t="shared" si="143"/>
        <v>94.165404251164176</v>
      </c>
      <c r="AL140" s="20">
        <f t="shared" si="112"/>
        <v>881.22767358744534</v>
      </c>
      <c r="AM140" s="59">
        <f t="shared" si="113"/>
        <v>1174.5610069207787</v>
      </c>
      <c r="AN140" s="59">
        <f ca="1">AVERAGE(OFFSET($AM$3,0,0,'Données projet'!$E$10+1,1))-AVERAGE(OFFSET($H$3,0,0,'Données projet'!$E$10+1,1))</f>
        <v>463.77045964052894</v>
      </c>
      <c r="AO140" s="59">
        <f t="shared" si="144"/>
        <v>209.77146243694483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70.617579319451011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70.617579319451011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8.1590000000000025</v>
      </c>
      <c r="BD140" s="12">
        <f>IF('Données projet'!$A$88&gt;35,BD139+BC140-BL139,IF(A140&lt;'Données projet'!$A$88,$BA$205^A140,IF(A140='Données projet'!$A$88,'Données projet'!$B$88,BD139+BC140-BL139)))</f>
        <v>406.11700000000064</v>
      </c>
      <c r="BE140" s="13">
        <f>BD140*VLOOKUP('Données projet'!$B$11,Paramètres!$A$1:$I$89,3,0)*VLOOKUP('Données projet'!$B$11,Paramètres!$A$1:$I$89,5,0)</f>
        <v>392.79636240000065</v>
      </c>
      <c r="BF140" s="13">
        <f t="shared" si="145"/>
        <v>90.314697175011091</v>
      </c>
      <c r="BG140" s="20">
        <f t="shared" si="115"/>
        <v>841.41842875981195</v>
      </c>
      <c r="BH140" s="59">
        <f t="shared" si="116"/>
        <v>1134.7517620931453</v>
      </c>
      <c r="BI140" s="59">
        <f ca="1">AVERAGE(OFFSET($BH$3,0,0,'Données projet'!$E$11+1,1))-AVERAGE(OFFSET($H$3,0,0,'Données projet'!$E$11+1,1))</f>
        <v>436.0942819360734</v>
      </c>
      <c r="BJ140" s="59">
        <f t="shared" si="146"/>
        <v>198.03942180876311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67.358306427784044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67.358306427784044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>
        <f>BY140*VLOOKUP('Données projet'!$B$12,Paramètres!$A$1:$I$89,3,0)*VLOOKUP('Données projet'!$B$12,Paramètres!$A$1:$I$89,5,0)</f>
        <v>0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183.99578440773581</v>
      </c>
      <c r="CE140" s="59">
        <f t="shared" si="148"/>
        <v>258.43295338669657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6.0787922517394781</v>
      </c>
      <c r="CL140" s="21">
        <f>EXP(-LN(2)/25)*CL139+(1-EXP(-LN(2)/25))/(LN(2)/25)*Calculateur!CG140*Calculateur!CI140*VLOOKUP('Données projet'!$B$12,Paramètres!$A$1:$I$89,3,0)*0.475*44/12</f>
        <v>1.7883030204196433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7.867095272159121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101.18159999999968</v>
      </c>
      <c r="D141" s="11">
        <f t="shared" si="140"/>
        <v>27.243304715412286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991.35014166282929</v>
      </c>
      <c r="H141" s="67">
        <f t="shared" si="110"/>
        <v>517.00670904600918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8.1590000000000025</v>
      </c>
      <c r="N141" s="13">
        <f>IF('Données projet'!$A$36&gt;35,N140+M141-V140,IF(A141&lt;'Données projet'!$A$36,$K$205^A141,IF(A141='Données projet'!$A$36,'Données projet'!$B$36,N140+M141-V140)))</f>
        <v>414.27600000000064</v>
      </c>
      <c r="O141" s="13">
        <f>N141*VLOOKUP('Données projet'!$B$9,Paramètres!$A$1:$I$89,3,0)*VLOOKUP('Données projet'!$B$9,Paramètres!$A$1:$I$89,5,0)</f>
        <v>374.83692480000053</v>
      </c>
      <c r="P141" s="13">
        <f t="shared" si="141"/>
        <v>86.656108013910185</v>
      </c>
      <c r="Q141" s="20">
        <f t="shared" si="108"/>
        <v>803.76703215089447</v>
      </c>
      <c r="R141" s="59">
        <f t="shared" si="109"/>
        <v>1097.1003654842277</v>
      </c>
      <c r="S141" s="59">
        <f ca="1">AVERAGE(OFFSET($R$3,0,0,'Données projet'!$E$9+1,1))-AVERAGE(OFFSET($H$3,0,0,'Données projet'!$E$9+1,1))</f>
        <v>399.15057697410413</v>
      </c>
      <c r="T141" s="59">
        <f t="shared" si="142"/>
        <v>182.37700638847298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61.776970405616623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61.776970405616623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8.1590000000000025</v>
      </c>
      <c r="AI141" s="13">
        <f>IF('Données projet'!$A$62&gt;35,AI140+AH141-AQ140,IF(A141&lt;'Données projet'!$A$62,$AF$205^A141,IF(A141='Données projet'!$A$62,'Données projet'!$B$62,AI140+AH141-AQ140)))</f>
        <v>414.27600000000064</v>
      </c>
      <c r="AJ141" s="13">
        <f>AI141*VLOOKUP('Données projet'!$B$10,Paramètres!$A$1:$I$89,3,0)*VLOOKUP('Données projet'!$B$10,Paramètres!$A$1:$I$89,5,0)</f>
        <v>420.07586400000065</v>
      </c>
      <c r="AK141" s="13">
        <f t="shared" si="143"/>
        <v>95.835066045220003</v>
      </c>
      <c r="AL141" s="20">
        <f t="shared" si="112"/>
        <v>898.54486982875926</v>
      </c>
      <c r="AM141" s="59">
        <f t="shared" si="113"/>
        <v>1191.8782031620926</v>
      </c>
      <c r="AN141" s="59">
        <f ca="1">AVERAGE(OFFSET($AM$3,0,0,'Données projet'!$E$10+1,1))-AVERAGE(OFFSET($H$3,0,0,'Données projet'!$E$10+1,1))</f>
        <v>463.77045964052894</v>
      </c>
      <c r="AO141" s="59">
        <f t="shared" si="144"/>
        <v>209.77146243694483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69.232811661466911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69.232811661466911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8.1590000000000025</v>
      </c>
      <c r="BD141" s="12">
        <f>IF('Données projet'!$A$88&gt;35,BD140+BC141-BL140,IF(A141&lt;'Données projet'!$A$88,$BA$205^A141,IF(A141='Données projet'!$A$88,'Données projet'!$B$88,BD140+BC141-BL140)))</f>
        <v>414.27600000000064</v>
      </c>
      <c r="BE141" s="13">
        <f>BD141*VLOOKUP('Données projet'!$B$11,Paramètres!$A$1:$I$89,3,0)*VLOOKUP('Données projet'!$B$11,Paramètres!$A$1:$I$89,5,0)</f>
        <v>400.68774720000062</v>
      </c>
      <c r="BF141" s="13">
        <f t="shared" si="145"/>
        <v>91.916081468043174</v>
      </c>
      <c r="BG141" s="20">
        <f t="shared" si="115"/>
        <v>857.95166826350953</v>
      </c>
      <c r="BH141" s="59">
        <f t="shared" si="116"/>
        <v>1151.2850015968429</v>
      </c>
      <c r="BI141" s="59">
        <f ca="1">AVERAGE(OFFSET($BH$3,0,0,'Données projet'!$E$11+1,1))-AVERAGE(OFFSET($H$3,0,0,'Données projet'!$E$11+1,1))</f>
        <v>436.0942819360734</v>
      </c>
      <c r="BJ141" s="59">
        <f t="shared" si="146"/>
        <v>198.03942180876311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66.037451123245361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66.037451123245361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>
        <f>BY141*VLOOKUP('Données projet'!$B$12,Paramètres!$A$1:$I$89,3,0)*VLOOKUP('Données projet'!$B$12,Paramètres!$A$1:$I$89,5,0)</f>
        <v>0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183.99578440773581</v>
      </c>
      <c r="CE141" s="59">
        <f t="shared" si="148"/>
        <v>258.43295338669657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5.9595908433800355</v>
      </c>
      <c r="CL141" s="21">
        <f>EXP(-LN(2)/25)*CL140+(1-EXP(-LN(2)/25))/(LN(2)/25)*Calculateur!CG141*Calculateur!CI141*VLOOKUP('Données projet'!$B$12,Paramètres!$A$1:$I$89,3,0)*0.475*44/12</f>
        <v>1.7394017802834996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7.6989926236635355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101.91479999999967</v>
      </c>
      <c r="D142" s="11">
        <f t="shared" si="140"/>
        <v>27.417667462779246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998.35588918636347</v>
      </c>
      <c r="H142" s="67">
        <f t="shared" si="110"/>
        <v>518.58738083100661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8.1590000000000025</v>
      </c>
      <c r="N142" s="13">
        <f>IF('Données projet'!$A$36&gt;35,N141+M142-V141,IF(A142&lt;'Données projet'!$A$36,$K$205^A142,IF(A142='Données projet'!$A$36,'Données projet'!$B$36,N141+M142-V141)))</f>
        <v>422.43500000000063</v>
      </c>
      <c r="O142" s="13">
        <f>N142*VLOOKUP('Données projet'!$B$9,Paramètres!$A$1:$I$89,3,0)*VLOOKUP('Données projet'!$B$9,Paramètres!$A$1:$I$89,5,0)</f>
        <v>382.21918800000054</v>
      </c>
      <c r="P142" s="13">
        <f t="shared" si="141"/>
        <v>88.162394485655341</v>
      </c>
      <c r="Q142" s="20">
        <f t="shared" si="108"/>
        <v>819.24792282918395</v>
      </c>
      <c r="R142" s="59">
        <f t="shared" si="109"/>
        <v>1112.5812561625173</v>
      </c>
      <c r="S142" s="59">
        <f ca="1">AVERAGE(OFFSET($R$3,0,0,'Données projet'!$E$9+1,1))-AVERAGE(OFFSET($H$3,0,0,'Données projet'!$E$9+1,1))</f>
        <v>399.15057697410413</v>
      </c>
      <c r="T142" s="59">
        <f t="shared" si="142"/>
        <v>182.37700638847298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60.565561696193818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60.565561696193818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8.1590000000000025</v>
      </c>
      <c r="AI142" s="13">
        <f>IF('Données projet'!$A$62&gt;35,AI141+AH142-AQ141,IF(A142&lt;'Données projet'!$A$62,$AF$205^A142,IF(A142='Données projet'!$A$62,'Données projet'!$B$62,AI141+AH142-AQ141)))</f>
        <v>422.43500000000063</v>
      </c>
      <c r="AJ142" s="13">
        <f>AI142*VLOOKUP('Données projet'!$B$10,Paramètres!$A$1:$I$89,3,0)*VLOOKUP('Données projet'!$B$10,Paramètres!$A$1:$I$89,5,0)</f>
        <v>428.34909000000067</v>
      </c>
      <c r="AK142" s="13">
        <f t="shared" si="143"/>
        <v>97.500904343422292</v>
      </c>
      <c r="AL142" s="20">
        <f t="shared" si="112"/>
        <v>915.85540681479506</v>
      </c>
      <c r="AM142" s="59">
        <f t="shared" si="113"/>
        <v>1209.1887401481283</v>
      </c>
      <c r="AN142" s="59">
        <f ca="1">AVERAGE(OFFSET($AM$3,0,0,'Données projet'!$E$10+1,1))-AVERAGE(OFFSET($H$3,0,0,'Données projet'!$E$10+1,1))</f>
        <v>463.77045964052894</v>
      </c>
      <c r="AO142" s="59">
        <f t="shared" si="144"/>
        <v>209.77146243694483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67.875198452631011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67.875198452631011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8.1590000000000025</v>
      </c>
      <c r="BD142" s="12">
        <f>IF('Données projet'!$A$88&gt;35,BD141+BC142-BL141,IF(A142&lt;'Données projet'!$A$88,$BA$205^A142,IF(A142='Données projet'!$A$88,'Données projet'!$B$88,BD141+BC142-BL141)))</f>
        <v>422.43500000000063</v>
      </c>
      <c r="BE142" s="13">
        <f>BD142*VLOOKUP('Données projet'!$B$11,Paramètres!$A$1:$I$89,3,0)*VLOOKUP('Données projet'!$B$11,Paramètres!$A$1:$I$89,5,0)</f>
        <v>408.57913200000064</v>
      </c>
      <c r="BF142" s="13">
        <f t="shared" si="145"/>
        <v>93.513798619486451</v>
      </c>
      <c r="BG142" s="20">
        <f t="shared" si="115"/>
        <v>874.47852082893996</v>
      </c>
      <c r="BH142" s="59">
        <f t="shared" si="116"/>
        <v>1167.8118541622732</v>
      </c>
      <c r="BI142" s="59">
        <f ca="1">AVERAGE(OFFSET($BH$3,0,0,'Données projet'!$E$11+1,1))-AVERAGE(OFFSET($H$3,0,0,'Données projet'!$E$11+1,1))</f>
        <v>436.0942819360734</v>
      </c>
      <c r="BJ142" s="59">
        <f t="shared" si="146"/>
        <v>198.03942180876311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64.742496985586499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64.742496985586499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>
        <f>BY142*VLOOKUP('Données projet'!$B$12,Paramètres!$A$1:$I$89,3,0)*VLOOKUP('Données projet'!$B$12,Paramètres!$A$1:$I$89,5,0)</f>
        <v>0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183.99578440773581</v>
      </c>
      <c r="CE142" s="59">
        <f t="shared" si="148"/>
        <v>258.43295338669657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5.8427269019328421</v>
      </c>
      <c r="CL142" s="21">
        <f>EXP(-LN(2)/25)*CL141+(1-EXP(-LN(2)/25))/(LN(2)/25)*Calculateur!CG142*Calculateur!CI142*VLOOKUP('Données projet'!$B$12,Paramètres!$A$1:$I$89,3,0)*0.475*44/12</f>
        <v>1.6918377471304831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7.5345646490633253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102.64799999999967</v>
      </c>
      <c r="D143" s="11">
        <f t="shared" si="140"/>
        <v>27.591884256812975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1005.3605100525888</v>
      </c>
      <c r="H143" s="67">
        <f t="shared" si="110"/>
        <v>520.16779841394873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8.1590000000000025</v>
      </c>
      <c r="N143" s="13">
        <f>IF('Données projet'!$A$36&gt;35,N142+M143-V142,IF(A143&lt;'Données projet'!$A$36,$K$205^A143,IF(A143='Données projet'!$A$36,'Données projet'!$B$36,N142+M143-V142)))</f>
        <v>430.59400000000062</v>
      </c>
      <c r="O143" s="13">
        <f>N143*VLOOKUP('Données projet'!$B$9,Paramètres!$A$1:$I$89,3,0)*VLOOKUP('Données projet'!$B$9,Paramètres!$A$1:$I$89,5,0)</f>
        <v>389.60145120000055</v>
      </c>
      <c r="P143" s="13">
        <f t="shared" si="141"/>
        <v>89.665298143968485</v>
      </c>
      <c r="Q143" s="20">
        <f t="shared" si="108"/>
        <v>834.72292177407928</v>
      </c>
      <c r="R143" s="59">
        <f t="shared" si="109"/>
        <v>1128.0562551074127</v>
      </c>
      <c r="S143" s="59">
        <f ca="1">AVERAGE(OFFSET($R$3,0,0,'Données projet'!$E$9+1,1))-AVERAGE(OFFSET($H$3,0,0,'Données projet'!$E$9+1,1))</f>
        <v>399.15057697410413</v>
      </c>
      <c r="T143" s="59">
        <f t="shared" si="142"/>
        <v>182.37700638847298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59.377907972676439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59.377907972676439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8.1590000000000025</v>
      </c>
      <c r="AI143" s="13">
        <f>IF('Données projet'!$A$62&gt;35,AI142+AH143-AQ142,IF(A143&lt;'Données projet'!$A$62,$AF$205^A143,IF(A143='Données projet'!$A$62,'Données projet'!$B$62,AI142+AH143-AQ142)))</f>
        <v>430.59400000000062</v>
      </c>
      <c r="AJ143" s="13">
        <f>AI143*VLOOKUP('Données projet'!$B$10,Paramètres!$A$1:$I$89,3,0)*VLOOKUP('Données projet'!$B$10,Paramètres!$A$1:$I$89,5,0)</f>
        <v>436.62231600000064</v>
      </c>
      <c r="AK143" s="13">
        <f t="shared" si="143"/>
        <v>99.163001507201159</v>
      </c>
      <c r="AL143" s="20">
        <f t="shared" si="112"/>
        <v>933.15942799170989</v>
      </c>
      <c r="AM143" s="59">
        <f t="shared" si="113"/>
        <v>1226.4927613250431</v>
      </c>
      <c r="AN143" s="59">
        <f ca="1">AVERAGE(OFFSET($AM$3,0,0,'Données projet'!$E$10+1,1))-AVERAGE(OFFSET($H$3,0,0,'Données projet'!$E$10+1,1))</f>
        <v>463.77045964052894</v>
      </c>
      <c r="AO143" s="59">
        <f t="shared" si="144"/>
        <v>209.77146243694483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66.544207210758088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66.544207210758088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8.1590000000000025</v>
      </c>
      <c r="BD143" s="12">
        <f>IF('Données projet'!$A$88&gt;35,BD142+BC143-BL142,IF(A143&lt;'Données projet'!$A$88,$BA$205^A143,IF(A143='Données projet'!$A$88,'Données projet'!$B$88,BD142+BC143-BL142)))</f>
        <v>430.59400000000062</v>
      </c>
      <c r="BE143" s="13">
        <f>BD143*VLOOKUP('Données projet'!$B$11,Paramètres!$A$1:$I$89,3,0)*VLOOKUP('Données projet'!$B$11,Paramètres!$A$1:$I$89,5,0)</f>
        <v>416.47051680000061</v>
      </c>
      <c r="BF143" s="13">
        <f t="shared" si="145"/>
        <v>95.107927622763967</v>
      </c>
      <c r="BG143" s="20">
        <f t="shared" si="115"/>
        <v>890.99912403631481</v>
      </c>
      <c r="BH143" s="59">
        <f t="shared" si="116"/>
        <v>1184.3324573696482</v>
      </c>
      <c r="BI143" s="59">
        <f ca="1">AVERAGE(OFFSET($BH$3,0,0,'Données projet'!$E$11+1,1))-AVERAGE(OFFSET($H$3,0,0,'Données projet'!$E$11+1,1))</f>
        <v>436.0942819360734</v>
      </c>
      <c r="BJ143" s="59">
        <f t="shared" si="146"/>
        <v>198.03942180876311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63.47293610872309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63.47293610872309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>
        <f>BY143*VLOOKUP('Données projet'!$B$12,Paramètres!$A$1:$I$89,3,0)*VLOOKUP('Données projet'!$B$12,Paramètres!$A$1:$I$89,5,0)</f>
        <v>0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183.99578440773581</v>
      </c>
      <c r="CE143" s="59">
        <f t="shared" si="148"/>
        <v>258.43295338669657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5.7281545910974616</v>
      </c>
      <c r="CL143" s="21">
        <f>EXP(-LN(2)/25)*CL142+(1-EXP(-LN(2)/25))/(LN(2)/25)*Calculateur!CG143*Calculateur!CI143*VLOOKUP('Données projet'!$B$12,Paramètres!$A$1:$I$89,3,0)*0.475*44/12</f>
        <v>1.6455743549653197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7.3737289460627817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103.38119999999967</v>
      </c>
      <c r="D144" s="11">
        <f t="shared" si="140"/>
        <v>27.765956260923254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1012.3640132422121</v>
      </c>
      <c r="H144" s="67">
        <f t="shared" si="110"/>
        <v>521.74796382110731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8.1590000000000025</v>
      </c>
      <c r="N144" s="13">
        <f>IF('Données projet'!$A$36&gt;35,N143+M144-V143,IF(A144&lt;'Données projet'!$A$36,$K$205^A144,IF(A144='Données projet'!$A$36,'Données projet'!$B$36,N143+M144-V143)))</f>
        <v>438.75300000000061</v>
      </c>
      <c r="O144" s="13">
        <f>N144*VLOOKUP('Données projet'!$B$9,Paramètres!$A$1:$I$89,3,0)*VLOOKUP('Données projet'!$B$9,Paramètres!$A$1:$I$89,5,0)</f>
        <v>396.98371440000057</v>
      </c>
      <c r="P144" s="13">
        <f t="shared" si="141"/>
        <v>91.164890478045521</v>
      </c>
      <c r="Q144" s="20">
        <f t="shared" si="108"/>
        <v>850.19215349593026</v>
      </c>
      <c r="R144" s="59">
        <f t="shared" si="109"/>
        <v>1143.5254868292636</v>
      </c>
      <c r="S144" s="59">
        <f ca="1">AVERAGE(OFFSET($R$3,0,0,'Données projet'!$E$9+1,1))-AVERAGE(OFFSET($H$3,0,0,'Données projet'!$E$9+1,1))</f>
        <v>399.15057697410413</v>
      </c>
      <c r="T144" s="59">
        <f t="shared" si="142"/>
        <v>182.37700638847298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58.213543414279989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58.213543414279989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8.1590000000000025</v>
      </c>
      <c r="AI144" s="13">
        <f>IF('Données projet'!$A$62&gt;35,AI143+AH144-AQ143,IF(A144&lt;'Données projet'!$A$62,$AF$205^A144,IF(A144='Données projet'!$A$62,'Données projet'!$B$62,AI143+AH144-AQ143)))</f>
        <v>438.75300000000061</v>
      </c>
      <c r="AJ144" s="13">
        <f>AI144*VLOOKUP('Données projet'!$B$10,Paramètres!$A$1:$I$89,3,0)*VLOOKUP('Données projet'!$B$10,Paramètres!$A$1:$I$89,5,0)</f>
        <v>444.89554200000066</v>
      </c>
      <c r="AK144" s="13">
        <f t="shared" si="143"/>
        <v>100.82143659817152</v>
      </c>
      <c r="AL144" s="20">
        <f t="shared" si="112"/>
        <v>950.45707105848317</v>
      </c>
      <c r="AM144" s="59">
        <f t="shared" si="113"/>
        <v>1243.7904043918165</v>
      </c>
      <c r="AN144" s="59">
        <f ca="1">AVERAGE(OFFSET($AM$3,0,0,'Données projet'!$E$10+1,1))-AVERAGE(OFFSET($H$3,0,0,'Données projet'!$E$10+1,1))</f>
        <v>463.77045964052894</v>
      </c>
      <c r="AO144" s="59">
        <f t="shared" si="144"/>
        <v>209.77146243694483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65.239315895313794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65.239315895313794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8.1590000000000025</v>
      </c>
      <c r="BD144" s="12">
        <f>IF('Données projet'!$A$88&gt;35,BD143+BC144-BL143,IF(A144&lt;'Données projet'!$A$88,$BA$205^A144,IF(A144='Données projet'!$A$88,'Données projet'!$B$88,BD143+BC144-BL143)))</f>
        <v>438.75300000000061</v>
      </c>
      <c r="BE144" s="13">
        <f>BD144*VLOOKUP('Données projet'!$B$11,Paramètres!$A$1:$I$89,3,0)*VLOOKUP('Données projet'!$B$11,Paramètres!$A$1:$I$89,5,0)</f>
        <v>424.36190160000064</v>
      </c>
      <c r="BF144" s="13">
        <f t="shared" si="145"/>
        <v>96.698544306422932</v>
      </c>
      <c r="BG144" s="20">
        <f t="shared" si="115"/>
        <v>907.51360995368759</v>
      </c>
      <c r="BH144" s="59">
        <f t="shared" si="116"/>
        <v>1200.8469432870208</v>
      </c>
      <c r="BI144" s="59">
        <f ca="1">AVERAGE(OFFSET($BH$3,0,0,'Données projet'!$E$11+1,1))-AVERAGE(OFFSET($H$3,0,0,'Données projet'!$E$11+1,1))</f>
        <v>436.0942819360734</v>
      </c>
      <c r="BJ144" s="59">
        <f t="shared" si="146"/>
        <v>198.03942180876311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62.228270546299299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62.228270546299299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>
        <f>BY144*VLOOKUP('Données projet'!$B$12,Paramètres!$A$1:$I$89,3,0)*VLOOKUP('Données projet'!$B$12,Paramètres!$A$1:$I$89,5,0)</f>
        <v>0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183.99578440773581</v>
      </c>
      <c r="CE144" s="59">
        <f t="shared" si="148"/>
        <v>258.43295338669657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5.6158289733953541</v>
      </c>
      <c r="CL144" s="21">
        <f>EXP(-LN(2)/25)*CL143+(1-EXP(-LN(2)/25))/(LN(2)/25)*Calculateur!CG144*Calculateur!CI144*VLOOKUP('Données projet'!$B$12,Paramètres!$A$1:$I$89,3,0)*0.475*44/12</f>
        <v>1.6005760376917988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7.2164050110871525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104.11439999999966</v>
      </c>
      <c r="D145" s="11">
        <f t="shared" si="140"/>
        <v>27.939884621063818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1019.3664076011919</v>
      </c>
      <c r="H145" s="67">
        <f t="shared" si="110"/>
        <v>523.3278790483522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8.1590000000000025</v>
      </c>
      <c r="N145" s="13">
        <f>IF('Données projet'!$A$36&gt;35,N144+M145-V144,IF(A145&lt;'Données projet'!$A$36,$K$205^A145,IF(A145='Données projet'!$A$36,'Données projet'!$B$36,N144+M145-V144)))</f>
        <v>446.9120000000006</v>
      </c>
      <c r="O145" s="13">
        <f>N145*VLOOKUP('Données projet'!$B$9,Paramètres!$A$1:$I$89,3,0)*VLOOKUP('Données projet'!$B$9,Paramètres!$A$1:$I$89,5,0)</f>
        <v>404.36597760000052</v>
      </c>
      <c r="P145" s="13">
        <f t="shared" si="141"/>
        <v>92.66124016608812</v>
      </c>
      <c r="Q145" s="20">
        <f t="shared" si="108"/>
        <v>865.655737609271</v>
      </c>
      <c r="R145" s="59">
        <f t="shared" si="109"/>
        <v>1158.9890709426043</v>
      </c>
      <c r="S145" s="59">
        <f ca="1">AVERAGE(OFFSET($R$3,0,0,'Données projet'!$E$9+1,1))-AVERAGE(OFFSET($H$3,0,0,'Données projet'!$E$9+1,1))</f>
        <v>399.15057697410413</v>
      </c>
      <c r="T145" s="59">
        <f t="shared" si="142"/>
        <v>182.37700638847298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57.072011334681441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57.072011334681441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8.1590000000000025</v>
      </c>
      <c r="AI145" s="13">
        <f>IF('Données projet'!$A$62&gt;35,AI144+AH145-AQ144,IF(A145&lt;'Données projet'!$A$62,$AF$205^A145,IF(A145='Données projet'!$A$62,'Données projet'!$B$62,AI144+AH145-AQ144)))</f>
        <v>446.9120000000006</v>
      </c>
      <c r="AJ145" s="13">
        <f>AI145*VLOOKUP('Données projet'!$B$10,Paramètres!$A$1:$I$89,3,0)*VLOOKUP('Données projet'!$B$10,Paramètres!$A$1:$I$89,5,0)</f>
        <v>453.16876800000063</v>
      </c>
      <c r="AK145" s="13">
        <f t="shared" si="143"/>
        <v>102.47628556920169</v>
      </c>
      <c r="AL145" s="20">
        <f t="shared" si="112"/>
        <v>967.74846829969408</v>
      </c>
      <c r="AM145" s="59">
        <f t="shared" si="113"/>
        <v>1261.0818016330275</v>
      </c>
      <c r="AN145" s="59">
        <f ca="1">AVERAGE(OFFSET($AM$3,0,0,'Données projet'!$E$10+1,1))-AVERAGE(OFFSET($H$3,0,0,'Données projet'!$E$10+1,1))</f>
        <v>463.77045964052894</v>
      </c>
      <c r="AO145" s="59">
        <f t="shared" si="144"/>
        <v>209.77146243694483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63.960012702660251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63.960012702660251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8.1590000000000025</v>
      </c>
      <c r="BD145" s="12">
        <f>IF('Données projet'!$A$88&gt;35,BD144+BC145-BL144,IF(A145&lt;'Données projet'!$A$88,$BA$205^A145,IF(A145='Données projet'!$A$88,'Données projet'!$B$88,BD144+BC145-BL144)))</f>
        <v>446.9120000000006</v>
      </c>
      <c r="BE145" s="13">
        <f>BD145*VLOOKUP('Données projet'!$B$11,Paramètres!$A$1:$I$89,3,0)*VLOOKUP('Données projet'!$B$11,Paramètres!$A$1:$I$89,5,0)</f>
        <v>432.25328640000055</v>
      </c>
      <c r="BF145" s="13">
        <f t="shared" si="145"/>
        <v>98.2857215173903</v>
      </c>
      <c r="BG145" s="20">
        <f t="shared" si="115"/>
        <v>924.02210545612218</v>
      </c>
      <c r="BH145" s="59">
        <f t="shared" si="116"/>
        <v>1217.3554387894555</v>
      </c>
      <c r="BI145" s="59">
        <f ca="1">AVERAGE(OFFSET($BH$3,0,0,'Données projet'!$E$11+1,1))-AVERAGE(OFFSET($H$3,0,0,'Données projet'!$E$11+1,1))</f>
        <v>436.0942819360734</v>
      </c>
      <c r="BJ145" s="59">
        <f t="shared" si="146"/>
        <v>198.03942180876311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61.008012116383611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61.008012116383611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>
        <f>BY145*VLOOKUP('Données projet'!$B$12,Paramètres!$A$1:$I$89,3,0)*VLOOKUP('Données projet'!$B$12,Paramètres!$A$1:$I$89,5,0)</f>
        <v>0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183.99578440773581</v>
      </c>
      <c r="CE145" s="59">
        <f t="shared" si="148"/>
        <v>258.43295338669657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5.5057059925445229</v>
      </c>
      <c r="CL145" s="21">
        <f>EXP(-LN(2)/25)*CL144+(1-EXP(-LN(2)/25))/(LN(2)/25)*Calculateur!CG145*Calculateur!CI145*VLOOKUP('Données projet'!$B$12,Paramètres!$A$1:$I$89,3,0)*0.475*44/12</f>
        <v>1.556808201770481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7.0625141943150034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104.84759999999966</v>
      </c>
      <c r="D146" s="11">
        <f t="shared" si="140"/>
        <v>28.113670466115568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1026.3677018436965</v>
      </c>
      <c r="H146" s="67">
        <f t="shared" si="110"/>
        <v>524.90754606181736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8.1590000000000025</v>
      </c>
      <c r="N146" s="13">
        <f>IF('Données projet'!$A$36&gt;35,N145+M146-V145,IF(A146&lt;'Données projet'!$A$36,$K$205^A146,IF(A146='Données projet'!$A$36,'Données projet'!$B$36,N145+M146-V145)))</f>
        <v>455.07100000000059</v>
      </c>
      <c r="O146" s="13">
        <f>N146*VLOOKUP('Données projet'!$B$9,Paramètres!$A$1:$I$89,3,0)*VLOOKUP('Données projet'!$B$9,Paramètres!$A$1:$I$89,5,0)</f>
        <v>411.74824080000053</v>
      </c>
      <c r="P146" s="13">
        <f t="shared" si="141"/>
        <v>94.15441323509782</v>
      </c>
      <c r="Q146" s="20">
        <f t="shared" si="108"/>
        <v>881.11378911112968</v>
      </c>
      <c r="R146" s="59">
        <f t="shared" si="109"/>
        <v>1174.447122444463</v>
      </c>
      <c r="S146" s="59">
        <f ca="1">AVERAGE(OFFSET($R$3,0,0,'Données projet'!$E$9+1,1))-AVERAGE(OFFSET($H$3,0,0,'Données projet'!$E$9+1,1))</f>
        <v>399.15057697410413</v>
      </c>
      <c r="T146" s="59">
        <f t="shared" si="142"/>
        <v>182.37700638847298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55.952864002898004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55.952864002898004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8.1590000000000025</v>
      </c>
      <c r="AI146" s="13">
        <f>IF('Données projet'!$A$62&gt;35,AI145+AH146-AQ145,IF(A146&lt;'Données projet'!$A$62,$AF$205^A146,IF(A146='Données projet'!$A$62,'Données projet'!$B$62,AI145+AH146-AQ145)))</f>
        <v>455.07100000000059</v>
      </c>
      <c r="AJ146" s="13">
        <f>AI146*VLOOKUP('Données projet'!$B$10,Paramètres!$A$1:$I$89,3,0)*VLOOKUP('Données projet'!$B$10,Paramètres!$A$1:$I$89,5,0)</f>
        <v>461.44199400000065</v>
      </c>
      <c r="AK146" s="13">
        <f t="shared" si="143"/>
        <v>104.12762144113498</v>
      </c>
      <c r="AL146" s="20">
        <f t="shared" si="112"/>
        <v>985.03374689331122</v>
      </c>
      <c r="AM146" s="59">
        <f t="shared" si="113"/>
        <v>1278.3670802266445</v>
      </c>
      <c r="AN146" s="59">
        <f ca="1">AVERAGE(OFFSET($AM$3,0,0,'Données projet'!$E$10+1,1))-AVERAGE(OFFSET($H$3,0,0,'Données projet'!$E$10+1,1))</f>
        <v>463.77045964052894</v>
      </c>
      <c r="AO146" s="59">
        <f t="shared" si="144"/>
        <v>209.77146243694483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62.705795865316738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62.705795865316738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8.1590000000000025</v>
      </c>
      <c r="BD146" s="12">
        <f>IF('Données projet'!$A$88&gt;35,BD145+BC146-BL145,IF(A146&lt;'Données projet'!$A$88,$BA$205^A146,IF(A146='Données projet'!$A$88,'Données projet'!$B$88,BD145+BC146-BL145)))</f>
        <v>455.07100000000059</v>
      </c>
      <c r="BE146" s="13">
        <f>BD146*VLOOKUP('Données projet'!$B$11,Paramètres!$A$1:$I$89,3,0)*VLOOKUP('Données projet'!$B$11,Paramètres!$A$1:$I$89,5,0)</f>
        <v>440.14467120000057</v>
      </c>
      <c r="BF146" s="13">
        <f t="shared" si="145"/>
        <v>99.869529290466829</v>
      </c>
      <c r="BG146" s="20">
        <f t="shared" si="115"/>
        <v>940.52473252089715</v>
      </c>
      <c r="BH146" s="59">
        <f t="shared" si="116"/>
        <v>1233.8580658542305</v>
      </c>
      <c r="BI146" s="59">
        <f ca="1">AVERAGE(OFFSET($BH$3,0,0,'Données projet'!$E$11+1,1))-AVERAGE(OFFSET($H$3,0,0,'Données projet'!$E$11+1,1))</f>
        <v>436.0942819360734</v>
      </c>
      <c r="BJ146" s="59">
        <f t="shared" si="146"/>
        <v>198.03942180876311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59.811682209994416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59.811682209994416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>
        <f>BY146*VLOOKUP('Données projet'!$B$12,Paramètres!$A$1:$I$89,3,0)*VLOOKUP('Données projet'!$B$12,Paramètres!$A$1:$I$89,5,0)</f>
        <v>0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183.99578440773581</v>
      </c>
      <c r="CE146" s="59">
        <f t="shared" si="148"/>
        <v>258.43295338669657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5.3977424561797909</v>
      </c>
      <c r="CL146" s="21">
        <f>EXP(-LN(2)/25)*CL145+(1-EXP(-LN(2)/25))/(LN(2)/25)*Calculateur!CG146*Calculateur!CI146*VLOOKUP('Données projet'!$B$12,Paramètres!$A$1:$I$89,3,0)*0.475*44/12</f>
        <v>1.514237199624082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6.9119796558038731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105.58079999999966</v>
      </c>
      <c r="D147" s="11">
        <f t="shared" si="140"/>
        <v>28.287314908258214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1033.3679045549729</v>
      </c>
      <c r="H147" s="67">
        <f t="shared" si="110"/>
        <v>526.48696679854902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>
        <f>VLOOKUP(A147,'Données projet'!$A$35:$I$55,2,0)</f>
        <v>463.23</v>
      </c>
      <c r="L147" s="12">
        <f>VLOOKUP(A147,'Données projet'!$A$35:$I$55,9,0)</f>
        <v>8.1590000000000025</v>
      </c>
      <c r="M147" s="12">
        <f t="array" ref="M147">INDEX(L:L,MIN(IF(ISNUMBER(L147:L343),ROW(L147:L343),"")))</f>
        <v>8.1590000000000025</v>
      </c>
      <c r="N147" s="13">
        <f>IF('Données projet'!$A$36&gt;35,N146+M147-V146,IF(A147&lt;'Données projet'!$A$36,$K$205^A147,IF(A147='Données projet'!$A$36,'Données projet'!$B$36,N146+M147-V146)))</f>
        <v>463.23000000000059</v>
      </c>
      <c r="O147" s="13">
        <f>N147*VLOOKUP('Données projet'!$B$9,Paramètres!$A$1:$I$89,3,0)*VLOOKUP('Données projet'!$B$9,Paramètres!$A$1:$I$89,5,0)</f>
        <v>419.13050400000049</v>
      </c>
      <c r="P147" s="13">
        <f t="shared" si="141"/>
        <v>95.644473208887277</v>
      </c>
      <c r="Q147" s="20">
        <f t="shared" si="108"/>
        <v>896.56641863881293</v>
      </c>
      <c r="R147" s="59">
        <f t="shared" si="109"/>
        <v>1189.8997519721463</v>
      </c>
      <c r="S147" s="59">
        <f ca="1">AVERAGE(OFFSET($R$3,0,0,'Données projet'!$E$9+1,1))-AVERAGE(OFFSET($H$3,0,0,'Données projet'!$E$9+1,1))</f>
        <v>399.15057697410413</v>
      </c>
      <c r="T147" s="59">
        <f t="shared" si="142"/>
        <v>182.37700638847298</v>
      </c>
      <c r="U147" s="15">
        <f>IF(ISNA(VLOOKUP(A147,'Données projet'!$A$35:$I$55,3,0)),0,VLOOKUP(A147,'Données projet'!$A$35:$I$55,3,0))</f>
        <v>12</v>
      </c>
      <c r="V147" s="15">
        <f>IF(ISNA(VLOOKUP(A147,'Données projet'!$A$35:$I$55,4,0)),0,VLOOKUP(A147,'Données projet'!$A$35:$I$55,4,0))</f>
        <v>56.01</v>
      </c>
      <c r="W147" s="16">
        <f>IF(ISNA(VLOOKUP(A147,'Données projet'!$A$35:$I$55,5,0)),0%,VLOOKUP(A147,'Données projet'!$A$35:$I$55,5,0)*VLOOKUP('Données projet'!$B$9,Paramètres!$A$1:$I$89,7,0))</f>
        <v>0.25800000000000001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69.309560312196439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69.309560312196439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463.23</v>
      </c>
      <c r="AG147" s="12">
        <f>VLOOKUP(A147,'Données projet'!$A$61:$I$81,9,0)</f>
        <v>8.1590000000000025</v>
      </c>
      <c r="AH147" s="12">
        <f t="array" ref="AH147">INDEX(AG:AG,MIN(IF(ISNUMBER(AG147:AG343),ROW(AG147:AG343),"")))</f>
        <v>8.1590000000000025</v>
      </c>
      <c r="AI147" s="13">
        <f>IF('Données projet'!$A$62&gt;35,AI146+AH147-AQ146,IF(A147&lt;'Données projet'!$A$62,$AF$205^A147,IF(A147='Données projet'!$A$62,'Données projet'!$B$62,AI146+AH147-AQ146)))</f>
        <v>463.23000000000059</v>
      </c>
      <c r="AJ147" s="13">
        <f>AI147*VLOOKUP('Données projet'!$B$10,Paramètres!$A$1:$I$89,3,0)*VLOOKUP('Données projet'!$B$10,Paramètres!$A$1:$I$89,5,0)</f>
        <v>469.71522000000061</v>
      </c>
      <c r="AK147" s="13">
        <f t="shared" si="143"/>
        <v>105.77551446647743</v>
      </c>
      <c r="AL147" s="20">
        <f t="shared" si="112"/>
        <v>1002.3130291957826</v>
      </c>
      <c r="AM147" s="59">
        <f t="shared" si="113"/>
        <v>1295.646362529116</v>
      </c>
      <c r="AN147" s="59">
        <f ca="1">AVERAGE(OFFSET($AM$3,0,0,'Données projet'!$E$10+1,1))-AVERAGE(OFFSET($H$3,0,0,'Données projet'!$E$10+1,1))</f>
        <v>463.77045964052894</v>
      </c>
      <c r="AO147" s="59">
        <f t="shared" si="144"/>
        <v>209.77146243694483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0.25800000000000001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77.674507246427055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77.674507246427055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>
        <f>VLOOKUP(A147,'Données projet'!$A$87:$I$107,2,0)</f>
        <v>463.23</v>
      </c>
      <c r="BB147" s="12">
        <f>VLOOKUP(A147,'Données projet'!$A$87:$I$107,9,0)</f>
        <v>8.1590000000000025</v>
      </c>
      <c r="BC147" s="12">
        <f t="array" ref="BC147">INDEX(BB:BB,MIN(IF(ISNUMBER(BB147:BB343),ROW(BB147:BB343),"")))</f>
        <v>8.1590000000000025</v>
      </c>
      <c r="BD147" s="12">
        <f>IF('Données projet'!$A$88&gt;35,BD146+BC147-BL146,IF(A147&lt;'Données projet'!$A$88,$BA$205^A147,IF(A147='Données projet'!$A$88,'Données projet'!$B$88,BD146+BC147-BL146)))</f>
        <v>463.23000000000059</v>
      </c>
      <c r="BE147" s="13">
        <f>BD147*VLOOKUP('Données projet'!$B$11,Paramètres!$A$1:$I$89,3,0)*VLOOKUP('Données projet'!$B$11,Paramètres!$A$1:$I$89,5,0)</f>
        <v>448.0360560000006</v>
      </c>
      <c r="BF147" s="13">
        <f t="shared" si="145"/>
        <v>101.45003500532212</v>
      </c>
      <c r="BG147" s="20">
        <f t="shared" si="115"/>
        <v>957.02160850093696</v>
      </c>
      <c r="BH147" s="59">
        <f t="shared" si="116"/>
        <v>1250.3549418342702</v>
      </c>
      <c r="BI147" s="59">
        <f ca="1">AVERAGE(OFFSET($BH$3,0,0,'Données projet'!$E$11+1,1))-AVERAGE(OFFSET($H$3,0,0,'Données projet'!$E$11+1,1))</f>
        <v>436.0942819360734</v>
      </c>
      <c r="BJ147" s="59">
        <f t="shared" si="146"/>
        <v>198.03942180876311</v>
      </c>
      <c r="BK147" s="15">
        <f>IF(ISNA(VLOOKUP(A147,'Données projet'!$A$87:$I$107,3,0)),0,VLOOKUP(A147,'Données projet'!$A$87:$I$107,3,0))</f>
        <v>12</v>
      </c>
      <c r="BL147" s="15">
        <f>IF(ISNA(VLOOKUP(A147,'Données projet'!$A$87:$I$107,4,0)),0,VLOOKUP(A147,'Données projet'!$A$87:$I$107,4,0))</f>
        <v>56.01</v>
      </c>
      <c r="BM147" s="16">
        <f>IF(ISNA(VLOOKUP(A147,'Données projet'!$A$87:$I$107,5,0)),0%,VLOOKUP(A147,'Données projet'!$A$87:$I$107,5,0)*VLOOKUP('Données projet'!$B$11,Paramètres!$A$1:$I$89,7,0))</f>
        <v>0.25800000000000001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74.089529988899642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74.089529988899642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>
        <f>BY147*VLOOKUP('Données projet'!$B$12,Paramètres!$A$1:$I$89,3,0)*VLOOKUP('Données projet'!$B$12,Paramètres!$A$1:$I$89,5,0)</f>
        <v>0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183.99578440773581</v>
      </c>
      <c r="CE147" s="59">
        <f t="shared" si="148"/>
        <v>258.43295338669657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5.291896018911916</v>
      </c>
      <c r="CL147" s="21">
        <f>EXP(-LN(2)/25)*CL146+(1-EXP(-LN(2)/25))/(LN(2)/25)*Calculateur!CG147*Calculateur!CI147*VLOOKUP('Données projet'!$B$12,Paramètres!$A$1:$I$89,3,0)*0.475*44/12</f>
        <v>1.4728303037700881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6.7647263226820042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106.31399999999965</v>
      </c>
      <c r="D148" s="11">
        <f t="shared" si="140"/>
        <v>28.460819043331849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1040.3670241941379</v>
      </c>
      <c r="H148" s="67">
        <f t="shared" si="110"/>
        <v>528.06614316713558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8.3249999999999993</v>
      </c>
      <c r="N148" s="13">
        <f>IF('Données projet'!$A$36&gt;35,N147+M148-V147,IF(A148&lt;'Données projet'!$A$36,$K$205^A148,IF(A148='Données projet'!$A$36,'Données projet'!$B$36,N147+M148-V147)))</f>
        <v>415.54500000000058</v>
      </c>
      <c r="O148" s="13">
        <f>N148*VLOOKUP('Données projet'!$B$9,Paramètres!$A$1:$I$89,3,0)*VLOOKUP('Données projet'!$B$9,Paramètres!$A$1:$I$89,5,0)</f>
        <v>375.98511600000052</v>
      </c>
      <c r="P148" s="13">
        <f t="shared" si="141"/>
        <v>86.890611547517153</v>
      </c>
      <c r="Q148" s="20">
        <f t="shared" si="108"/>
        <v>806.17522547859323</v>
      </c>
      <c r="R148" s="59">
        <f t="shared" si="109"/>
        <v>1099.5085588119266</v>
      </c>
      <c r="S148" s="59">
        <f ca="1">AVERAGE(OFFSET($R$3,0,0,'Données projet'!$E$9+1,1))-AVERAGE(OFFSET($H$3,0,0,'Données projet'!$E$9+1,1))</f>
        <v>399.15057697410413</v>
      </c>
      <c r="T148" s="59">
        <f t="shared" si="142"/>
        <v>182.37700638847298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67.950442109131785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67.950442109131785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8.3249999999999993</v>
      </c>
      <c r="AI148" s="13">
        <f>IF('Données projet'!$A$62&gt;35,AI147+AH148-AQ147,IF(A148&lt;'Données projet'!$A$62,$AF$205^A148,IF(A148='Données projet'!$A$62,'Données projet'!$B$62,AI147+AH148-AQ147)))</f>
        <v>415.54500000000058</v>
      </c>
      <c r="AJ148" s="13">
        <f>AI148*VLOOKUP('Données projet'!$B$10,Paramètres!$A$1:$I$89,3,0)*VLOOKUP('Données projet'!$B$10,Paramètres!$A$1:$I$89,5,0)</f>
        <v>421.36263000000059</v>
      </c>
      <c r="AK148" s="13">
        <f t="shared" si="143"/>
        <v>96.094409121503247</v>
      </c>
      <c r="AL148" s="20">
        <f t="shared" si="112"/>
        <v>901.23767646995248</v>
      </c>
      <c r="AM148" s="59">
        <f t="shared" si="113"/>
        <v>1194.5710098032857</v>
      </c>
      <c r="AN148" s="59">
        <f ca="1">AVERAGE(OFFSET($AM$3,0,0,'Données projet'!$E$10+1,1))-AVERAGE(OFFSET($H$3,0,0,'Données projet'!$E$10+1,1))</f>
        <v>463.77045964052894</v>
      </c>
      <c r="AO148" s="59">
        <f t="shared" si="144"/>
        <v>209.77146243694483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76.151357536095972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76.151357536095972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8.3249999999999993</v>
      </c>
      <c r="BD148" s="12">
        <f>IF('Données projet'!$A$88&gt;35,BD147+BC148-BL147,IF(A148&lt;'Données projet'!$A$88,$BA$205^A148,IF(A148='Données projet'!$A$88,'Données projet'!$B$88,BD147+BC148-BL147)))</f>
        <v>415.54500000000058</v>
      </c>
      <c r="BE148" s="13">
        <f>BD148*VLOOKUP('Données projet'!$B$11,Paramètres!$A$1:$I$89,3,0)*VLOOKUP('Données projet'!$B$11,Paramètres!$A$1:$I$89,5,0)</f>
        <v>401.91512400000056</v>
      </c>
      <c r="BF148" s="13">
        <f t="shared" si="145"/>
        <v>92.164819224602709</v>
      </c>
      <c r="BG148" s="20">
        <f t="shared" si="115"/>
        <v>860.52256778285062</v>
      </c>
      <c r="BH148" s="59">
        <f t="shared" si="116"/>
        <v>1153.855901116184</v>
      </c>
      <c r="BI148" s="59">
        <f ca="1">AVERAGE(OFFSET($BH$3,0,0,'Données projet'!$E$11+1,1))-AVERAGE(OFFSET($H$3,0,0,'Données projet'!$E$11+1,1))</f>
        <v>436.0942819360734</v>
      </c>
      <c r="BJ148" s="59">
        <f t="shared" si="146"/>
        <v>198.03942180876311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72.636679495968451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72.636679495968451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>
        <f>BY148*VLOOKUP('Données projet'!$B$12,Paramètres!$A$1:$I$89,3,0)*VLOOKUP('Données projet'!$B$12,Paramètres!$A$1:$I$89,5,0)</f>
        <v>0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183.99578440773581</v>
      </c>
      <c r="CE148" s="59">
        <f t="shared" si="148"/>
        <v>258.43295338669657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5.1881251657189118</v>
      </c>
      <c r="CL148" s="21">
        <f>EXP(-LN(2)/25)*CL147+(1-EXP(-LN(2)/25))/(LN(2)/25)*Calculateur!CG148*Calculateur!CI148*VLOOKUP('Données projet'!$B$12,Paramètres!$A$1:$I$89,3,0)*0.475*44/12</f>
        <v>1.4325556816607155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6.620680847379627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107.04719999999965</v>
      </c>
      <c r="D149" s="11">
        <f t="shared" si="140"/>
        <v>28.634183951187829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1047.3650690968859</v>
      </c>
      <c r="H149" s="67">
        <f t="shared" si="110"/>
        <v>529.64507704831817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8.3249999999999993</v>
      </c>
      <c r="N149" s="13">
        <f>IF('Données projet'!$A$36&gt;35,N148+M149-V148,IF(A149&lt;'Données projet'!$A$36,$K$205^A149,IF(A149='Données projet'!$A$36,'Données projet'!$B$36,N148+M149-V148)))</f>
        <v>423.87000000000057</v>
      </c>
      <c r="O149" s="13">
        <f>N149*VLOOKUP('Données projet'!$B$9,Paramètres!$A$1:$I$89,3,0)*VLOOKUP('Données projet'!$B$9,Paramètres!$A$1:$I$89,5,0)</f>
        <v>383.51757600000053</v>
      </c>
      <c r="P149" s="13">
        <f t="shared" si="141"/>
        <v>88.426967368766455</v>
      </c>
      <c r="Q149" s="20">
        <f t="shared" si="108"/>
        <v>821.97007970060247</v>
      </c>
      <c r="R149" s="59">
        <f t="shared" si="109"/>
        <v>1115.3034130339358</v>
      </c>
      <c r="S149" s="59">
        <f ca="1">AVERAGE(OFFSET($R$3,0,0,'Données projet'!$E$9+1,1))-AVERAGE(OFFSET($H$3,0,0,'Données projet'!$E$9+1,1))</f>
        <v>399.15057697410413</v>
      </c>
      <c r="T149" s="59">
        <f t="shared" si="142"/>
        <v>182.37700638847298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66.617975385048979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66.617975385048979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8.3249999999999993</v>
      </c>
      <c r="AI149" s="13">
        <f>IF('Données projet'!$A$62&gt;35,AI148+AH149-AQ148,IF(A149&lt;'Données projet'!$A$62,$AF$205^A149,IF(A149='Données projet'!$A$62,'Données projet'!$B$62,AI148+AH149-AQ148)))</f>
        <v>423.87000000000057</v>
      </c>
      <c r="AJ149" s="13">
        <f>AI149*VLOOKUP('Données projet'!$B$10,Paramètres!$A$1:$I$89,3,0)*VLOOKUP('Données projet'!$B$10,Paramètres!$A$1:$I$89,5,0)</f>
        <v>429.8041800000006</v>
      </c>
      <c r="AK149" s="13">
        <f t="shared" si="143"/>
        <v>97.793501833753268</v>
      </c>
      <c r="AL149" s="20">
        <f t="shared" si="112"/>
        <v>918.89929586045457</v>
      </c>
      <c r="AM149" s="59">
        <f t="shared" si="113"/>
        <v>1212.2326291937879</v>
      </c>
      <c r="AN149" s="59">
        <f ca="1">AVERAGE(OFFSET($AM$3,0,0,'Données projet'!$E$10+1,1))-AVERAGE(OFFSET($H$3,0,0,'Données projet'!$E$10+1,1))</f>
        <v>463.77045964052894</v>
      </c>
      <c r="AO149" s="59">
        <f t="shared" si="144"/>
        <v>209.77146243694483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74.658075862554895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74.658075862554895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8.3249999999999993</v>
      </c>
      <c r="BD149" s="12">
        <f>IF('Données projet'!$A$88&gt;35,BD148+BC149-BL148,IF(A149&lt;'Données projet'!$A$88,$BA$205^A149,IF(A149='Données projet'!$A$88,'Données projet'!$B$88,BD148+BC149-BL148)))</f>
        <v>423.87000000000057</v>
      </c>
      <c r="BE149" s="13">
        <f>BD149*VLOOKUP('Données projet'!$B$11,Paramètres!$A$1:$I$89,3,0)*VLOOKUP('Données projet'!$B$11,Paramètres!$A$1:$I$89,5,0)</f>
        <v>409.96706400000051</v>
      </c>
      <c r="BF149" s="13">
        <f t="shared" si="145"/>
        <v>93.79443091691617</v>
      </c>
      <c r="BG149" s="20">
        <f t="shared" si="115"/>
        <v>877.38460364696311</v>
      </c>
      <c r="BH149" s="59">
        <f t="shared" si="116"/>
        <v>1170.7179369802964</v>
      </c>
      <c r="BI149" s="59">
        <f ca="1">AVERAGE(OFFSET($BH$3,0,0,'Données projet'!$E$11+1,1))-AVERAGE(OFFSET($H$3,0,0,'Données projet'!$E$11+1,1))</f>
        <v>436.0942819360734</v>
      </c>
      <c r="BJ149" s="59">
        <f t="shared" si="146"/>
        <v>198.03942180876311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71.212318515052345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71.212318515052345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>
        <f>BY149*VLOOKUP('Données projet'!$B$12,Paramètres!$A$1:$I$89,3,0)*VLOOKUP('Données projet'!$B$12,Paramètres!$A$1:$I$89,5,0)</f>
        <v>0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183.99578440773581</v>
      </c>
      <c r="CE149" s="59">
        <f t="shared" si="148"/>
        <v>258.43295338669657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5.0863891956630525</v>
      </c>
      <c r="CL149" s="21">
        <f>EXP(-LN(2)/25)*CL148+(1-EXP(-LN(2)/25))/(LN(2)/25)*Calculateur!CG149*Calculateur!CI149*VLOOKUP('Données projet'!$B$12,Paramètres!$A$1:$I$89,3,0)*0.475*44/12</f>
        <v>1.3933823712108739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6.4797715668739269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107.78039999999964</v>
      </c>
      <c r="D150" s="11">
        <f t="shared" si="140"/>
        <v>28.807410696029962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1054.3620474781235</v>
      </c>
      <c r="H150" s="67">
        <f t="shared" si="110"/>
        <v>531.22377029558493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8.3249999999999993</v>
      </c>
      <c r="N150" s="13">
        <f>IF('Données projet'!$A$36&gt;35,N149+M150-V149,IF(A150&lt;'Données projet'!$A$36,$K$205^A150,IF(A150='Données projet'!$A$36,'Données projet'!$B$36,N149+M150-V149)))</f>
        <v>432.19500000000056</v>
      </c>
      <c r="O150" s="13">
        <f>N150*VLOOKUP('Données projet'!$B$9,Paramètres!$A$1:$I$89,3,0)*VLOOKUP('Données projet'!$B$9,Paramètres!$A$1:$I$89,5,0)</f>
        <v>391.05003600000049</v>
      </c>
      <c r="P150" s="13">
        <f t="shared" si="141"/>
        <v>89.959814624965674</v>
      </c>
      <c r="Q150" s="20">
        <f t="shared" si="108"/>
        <v>837.75882317181595</v>
      </c>
      <c r="R150" s="59">
        <f t="shared" si="109"/>
        <v>1131.0921565051492</v>
      </c>
      <c r="S150" s="59">
        <f ca="1">AVERAGE(OFFSET($R$3,0,0,'Données projet'!$E$9+1,1))-AVERAGE(OFFSET($H$3,0,0,'Données projet'!$E$9+1,1))</f>
        <v>399.15057697410413</v>
      </c>
      <c r="T150" s="59">
        <f t="shared" si="142"/>
        <v>182.37700638847298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65.311637520700984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65.311637520700984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8.3249999999999993</v>
      </c>
      <c r="AI150" s="13">
        <f>IF('Données projet'!$A$62&gt;35,AI149+AH150-AQ149,IF(A150&lt;'Données projet'!$A$62,$AF$205^A150,IF(A150='Données projet'!$A$62,'Données projet'!$B$62,AI149+AH150-AQ149)))</f>
        <v>432.19500000000056</v>
      </c>
      <c r="AJ150" s="13">
        <f>AI150*VLOOKUP('Données projet'!$B$10,Paramètres!$A$1:$I$89,3,0)*VLOOKUP('Données projet'!$B$10,Paramètres!$A$1:$I$89,5,0)</f>
        <v>438.24573000000061</v>
      </c>
      <c r="AK150" s="13">
        <f t="shared" si="143"/>
        <v>99.488714339852734</v>
      </c>
      <c r="AL150" s="20">
        <f t="shared" si="112"/>
        <v>936.55415722524458</v>
      </c>
      <c r="AM150" s="59">
        <f t="shared" si="113"/>
        <v>1229.8874905585778</v>
      </c>
      <c r="AN150" s="59">
        <f ca="1">AVERAGE(OFFSET($AM$3,0,0,'Données projet'!$E$10+1,1))-AVERAGE(OFFSET($H$3,0,0,'Données projet'!$E$10+1,1))</f>
        <v>463.77045964052894</v>
      </c>
      <c r="AO150" s="59">
        <f t="shared" si="144"/>
        <v>209.77146243694483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73.194076531820073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73.194076531820073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8.3249999999999993</v>
      </c>
      <c r="BD150" s="12">
        <f>IF('Données projet'!$A$88&gt;35,BD149+BC150-BL149,IF(A150&lt;'Données projet'!$A$88,$BA$205^A150,IF(A150='Données projet'!$A$88,'Données projet'!$B$88,BD149+BC150-BL149)))</f>
        <v>432.19500000000056</v>
      </c>
      <c r="BE150" s="13">
        <f>BD150*VLOOKUP('Données projet'!$B$11,Paramètres!$A$1:$I$89,3,0)*VLOOKUP('Données projet'!$B$11,Paramètres!$A$1:$I$89,5,0)</f>
        <v>418.01900400000051</v>
      </c>
      <c r="BF150" s="13">
        <f t="shared" si="145"/>
        <v>95.420321076398807</v>
      </c>
      <c r="BG150" s="20">
        <f t="shared" si="115"/>
        <v>894.24015784139544</v>
      </c>
      <c r="BH150" s="59">
        <f t="shared" si="116"/>
        <v>1187.5734911747288</v>
      </c>
      <c r="BI150" s="59">
        <f ca="1">AVERAGE(OFFSET($BH$3,0,0,'Données projet'!$E$11+1,1))-AVERAGE(OFFSET($H$3,0,0,'Données projet'!$E$11+1,1))</f>
        <v>436.0942819360734</v>
      </c>
      <c r="BJ150" s="59">
        <f t="shared" si="146"/>
        <v>198.03942180876311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69.815888384197592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69.815888384197592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>
        <f>BY150*VLOOKUP('Données projet'!$B$12,Paramètres!$A$1:$I$89,3,0)*VLOOKUP('Données projet'!$B$12,Paramètres!$A$1:$I$89,5,0)</f>
        <v>0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183.99578440773581</v>
      </c>
      <c r="CE150" s="59">
        <f t="shared" si="148"/>
        <v>258.43295338669657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4.9866482059271737</v>
      </c>
      <c r="CL150" s="21">
        <f>EXP(-LN(2)/25)*CL149+(1-EXP(-LN(2)/25))/(LN(2)/25)*Calculateur!CG150*Calculateur!CI150*VLOOKUP('Données projet'!$B$12,Paramètres!$A$1:$I$89,3,0)*0.475*44/12</f>
        <v>1.3552802569953184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6.3419284629224926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108.51359999999964</v>
      </c>
      <c r="D151" s="11">
        <f t="shared" si="140"/>
        <v>28.980500326746164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1061.357967434529</v>
      </c>
      <c r="H151" s="67">
        <f t="shared" si="110"/>
        <v>532.80222473574895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8.3249999999999993</v>
      </c>
      <c r="N151" s="13">
        <f>IF('Données projet'!$A$36&gt;35,N150+M151-V150,IF(A151&lt;'Données projet'!$A$36,$K$205^A151,IF(A151='Données projet'!$A$36,'Données projet'!$B$36,N150+M151-V150)))</f>
        <v>440.52000000000055</v>
      </c>
      <c r="O151" s="13">
        <f>N151*VLOOKUP('Données projet'!$B$9,Paramètres!$A$1:$I$89,3,0)*VLOOKUP('Données projet'!$B$9,Paramètres!$A$1:$I$89,5,0)</f>
        <v>398.5824960000005</v>
      </c>
      <c r="P151" s="13">
        <f t="shared" si="141"/>
        <v>91.489228690064536</v>
      </c>
      <c r="Q151" s="20">
        <f t="shared" si="108"/>
        <v>853.54158716852999</v>
      </c>
      <c r="R151" s="59">
        <f t="shared" si="109"/>
        <v>1146.8749205018632</v>
      </c>
      <c r="S151" s="59">
        <f ca="1">AVERAGE(OFFSET($R$3,0,0,'Données projet'!$E$9+1,1))-AVERAGE(OFFSET($H$3,0,0,'Données projet'!$E$9+1,1))</f>
        <v>399.15057697410413</v>
      </c>
      <c r="T151" s="59">
        <f t="shared" si="142"/>
        <v>182.37700638847298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64.030916145085428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64.030916145085428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8.3249999999999993</v>
      </c>
      <c r="AI151" s="13">
        <f>IF('Données projet'!$A$62&gt;35,AI150+AH151-AQ150,IF(A151&lt;'Données projet'!$A$62,$AF$205^A151,IF(A151='Données projet'!$A$62,'Données projet'!$B$62,AI150+AH151-AQ150)))</f>
        <v>440.52000000000055</v>
      </c>
      <c r="AJ151" s="13">
        <f>AI151*VLOOKUP('Données projet'!$B$10,Paramètres!$A$1:$I$89,3,0)*VLOOKUP('Données projet'!$B$10,Paramètres!$A$1:$I$89,5,0)</f>
        <v>446.68728000000056</v>
      </c>
      <c r="AK151" s="13">
        <f t="shared" si="143"/>
        <v>101.18012999765861</v>
      </c>
      <c r="AL151" s="20">
        <f t="shared" si="112"/>
        <v>954.20240574592299</v>
      </c>
      <c r="AM151" s="59">
        <f t="shared" si="113"/>
        <v>1247.5357390792562</v>
      </c>
      <c r="AN151" s="59">
        <f ca="1">AVERAGE(OFFSET($AM$3,0,0,'Données projet'!$E$10+1,1))-AVERAGE(OFFSET($H$3,0,0,'Données projet'!$E$10+1,1))</f>
        <v>463.77045964052894</v>
      </c>
      <c r="AO151" s="59">
        <f t="shared" si="144"/>
        <v>209.77146243694483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71.758785335009534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71.758785335009534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8.3249999999999993</v>
      </c>
      <c r="BD151" s="12">
        <f>IF('Données projet'!$A$88&gt;35,BD150+BC151-BL150,IF(A151&lt;'Données projet'!$A$88,$BA$205^A151,IF(A151='Données projet'!$A$88,'Données projet'!$B$88,BD150+BC151-BL150)))</f>
        <v>440.52000000000055</v>
      </c>
      <c r="BE151" s="13">
        <f>BD151*VLOOKUP('Données projet'!$B$11,Paramètres!$A$1:$I$89,3,0)*VLOOKUP('Données projet'!$B$11,Paramètres!$A$1:$I$89,5,0)</f>
        <v>426.07094400000051</v>
      </c>
      <c r="BF151" s="13">
        <f t="shared" si="145"/>
        <v>97.042569652153361</v>
      </c>
      <c r="BG151" s="20">
        <f t="shared" si="115"/>
        <v>911.08936961083464</v>
      </c>
      <c r="BH151" s="59">
        <f t="shared" si="116"/>
        <v>1204.4227029441679</v>
      </c>
      <c r="BI151" s="59">
        <f ca="1">AVERAGE(OFFSET($BH$3,0,0,'Données projet'!$E$11+1,1))-AVERAGE(OFFSET($H$3,0,0,'Données projet'!$E$11+1,1))</f>
        <v>436.0942819360734</v>
      </c>
      <c r="BJ151" s="59">
        <f t="shared" si="146"/>
        <v>198.03942180876311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68.446841396470617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68.446841396470617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>
        <f>BY151*VLOOKUP('Données projet'!$B$12,Paramètres!$A$1:$I$89,3,0)*VLOOKUP('Données projet'!$B$12,Paramètres!$A$1:$I$89,5,0)</f>
        <v>0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183.99578440773581</v>
      </c>
      <c r="CE151" s="59">
        <f t="shared" si="148"/>
        <v>258.43295338669657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4.8888630761640188</v>
      </c>
      <c r="CL151" s="21">
        <f>EXP(-LN(2)/25)*CL150+(1-EXP(-LN(2)/25))/(LN(2)/25)*Calculateur!CG151*Calculateur!CI151*VLOOKUP('Données projet'!$B$12,Paramètres!$A$1:$I$89,3,0)*0.475*44/12</f>
        <v>1.3182200470966903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6.2070831232607091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109.24679999999964</v>
      </c>
      <c r="D152" s="11">
        <f t="shared" si="140"/>
        <v>29.153453877230778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1068.3528369470421</v>
      </c>
      <c r="H152" s="67">
        <f t="shared" si="110"/>
        <v>534.38044216950959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8.3249999999999993</v>
      </c>
      <c r="N152" s="13">
        <f>IF('Données projet'!$A$36&gt;35,N151+M152-V151,IF(A152&lt;'Données projet'!$A$36,$K$205^A152,IF(A152='Données projet'!$A$36,'Données projet'!$B$36,N151+M152-V151)))</f>
        <v>448.84500000000054</v>
      </c>
      <c r="O152" s="13">
        <f>N152*VLOOKUP('Données projet'!$B$9,Paramètres!$A$1:$I$89,3,0)*VLOOKUP('Données projet'!$B$9,Paramètres!$A$1:$I$89,5,0)</f>
        <v>406.11495600000046</v>
      </c>
      <c r="P152" s="13">
        <f t="shared" si="141"/>
        <v>93.015281926133852</v>
      </c>
      <c r="Q152" s="20">
        <f t="shared" si="108"/>
        <v>869.31849772135058</v>
      </c>
      <c r="R152" s="59">
        <f t="shared" si="109"/>
        <v>1162.651831054684</v>
      </c>
      <c r="S152" s="59">
        <f ca="1">AVERAGE(OFFSET($R$3,0,0,'Données projet'!$E$9+1,1))-AVERAGE(OFFSET($H$3,0,0,'Données projet'!$E$9+1,1))</f>
        <v>399.15057697410413</v>
      </c>
      <c r="T152" s="59">
        <f t="shared" si="142"/>
        <v>182.37700638847298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62.775308934482787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62.775308934482787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8.3249999999999993</v>
      </c>
      <c r="AI152" s="13">
        <f>IF('Données projet'!$A$62&gt;35,AI151+AH152-AQ151,IF(A152&lt;'Données projet'!$A$62,$AF$205^A152,IF(A152='Données projet'!$A$62,'Données projet'!$B$62,AI151+AH152-AQ151)))</f>
        <v>448.84500000000054</v>
      </c>
      <c r="AJ152" s="13">
        <f>AI152*VLOOKUP('Données projet'!$B$10,Paramètres!$A$1:$I$89,3,0)*VLOOKUP('Données projet'!$B$10,Paramètres!$A$1:$I$89,5,0)</f>
        <v>455.12883000000056</v>
      </c>
      <c r="AK152" s="13">
        <f t="shared" si="143"/>
        <v>102.86782883411858</v>
      </c>
      <c r="AL152" s="20">
        <f t="shared" si="112"/>
        <v>971.84418080275736</v>
      </c>
      <c r="AM152" s="59">
        <f t="shared" si="113"/>
        <v>1265.1775141360906</v>
      </c>
      <c r="AN152" s="59">
        <f ca="1">AVERAGE(OFFSET($AM$3,0,0,'Données projet'!$E$10+1,1))-AVERAGE(OFFSET($H$3,0,0,'Données projet'!$E$10+1,1))</f>
        <v>463.77045964052894</v>
      </c>
      <c r="AO152" s="59">
        <f t="shared" si="144"/>
        <v>209.77146243694483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70.351639323127273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70.351639323127273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8.3249999999999993</v>
      </c>
      <c r="BD152" s="12">
        <f>IF('Données projet'!$A$88&gt;35,BD151+BC152-BL151,IF(A152&lt;'Données projet'!$A$88,$BA$205^A152,IF(A152='Données projet'!$A$88,'Données projet'!$B$88,BD151+BC152-BL151)))</f>
        <v>448.84500000000054</v>
      </c>
      <c r="BE152" s="13">
        <f>BD152*VLOOKUP('Données projet'!$B$11,Paramètres!$A$1:$I$89,3,0)*VLOOKUP('Données projet'!$B$11,Paramètres!$A$1:$I$89,5,0)</f>
        <v>434.12288400000057</v>
      </c>
      <c r="BF152" s="13">
        <f t="shared" si="145"/>
        <v>98.661253398584833</v>
      </c>
      <c r="BG152" s="20">
        <f t="shared" si="115"/>
        <v>927.93237263586946</v>
      </c>
      <c r="BH152" s="59">
        <f t="shared" si="116"/>
        <v>1221.2657059692028</v>
      </c>
      <c r="BI152" s="59">
        <f ca="1">AVERAGE(OFFSET($BH$3,0,0,'Données projet'!$E$11+1,1))-AVERAGE(OFFSET($H$3,0,0,'Données projet'!$E$11+1,1))</f>
        <v>436.0942819360734</v>
      </c>
      <c r="BJ152" s="59">
        <f t="shared" si="146"/>
        <v>198.03942180876311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67.104640585136764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67.104640585136764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>
        <f>BY152*VLOOKUP('Données projet'!$B$12,Paramètres!$A$1:$I$89,3,0)*VLOOKUP('Données projet'!$B$12,Paramètres!$A$1:$I$89,5,0)</f>
        <v>0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183.99578440773581</v>
      </c>
      <c r="CE152" s="59">
        <f t="shared" si="148"/>
        <v>258.43295338669657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4.7929954531524794</v>
      </c>
      <c r="CL152" s="21">
        <f>EXP(-LN(2)/25)*CL151+(1-EXP(-LN(2)/25))/(LN(2)/25)*Calculateur!CG152*Calculateur!CI152*VLOOKUP('Données projet'!$B$12,Paramètres!$A$1:$I$89,3,0)*0.475*44/12</f>
        <v>1.2821732505866519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6.0751687037391315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109.97999999999963</v>
      </c>
      <c r="D153" s="11">
        <f t="shared" si="140"/>
        <v>29.326272366698181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1075.3466638832815</v>
      </c>
      <c r="H153" s="67">
        <f t="shared" si="110"/>
        <v>535.95842437199872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8.3249999999999993</v>
      </c>
      <c r="N153" s="13">
        <f>IF('Données projet'!$A$36&gt;35,N152+M153-V152,IF(A153&lt;'Données projet'!$A$36,$K$205^A153,IF(A153='Données projet'!$A$36,'Données projet'!$B$36,N152+M153-V152)))</f>
        <v>457.17000000000053</v>
      </c>
      <c r="O153" s="13">
        <f>N153*VLOOKUP('Données projet'!$B$9,Paramètres!$A$1:$I$89,3,0)*VLOOKUP('Données projet'!$B$9,Paramètres!$A$1:$I$89,5,0)</f>
        <v>413.64741600000042</v>
      </c>
      <c r="P153" s="13">
        <f t="shared" si="141"/>
        <v>94.538043857309361</v>
      </c>
      <c r="Q153" s="20">
        <f t="shared" si="108"/>
        <v>885.0896759181478</v>
      </c>
      <c r="R153" s="59">
        <f t="shared" si="109"/>
        <v>1178.4230092514811</v>
      </c>
      <c r="S153" s="59">
        <f ca="1">AVERAGE(OFFSET($R$3,0,0,'Données projet'!$E$9+1,1))-AVERAGE(OFFSET($H$3,0,0,'Données projet'!$E$9+1,1))</f>
        <v>399.15057697410413</v>
      </c>
      <c r="T153" s="59">
        <f t="shared" si="142"/>
        <v>182.37700638847298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61.544323415435287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61.544323415435287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8.3249999999999993</v>
      </c>
      <c r="AI153" s="13">
        <f>IF('Données projet'!$A$62&gt;35,AI152+AH153-AQ152,IF(A153&lt;'Données projet'!$A$62,$AF$205^A153,IF(A153='Données projet'!$A$62,'Données projet'!$B$62,AI152+AH153-AQ152)))</f>
        <v>457.17000000000053</v>
      </c>
      <c r="AJ153" s="13">
        <f>AI153*VLOOKUP('Données projet'!$B$10,Paramètres!$A$1:$I$89,3,0)*VLOOKUP('Données projet'!$B$10,Paramètres!$A$1:$I$89,5,0)</f>
        <v>463.57038000000057</v>
      </c>
      <c r="AK153" s="13">
        <f t="shared" si="143"/>
        <v>104.55188773764013</v>
      </c>
      <c r="AL153" s="20">
        <f t="shared" si="112"/>
        <v>989.47961630972395</v>
      </c>
      <c r="AM153" s="59">
        <f t="shared" si="113"/>
        <v>1282.8129496430572</v>
      </c>
      <c r="AN153" s="59">
        <f ca="1">AVERAGE(OFFSET($AM$3,0,0,'Données projet'!$E$10+1,1))-AVERAGE(OFFSET($H$3,0,0,'Données projet'!$E$10+1,1))</f>
        <v>463.77045964052894</v>
      </c>
      <c r="AO153" s="59">
        <f t="shared" si="144"/>
        <v>209.77146243694483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68.9720865862637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68.9720865862637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8.3249999999999993</v>
      </c>
      <c r="BD153" s="12">
        <f>IF('Données projet'!$A$88&gt;35,BD152+BC153-BL152,IF(A153&lt;'Données projet'!$A$88,$BA$205^A153,IF(A153='Données projet'!$A$88,'Données projet'!$B$88,BD152+BC153-BL152)))</f>
        <v>457.17000000000053</v>
      </c>
      <c r="BE153" s="13">
        <f>BD153*VLOOKUP('Données projet'!$B$11,Paramètres!$A$1:$I$89,3,0)*VLOOKUP('Données projet'!$B$11,Paramètres!$A$1:$I$89,5,0)</f>
        <v>442.17482400000057</v>
      </c>
      <c r="BF153" s="13">
        <f t="shared" si="145"/>
        <v>100.27644605990184</v>
      </c>
      <c r="BG153" s="20">
        <f t="shared" si="115"/>
        <v>944.76929535432998</v>
      </c>
      <c r="BH153" s="59">
        <f t="shared" si="116"/>
        <v>1238.1026286876634</v>
      </c>
      <c r="BI153" s="59">
        <f ca="1">AVERAGE(OFFSET($BH$3,0,0,'Données projet'!$E$11+1,1))-AVERAGE(OFFSET($H$3,0,0,'Données projet'!$E$11+1,1))</f>
        <v>436.0942819360734</v>
      </c>
      <c r="BJ153" s="59">
        <f t="shared" si="146"/>
        <v>198.03942180876311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65.788759513051502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65.788759513051502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>
        <f>BY153*VLOOKUP('Données projet'!$B$12,Paramètres!$A$1:$I$89,3,0)*VLOOKUP('Données projet'!$B$12,Paramètres!$A$1:$I$89,5,0)</f>
        <v>0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183.99578440773581</v>
      </c>
      <c r="CE153" s="59">
        <f t="shared" si="148"/>
        <v>258.43295338669657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4.6990077357547202</v>
      </c>
      <c r="CL153" s="21">
        <f>EXP(-LN(2)/25)*CL152+(1-EXP(-LN(2)/25))/(LN(2)/25)*Calculateur!CG153*Calculateur!CI153*VLOOKUP('Données projet'!$B$12,Paramètres!$A$1:$I$89,3,0)*0.475*44/12</f>
        <v>1.2471121556227991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5.9461198913775188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110.71319999999963</v>
      </c>
      <c r="D154" s="11">
        <f t="shared" si="140"/>
        <v>29.498956799987411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1082.3394559998999</v>
      </c>
      <c r="H154" s="67">
        <f t="shared" si="110"/>
        <v>537.53617309331071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8.3249999999999993</v>
      </c>
      <c r="N154" s="13">
        <f>IF('Données projet'!$A$36&gt;35,N153+M154-V153,IF(A154&lt;'Données projet'!$A$36,$K$205^A154,IF(A154='Données projet'!$A$36,'Données projet'!$B$36,N153+M154-V153)))</f>
        <v>465.49500000000052</v>
      </c>
      <c r="O154" s="13">
        <f>N154*VLOOKUP('Données projet'!$B$9,Paramètres!$A$1:$I$89,3,0)*VLOOKUP('Données projet'!$B$9,Paramètres!$A$1:$I$89,5,0)</f>
        <v>421.17987600000043</v>
      </c>
      <c r="P154" s="13">
        <f t="shared" si="141"/>
        <v>96.057581330707137</v>
      </c>
      <c r="Q154" s="20">
        <f t="shared" ref="Q154:Q203" si="162">(O154+P154)*0.475*44/12</f>
        <v>900.85523818431557</v>
      </c>
      <c r="R154" s="59">
        <f t="shared" si="109"/>
        <v>1194.1885715176488</v>
      </c>
      <c r="S154" s="59">
        <f ca="1">AVERAGE(OFFSET($R$3,0,0,'Données projet'!$E$9+1,1))-AVERAGE(OFFSET($H$3,0,0,'Données projet'!$E$9+1,1))</f>
        <v>399.15057697410413</v>
      </c>
      <c r="T154" s="59">
        <f t="shared" si="142"/>
        <v>182.37700638847298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60.33747677158928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60.33747677158928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8.3249999999999993</v>
      </c>
      <c r="AI154" s="13">
        <f>IF('Données projet'!$A$62&gt;35,AI153+AH154-AQ153,IF(A154&lt;'Données projet'!$A$62,$AF$205^A154,IF(A154='Données projet'!$A$62,'Données projet'!$B$62,AI153+AH154-AQ153)))</f>
        <v>465.49500000000052</v>
      </c>
      <c r="AJ154" s="13">
        <f>AI154*VLOOKUP('Données projet'!$B$10,Paramètres!$A$1:$I$89,3,0)*VLOOKUP('Données projet'!$B$10,Paramètres!$A$1:$I$89,5,0)</f>
        <v>472.01193000000058</v>
      </c>
      <c r="AK154" s="13">
        <f t="shared" ref="AK154:AK203" si="164">EXP(-1.0587+0.8836*LN(AJ154)+0.284)</f>
        <v>106.23238063605056</v>
      </c>
      <c r="AL154" s="20">
        <f t="shared" ref="AL154:AL203" si="165">(AJ154+AK154)*0.475*44/12</f>
        <v>1007.108841024456</v>
      </c>
      <c r="AM154" s="59">
        <f t="shared" si="113"/>
        <v>1300.4421743577893</v>
      </c>
      <c r="AN154" s="59">
        <f ca="1">AVERAGE(OFFSET($AM$3,0,0,'Données projet'!$E$10+1,1))-AVERAGE(OFFSET($H$3,0,0,'Données projet'!$E$10+1,1))</f>
        <v>463.77045964052894</v>
      </c>
      <c r="AO154" s="59">
        <f t="shared" si="144"/>
        <v>209.77146243694483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67.619586037125941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67.619586037125941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8.3249999999999993</v>
      </c>
      <c r="BD154" s="12">
        <f>IF('Données projet'!$A$88&gt;35,BD153+BC154-BL153,IF(A154&lt;'Données projet'!$A$88,$BA$205^A154,IF(A154='Données projet'!$A$88,'Données projet'!$B$88,BD153+BC154-BL153)))</f>
        <v>465.49500000000052</v>
      </c>
      <c r="BE154" s="13">
        <f>BD154*VLOOKUP('Données projet'!$B$11,Paramètres!$A$1:$I$89,3,0)*VLOOKUP('Données projet'!$B$11,Paramètres!$A$1:$I$89,5,0)</f>
        <v>450.22676400000051</v>
      </c>
      <c r="BF154" s="13">
        <f t="shared" ref="BF154:BF203" si="167">EXP(-1.0587+0.8836*LN(BE154)+0.284)</f>
        <v>101.88821854080018</v>
      </c>
      <c r="BG154" s="20">
        <f t="shared" ref="BG154:BG203" si="168">(BE154+BF154)*0.475*44/12</f>
        <v>961.6002612585612</v>
      </c>
      <c r="BH154" s="59">
        <f t="shared" si="116"/>
        <v>1254.9335945918945</v>
      </c>
      <c r="BI154" s="59">
        <f ca="1">AVERAGE(OFFSET($BH$3,0,0,'Données projet'!$E$11+1,1))-AVERAGE(OFFSET($H$3,0,0,'Données projet'!$E$11+1,1))</f>
        <v>436.0942819360734</v>
      </c>
      <c r="BJ154" s="59">
        <f t="shared" si="146"/>
        <v>198.03942180876311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64.49868206618163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64.49868206618163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>
        <f>BY154*VLOOKUP('Données projet'!$B$12,Paramètres!$A$1:$I$89,3,0)*VLOOKUP('Données projet'!$B$12,Paramètres!$A$1:$I$89,5,0)</f>
        <v>0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183.99578440773581</v>
      </c>
      <c r="CE154" s="59">
        <f t="shared" si="148"/>
        <v>258.43295338669657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4.6068630601682843</v>
      </c>
      <c r="CL154" s="21">
        <f>EXP(-LN(2)/25)*CL153+(1-EXP(-LN(2)/25))/(LN(2)/25)*Calculateur!CG154*Calculateur!CI154*VLOOKUP('Données projet'!$B$12,Paramètres!$A$1:$I$89,3,0)*0.475*44/12</f>
        <v>1.2130098081445158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5.8198728683127996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111.44639999999963</v>
      </c>
      <c r="D155" s="11">
        <f t="shared" si="140"/>
        <v>29.671508167859105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1089.3312209448743</v>
      </c>
      <c r="H155" s="67">
        <f t="shared" si="110"/>
        <v>539.11369005902054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8.3249999999999993</v>
      </c>
      <c r="N155" s="13">
        <f>IF('Données projet'!$A$36&gt;35,N154+M155-V154,IF(A155&lt;'Données projet'!$A$36,$K$205^A155,IF(A155='Données projet'!$A$36,'Données projet'!$B$36,N154+M155-V154)))</f>
        <v>473.8200000000005</v>
      </c>
      <c r="O155" s="13">
        <f>N155*VLOOKUP('Données projet'!$B$9,Paramètres!$A$1:$I$89,3,0)*VLOOKUP('Données projet'!$B$9,Paramètres!$A$1:$I$89,5,0)</f>
        <v>428.71233600000051</v>
      </c>
      <c r="P155" s="13">
        <f t="shared" si="141"/>
        <v>97.57395866550209</v>
      </c>
      <c r="Q155" s="20">
        <f t="shared" si="162"/>
        <v>916.61529654241701</v>
      </c>
      <c r="R155" s="59">
        <f t="shared" si="109"/>
        <v>1209.9486298757504</v>
      </c>
      <c r="S155" s="59">
        <f ca="1">AVERAGE(OFFSET($R$3,0,0,'Données projet'!$E$9+1,1))-AVERAGE(OFFSET($H$3,0,0,'Données projet'!$E$9+1,1))</f>
        <v>399.15057697410413</v>
      </c>
      <c r="T155" s="59">
        <f t="shared" si="142"/>
        <v>182.37700638847298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59.154295654325324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59.154295654325324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8.3249999999999993</v>
      </c>
      <c r="AI155" s="13">
        <f>IF('Données projet'!$A$62&gt;35,AI154+AH155-AQ154,IF(A155&lt;'Données projet'!$A$62,$AF$205^A155,IF(A155='Données projet'!$A$62,'Données projet'!$B$62,AI154+AH155-AQ154)))</f>
        <v>473.8200000000005</v>
      </c>
      <c r="AJ155" s="13">
        <f>AI155*VLOOKUP('Données projet'!$B$10,Paramètres!$A$1:$I$89,3,0)*VLOOKUP('Données projet'!$B$10,Paramètres!$A$1:$I$89,5,0)</f>
        <v>480.45348000000058</v>
      </c>
      <c r="AK155" s="13">
        <f t="shared" si="164"/>
        <v>107.90937866146631</v>
      </c>
      <c r="AL155" s="20">
        <f t="shared" si="165"/>
        <v>1024.7319788353882</v>
      </c>
      <c r="AM155" s="59">
        <f t="shared" si="113"/>
        <v>1318.0653121687214</v>
      </c>
      <c r="AN155" s="59">
        <f ca="1">AVERAGE(OFFSET($AM$3,0,0,'Données projet'!$E$10+1,1))-AVERAGE(OFFSET($H$3,0,0,'Données projet'!$E$10+1,1))</f>
        <v>463.77045964052894</v>
      </c>
      <c r="AO155" s="59">
        <f t="shared" si="144"/>
        <v>209.77146243694483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66.293607198812893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66.293607198812893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8.3249999999999993</v>
      </c>
      <c r="BD155" s="12">
        <f>IF('Données projet'!$A$88&gt;35,BD154+BC155-BL154,IF(A155&lt;'Données projet'!$A$88,$BA$205^A155,IF(A155='Données projet'!$A$88,'Données projet'!$B$88,BD154+BC155-BL154)))</f>
        <v>473.8200000000005</v>
      </c>
      <c r="BE155" s="13">
        <f>BD155*VLOOKUP('Données projet'!$B$11,Paramètres!$A$1:$I$89,3,0)*VLOOKUP('Données projet'!$B$11,Paramètres!$A$1:$I$89,5,0)</f>
        <v>458.27870400000052</v>
      </c>
      <c r="BF155" s="13">
        <f t="shared" si="167"/>
        <v>103.49663906458966</v>
      </c>
      <c r="BG155" s="20">
        <f t="shared" si="168"/>
        <v>978.42538917082777</v>
      </c>
      <c r="BH155" s="59">
        <f t="shared" si="116"/>
        <v>1271.7587225041611</v>
      </c>
      <c r="BI155" s="59">
        <f ca="1">AVERAGE(OFFSET($BH$3,0,0,'Données projet'!$E$11+1,1))-AVERAGE(OFFSET($H$3,0,0,'Données projet'!$E$11+1,1))</f>
        <v>436.0942819360734</v>
      </c>
      <c r="BJ155" s="59">
        <f t="shared" si="146"/>
        <v>198.03942180876311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63.233902251175337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63.233902251175337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>
        <f>BY155*VLOOKUP('Données projet'!$B$12,Paramètres!$A$1:$I$89,3,0)*VLOOKUP('Données projet'!$B$12,Paramètres!$A$1:$I$89,5,0)</f>
        <v>0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183.99578440773581</v>
      </c>
      <c r="CE155" s="59">
        <f t="shared" si="148"/>
        <v>258.43295338669657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4.5165252854673952</v>
      </c>
      <c r="CL155" s="21">
        <f>EXP(-LN(2)/25)*CL154+(1-EXP(-LN(2)/25))/(LN(2)/25)*Calculateur!CG155*Calculateur!CI155*VLOOKUP('Données projet'!$B$12,Paramètres!$A$1:$I$89,3,0)*0.475*44/12</f>
        <v>1.1798399911513906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5.6963652766187858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112.17959999999962</v>
      </c>
      <c r="D156" s="11">
        <f t="shared" si="140"/>
        <v>29.843927447283722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1096.3219662597312</v>
      </c>
      <c r="H156" s="67">
        <f t="shared" si="110"/>
        <v>540.69097697068514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8.3249999999999993</v>
      </c>
      <c r="N156" s="13">
        <f>IF('Données projet'!$A$36&gt;35,N155+M156-V155,IF(A156&lt;'Données projet'!$A$36,$K$205^A156,IF(A156='Données projet'!$A$36,'Données projet'!$B$36,N155+M156-V155)))</f>
        <v>482.14500000000049</v>
      </c>
      <c r="O156" s="13">
        <f>N156*VLOOKUP('Données projet'!$B$9,Paramètres!$A$1:$I$89,3,0)*VLOOKUP('Données projet'!$B$9,Paramètres!$A$1:$I$89,5,0)</f>
        <v>436.24479600000041</v>
      </c>
      <c r="P156" s="13">
        <f t="shared" si="141"/>
        <v>99.087237791231857</v>
      </c>
      <c r="Q156" s="20">
        <f t="shared" si="162"/>
        <v>932.36995885306271</v>
      </c>
      <c r="R156" s="59">
        <f t="shared" si="109"/>
        <v>1225.7032921863961</v>
      </c>
      <c r="S156" s="59">
        <f ca="1">AVERAGE(OFFSET($R$3,0,0,'Données projet'!$E$9+1,1))-AVERAGE(OFFSET($H$3,0,0,'Données projet'!$E$9+1,1))</f>
        <v>399.15057697410413</v>
      </c>
      <c r="T156" s="59">
        <f t="shared" si="142"/>
        <v>182.37700638847298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57.994315997101694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57.994315997101694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8.3249999999999993</v>
      </c>
      <c r="AI156" s="13">
        <f>IF('Données projet'!$A$62&gt;35,AI155+AH156-AQ155,IF(A156&lt;'Données projet'!$A$62,$AF$205^A156,IF(A156='Données projet'!$A$62,'Données projet'!$B$62,AI155+AH156-AQ155)))</f>
        <v>482.14500000000049</v>
      </c>
      <c r="AJ156" s="13">
        <f>AI156*VLOOKUP('Données projet'!$B$10,Paramètres!$A$1:$I$89,3,0)*VLOOKUP('Données projet'!$B$10,Paramètres!$A$1:$I$89,5,0)</f>
        <v>488.89503000000053</v>
      </c>
      <c r="AK156" s="13">
        <f t="shared" si="164"/>
        <v>109.582950303247</v>
      </c>
      <c r="AL156" s="20">
        <f t="shared" si="165"/>
        <v>1042.349149028156</v>
      </c>
      <c r="AM156" s="59">
        <f t="shared" si="113"/>
        <v>1335.6824823614893</v>
      </c>
      <c r="AN156" s="59">
        <f ca="1">AVERAGE(OFFSET($AM$3,0,0,'Données projet'!$E$10+1,1))-AVERAGE(OFFSET($H$3,0,0,'Données projet'!$E$10+1,1))</f>
        <v>463.77045964052894</v>
      </c>
      <c r="AO156" s="59">
        <f t="shared" si="144"/>
        <v>209.77146243694483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64.993629996751935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64.993629996751935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8.3249999999999993</v>
      </c>
      <c r="BD156" s="12">
        <f>IF('Données projet'!$A$88&gt;35,BD155+BC156-BL155,IF(A156&lt;'Données projet'!$A$88,$BA$205^A156,IF(A156='Données projet'!$A$88,'Données projet'!$B$88,BD155+BC156-BL155)))</f>
        <v>482.14500000000049</v>
      </c>
      <c r="BE156" s="13">
        <f>BD156*VLOOKUP('Données projet'!$B$11,Paramètres!$A$1:$I$89,3,0)*VLOOKUP('Données projet'!$B$11,Paramètres!$A$1:$I$89,5,0)</f>
        <v>466.33064400000052</v>
      </c>
      <c r="BF156" s="13">
        <f t="shared" si="167"/>
        <v>105.10177331989394</v>
      </c>
      <c r="BG156" s="20">
        <f t="shared" si="168"/>
        <v>995.24479349881619</v>
      </c>
      <c r="BH156" s="59">
        <f t="shared" si="116"/>
        <v>1288.5781268321496</v>
      </c>
      <c r="BI156" s="59">
        <f ca="1">AVERAGE(OFFSET($BH$3,0,0,'Données projet'!$E$11+1,1))-AVERAGE(OFFSET($H$3,0,0,'Données projet'!$E$11+1,1))</f>
        <v>436.0942819360734</v>
      </c>
      <c r="BJ156" s="59">
        <f t="shared" si="146"/>
        <v>198.03942180876311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61.993923996901799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61.993923996901799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>
        <f>BY156*VLOOKUP('Données projet'!$B$12,Paramètres!$A$1:$I$89,3,0)*VLOOKUP('Données projet'!$B$12,Paramètres!$A$1:$I$89,5,0)</f>
        <v>0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183.99578440773581</v>
      </c>
      <c r="CE156" s="59">
        <f t="shared" si="148"/>
        <v>258.43295338669657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4.4279589794277889</v>
      </c>
      <c r="CL156" s="21">
        <f>EXP(-LN(2)/25)*CL155+(1-EXP(-LN(2)/25))/(LN(2)/25)*Calculateur!CG156*Calculateur!CI156*VLOOKUP('Données projet'!$B$12,Paramètres!$A$1:$I$89,3,0)*0.475*44/12</f>
        <v>1.1475772045482673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5.5755361839760562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112.91279999999962</v>
      </c>
      <c r="D157" s="11">
        <f t="shared" si="140"/>
        <v>30.016215601722468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1103.3116993817143</v>
      </c>
      <c r="H157" s="67">
        <f t="shared" si="110"/>
        <v>542.26803550633258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>
        <f>VLOOKUP(A157,'Données projet'!$A$35:$I$55,2,0)</f>
        <v>490.47</v>
      </c>
      <c r="L157" s="12">
        <f>VLOOKUP(A157,'Données projet'!$A$35:$I$55,9,0)</f>
        <v>8.3249999999999993</v>
      </c>
      <c r="M157" s="12">
        <f t="array" ref="M157">INDEX(L:L,MIN(IF(ISNUMBER(L157:L353),ROW(L157:L353),"")))</f>
        <v>8.3249999999999993</v>
      </c>
      <c r="N157" s="13">
        <f>IF('Données projet'!$A$36&gt;35,N156+M157-V156,IF(A157&lt;'Données projet'!$A$36,$K$205^A157,IF(A157='Données projet'!$A$36,'Données projet'!$B$36,N156+M157-V156)))</f>
        <v>490.47000000000048</v>
      </c>
      <c r="O157" s="13">
        <f>N157*VLOOKUP('Données projet'!$B$9,Paramètres!$A$1:$I$89,3,0)*VLOOKUP('Données projet'!$B$9,Paramètres!$A$1:$I$89,5,0)</f>
        <v>443.77725600000048</v>
      </c>
      <c r="P157" s="13">
        <f t="shared" si="141"/>
        <v>100.59747837627934</v>
      </c>
      <c r="Q157" s="20">
        <f t="shared" si="162"/>
        <v>948.11932903868717</v>
      </c>
      <c r="R157" s="59">
        <f t="shared" si="109"/>
        <v>1241.4526623720205</v>
      </c>
      <c r="S157" s="59">
        <f ca="1">AVERAGE(OFFSET($R$3,0,0,'Données projet'!$E$9+1,1))-AVERAGE(OFFSET($H$3,0,0,'Données projet'!$E$9+1,1))</f>
        <v>399.15057697410413</v>
      </c>
      <c r="T157" s="59">
        <f t="shared" si="142"/>
        <v>182.37700638847298</v>
      </c>
      <c r="U157" s="15">
        <f>IF(ISNA(VLOOKUP(A157,'Données projet'!$A$35:$I$55,3,0)),0,VLOOKUP(A157,'Données projet'!$A$35:$I$55,3,0))</f>
        <v>13</v>
      </c>
      <c r="V157" s="15">
        <f>IF(ISNA(VLOOKUP(A157,'Données projet'!$A$35:$I$55,4,0)),0,VLOOKUP(A157,'Données projet'!$A$35:$I$55,4,0))</f>
        <v>55.13</v>
      </c>
      <c r="W157" s="16">
        <f>IF(ISNA(VLOOKUP(A157,'Données projet'!$A$35:$I$55,5,0)),0%,VLOOKUP(A157,'Données projet'!$A$35:$I$55,5,0)*VLOOKUP('Données projet'!$B$9,Paramètres!$A$1:$I$89,7,0))</f>
        <v>0.25800000000000001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71.083888549708462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71.083888549708462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490.47</v>
      </c>
      <c r="AG157" s="12">
        <f>VLOOKUP(A157,'Données projet'!$A$61:$I$81,9,0)</f>
        <v>8.3249999999999993</v>
      </c>
      <c r="AH157" s="12">
        <f t="array" ref="AH157">INDEX(AG:AG,MIN(IF(ISNUMBER(AG157:AG353),ROW(AG157:AG353),"")))</f>
        <v>8.3249999999999993</v>
      </c>
      <c r="AI157" s="13">
        <f>IF('Données projet'!$A$62&gt;35,AI156+AH157-AQ156,IF(A157&lt;'Données projet'!$A$62,$AF$205^A157,IF(A157='Données projet'!$A$62,'Données projet'!$B$62,AI156+AH157-AQ156)))</f>
        <v>490.47000000000048</v>
      </c>
      <c r="AJ157" s="13">
        <f>AI157*VLOOKUP('Données projet'!$B$10,Paramètres!$A$1:$I$89,3,0)*VLOOKUP('Données projet'!$B$10,Paramètres!$A$1:$I$89,5,0)</f>
        <v>497.33658000000054</v>
      </c>
      <c r="AK157" s="13">
        <f t="shared" si="164"/>
        <v>111.2531615500869</v>
      </c>
      <c r="AL157" s="20">
        <f t="shared" si="165"/>
        <v>1059.9604665330687</v>
      </c>
      <c r="AM157" s="59">
        <f t="shared" si="113"/>
        <v>1353.293799866402</v>
      </c>
      <c r="AN157" s="59">
        <f ca="1">AVERAGE(OFFSET($AM$3,0,0,'Données projet'!$E$10+1,1))-AVERAGE(OFFSET($H$3,0,0,'Données projet'!$E$10+1,1))</f>
        <v>463.77045964052894</v>
      </c>
      <c r="AO157" s="59">
        <f t="shared" si="144"/>
        <v>209.77146243694483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0.25800000000000001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79.662978547087107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79.662978547087107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>
        <f>VLOOKUP(A157,'Données projet'!$A$87:$I$107,2,0)</f>
        <v>490.47</v>
      </c>
      <c r="BB157" s="12">
        <f>VLOOKUP(A157,'Données projet'!$A$87:$I$107,9,0)</f>
        <v>8.3249999999999993</v>
      </c>
      <c r="BC157" s="12">
        <f t="array" ref="BC157">INDEX(BB:BB,MIN(IF(ISNUMBER(BB157:BB353),ROW(BB157:BB353),"")))</f>
        <v>8.3249999999999993</v>
      </c>
      <c r="BD157" s="12">
        <f>IF('Données projet'!$A$88&gt;35,BD156+BC157-BL156,IF(A157&lt;'Données projet'!$A$88,$BA$205^A157,IF(A157='Données projet'!$A$88,'Données projet'!$B$88,BD156+BC157-BL156)))</f>
        <v>490.47000000000048</v>
      </c>
      <c r="BE157" s="13">
        <f>BD157*VLOOKUP('Données projet'!$B$11,Paramètres!$A$1:$I$89,3,0)*VLOOKUP('Données projet'!$B$11,Paramètres!$A$1:$I$89,5,0)</f>
        <v>474.38258400000052</v>
      </c>
      <c r="BF157" s="13">
        <f t="shared" si="167"/>
        <v>106.70368459693037</v>
      </c>
      <c r="BG157" s="20">
        <f t="shared" si="168"/>
        <v>1012.0585844729879</v>
      </c>
      <c r="BH157" s="59">
        <f t="shared" si="116"/>
        <v>1305.3919178063213</v>
      </c>
      <c r="BI157" s="59">
        <f ca="1">AVERAGE(OFFSET($BH$3,0,0,'Données projet'!$E$11+1,1))-AVERAGE(OFFSET($H$3,0,0,'Données projet'!$E$11+1,1))</f>
        <v>436.0942819360734</v>
      </c>
      <c r="BJ157" s="59">
        <f t="shared" si="146"/>
        <v>198.03942180876311</v>
      </c>
      <c r="BK157" s="15">
        <f>IF(ISNA(VLOOKUP(A157,'Données projet'!$A$87:$I$107,3,0)),0,VLOOKUP(A157,'Données projet'!$A$87:$I$107,3,0))</f>
        <v>13</v>
      </c>
      <c r="BL157" s="15">
        <f>IF(ISNA(VLOOKUP(A157,'Données projet'!$A$87:$I$107,4,0)),0,VLOOKUP(A157,'Données projet'!$A$87:$I$107,4,0))</f>
        <v>55.13</v>
      </c>
      <c r="BM157" s="16">
        <f>IF(ISNA(VLOOKUP(A157,'Données projet'!$A$87:$I$107,5,0)),0%,VLOOKUP(A157,'Données projet'!$A$87:$I$107,5,0)*VLOOKUP('Données projet'!$B$11,Paramètres!$A$1:$I$89,7,0))</f>
        <v>0.25800000000000001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75.986225691067673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75.986225691067673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>
        <f>BY157*VLOOKUP('Données projet'!$B$12,Paramètres!$A$1:$I$89,3,0)*VLOOKUP('Données projet'!$B$12,Paramètres!$A$1:$I$89,5,0)</f>
        <v>0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183.99578440773581</v>
      </c>
      <c r="CE157" s="59">
        <f t="shared" si="148"/>
        <v>258.43295338669657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4.3411294046295064</v>
      </c>
      <c r="CL157" s="21">
        <f>EXP(-LN(2)/25)*CL156+(1-EXP(-LN(2)/25))/(LN(2)/25)*Calculateur!CG157*Calculateur!CI157*VLOOKUP('Données projet'!$B$12,Paramètres!$A$1:$I$89,3,0)*0.475*44/12</f>
        <v>1.1161966455414325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5.4573260501709386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113.64599999999962</v>
      </c>
      <c r="D158" s="11">
        <f t="shared" si="140"/>
        <v>30.188373581400619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1110.3004276458964</v>
      </c>
      <c r="H158" s="67">
        <f t="shared" si="110"/>
        <v>543.84486732093865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8.4429999999999943</v>
      </c>
      <c r="N158" s="13">
        <f>IF('Données projet'!$A$36&gt;35,N157+M158-V157,IF(A158&lt;'Données projet'!$A$36,$K$205^A158,IF(A158='Données projet'!$A$36,'Données projet'!$B$36,N157+M158-V157)))</f>
        <v>443.78300000000047</v>
      </c>
      <c r="O158" s="13">
        <f>N158*VLOOKUP('Données projet'!$B$9,Paramètres!$A$1:$I$89,3,0)*VLOOKUP('Données projet'!$B$9,Paramètres!$A$1:$I$89,5,0)</f>
        <v>401.53485840000047</v>
      </c>
      <c r="P158" s="13">
        <f t="shared" si="141"/>
        <v>92.087764815279797</v>
      </c>
      <c r="Q158" s="20">
        <f t="shared" si="162"/>
        <v>859.72606876661303</v>
      </c>
      <c r="R158" s="59">
        <f t="shared" si="109"/>
        <v>1153.0594020999463</v>
      </c>
      <c r="S158" s="59">
        <f ca="1">AVERAGE(OFFSET($R$3,0,0,'Données projet'!$E$9+1,1))-AVERAGE(OFFSET($H$3,0,0,'Données projet'!$E$9+1,1))</f>
        <v>399.15057697410413</v>
      </c>
      <c r="T158" s="59">
        <f t="shared" si="142"/>
        <v>182.37700638847298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69.689976852139552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69.689976852139552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8.4429999999999943</v>
      </c>
      <c r="AI158" s="13">
        <f>IF('Données projet'!$A$62&gt;35,AI157+AH158-AQ157,IF(A158&lt;'Données projet'!$A$62,$AF$205^A158,IF(A158='Données projet'!$A$62,'Données projet'!$B$62,AI157+AH158-AQ157)))</f>
        <v>443.78300000000047</v>
      </c>
      <c r="AJ158" s="13">
        <f>AI158*VLOOKUP('Données projet'!$B$10,Paramètres!$A$1:$I$89,3,0)*VLOOKUP('Données projet'!$B$10,Paramètres!$A$1:$I$89,5,0)</f>
        <v>449.99596200000047</v>
      </c>
      <c r="AK158" s="13">
        <f t="shared" si="164"/>
        <v>101.84206543885381</v>
      </c>
      <c r="AL158" s="20">
        <f t="shared" si="165"/>
        <v>961.1178977893378</v>
      </c>
      <c r="AM158" s="59">
        <f t="shared" si="113"/>
        <v>1254.4512311226711</v>
      </c>
      <c r="AN158" s="59">
        <f ca="1">AVERAGE(OFFSET($AM$3,0,0,'Données projet'!$E$10+1,1))-AVERAGE(OFFSET($H$3,0,0,'Données projet'!$E$10+1,1))</f>
        <v>463.77045964052894</v>
      </c>
      <c r="AO158" s="59">
        <f t="shared" si="144"/>
        <v>209.77146243694483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78.100836127397812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78.100836127397812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8.4429999999999943</v>
      </c>
      <c r="BD158" s="12">
        <f>IF('Données projet'!$A$88&gt;35,BD157+BC158-BL157,IF(A158&lt;'Données projet'!$A$88,$BA$205^A158,IF(A158='Données projet'!$A$88,'Données projet'!$B$88,BD157+BC158-BL157)))</f>
        <v>443.78300000000047</v>
      </c>
      <c r="BE158" s="13">
        <f>BD158*VLOOKUP('Données projet'!$B$11,Paramètres!$A$1:$I$89,3,0)*VLOOKUP('Données projet'!$B$11,Paramètres!$A$1:$I$89,5,0)</f>
        <v>429.22691760000049</v>
      </c>
      <c r="BF158" s="13">
        <f t="shared" si="167"/>
        <v>97.677436558915673</v>
      </c>
      <c r="BG158" s="20">
        <f t="shared" si="168"/>
        <v>917.69175016011229</v>
      </c>
      <c r="BH158" s="59">
        <f t="shared" si="116"/>
        <v>1211.0250834934457</v>
      </c>
      <c r="BI158" s="59">
        <f ca="1">AVERAGE(OFFSET($BH$3,0,0,'Données projet'!$E$11+1,1))-AVERAGE(OFFSET($H$3,0,0,'Données projet'!$E$11+1,1))</f>
        <v>436.0942819360734</v>
      </c>
      <c r="BJ158" s="59">
        <f t="shared" si="146"/>
        <v>198.03942180876311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74.496182152287119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74.496182152287119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>
        <f>BY158*VLOOKUP('Données projet'!$B$12,Paramètres!$A$1:$I$89,3,0)*VLOOKUP('Données projet'!$B$12,Paramètres!$A$1:$I$89,5,0)</f>
        <v>0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183.99578440773581</v>
      </c>
      <c r="CE158" s="59">
        <f t="shared" si="148"/>
        <v>258.43295338669657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4.2560025048322077</v>
      </c>
      <c r="CL158" s="21">
        <f>EXP(-LN(2)/25)*CL157+(1-EXP(-LN(2)/25))/(LN(2)/25)*Calculateur!CG158*Calculateur!CI158*VLOOKUP('Données projet'!$B$12,Paramètres!$A$1:$I$89,3,0)*0.475*44/12</f>
        <v>1.0856741895708715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5.3416766944030787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114.37919999999961</v>
      </c>
      <c r="D159" s="11">
        <f t="shared" si="140"/>
        <v>30.360402323573442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1117.2881582872308</v>
      </c>
      <c r="H159" s="67">
        <f t="shared" si="110"/>
        <v>545.42147404688967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8.4429999999999943</v>
      </c>
      <c r="N159" s="13">
        <f>IF('Données projet'!$A$36&gt;35,N158+M159-V158,IF(A159&lt;'Données projet'!$A$36,$K$205^A159,IF(A159='Données projet'!$A$36,'Données projet'!$B$36,N158+M159-V158)))</f>
        <v>452.22600000000045</v>
      </c>
      <c r="O159" s="13">
        <f>N159*VLOOKUP('Données projet'!$B$9,Paramètres!$A$1:$I$89,3,0)*VLOOKUP('Données projet'!$B$9,Paramètres!$A$1:$I$89,5,0)</f>
        <v>409.1740848000004</v>
      </c>
      <c r="P159" s="13">
        <f t="shared" si="141"/>
        <v>93.634108404325715</v>
      </c>
      <c r="Q159" s="20">
        <f t="shared" si="162"/>
        <v>875.72426983086791</v>
      </c>
      <c r="R159" s="59">
        <f t="shared" si="109"/>
        <v>1169.0576031642013</v>
      </c>
      <c r="S159" s="59">
        <f ca="1">AVERAGE(OFFSET($R$3,0,0,'Données projet'!$E$9+1,1))-AVERAGE(OFFSET($H$3,0,0,'Données projet'!$E$9+1,1))</f>
        <v>399.15057697410413</v>
      </c>
      <c r="T159" s="59">
        <f t="shared" si="142"/>
        <v>182.37700638847298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68.323398912757781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68.323398912757781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8.4429999999999943</v>
      </c>
      <c r="AI159" s="13">
        <f>IF('Données projet'!$A$62&gt;35,AI158+AH159-AQ158,IF(A159&lt;'Données projet'!$A$62,$AF$205^A159,IF(A159='Données projet'!$A$62,'Données projet'!$B$62,AI158+AH159-AQ158)))</f>
        <v>452.22600000000045</v>
      </c>
      <c r="AJ159" s="13">
        <f>AI159*VLOOKUP('Données projet'!$B$10,Paramètres!$A$1:$I$89,3,0)*VLOOKUP('Données projet'!$B$10,Paramètres!$A$1:$I$89,5,0)</f>
        <v>458.55716400000051</v>
      </c>
      <c r="AK159" s="13">
        <f t="shared" si="164"/>
        <v>103.55220386280693</v>
      </c>
      <c r="AL159" s="20">
        <f t="shared" si="165"/>
        <v>979.00714902772279</v>
      </c>
      <c r="AM159" s="59">
        <f t="shared" si="113"/>
        <v>1272.340482361056</v>
      </c>
      <c r="AN159" s="59">
        <f ca="1">AVERAGE(OFFSET($AM$3,0,0,'Données projet'!$E$10+1,1))-AVERAGE(OFFSET($H$3,0,0,'Données projet'!$E$10+1,1))</f>
        <v>463.77045964052894</v>
      </c>
      <c r="AO159" s="59">
        <f t="shared" si="144"/>
        <v>209.77146243694483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76.56932636774583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76.56932636774583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8.4429999999999943</v>
      </c>
      <c r="BD159" s="12">
        <f>IF('Données projet'!$A$88&gt;35,BD158+BC159-BL158,IF(A159&lt;'Données projet'!$A$88,$BA$205^A159,IF(A159='Données projet'!$A$88,'Données projet'!$B$88,BD158+BC159-BL158)))</f>
        <v>452.22600000000045</v>
      </c>
      <c r="BE159" s="13">
        <f>BD159*VLOOKUP('Données projet'!$B$11,Paramètres!$A$1:$I$89,3,0)*VLOOKUP('Données projet'!$B$11,Paramètres!$A$1:$I$89,5,0)</f>
        <v>437.39298720000045</v>
      </c>
      <c r="BF159" s="13">
        <f t="shared" si="167"/>
        <v>99.317642270502773</v>
      </c>
      <c r="BG159" s="20">
        <f t="shared" si="168"/>
        <v>934.77101299445985</v>
      </c>
      <c r="BH159" s="59">
        <f t="shared" si="116"/>
        <v>1228.1043463277931</v>
      </c>
      <c r="BI159" s="59">
        <f ca="1">AVERAGE(OFFSET($BH$3,0,0,'Données projet'!$E$11+1,1))-AVERAGE(OFFSET($H$3,0,0,'Données projet'!$E$11+1,1))</f>
        <v>436.0942819360734</v>
      </c>
      <c r="BJ159" s="59">
        <f t="shared" si="146"/>
        <v>198.03942180876311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73.035357458465228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73.035357458465228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>
        <f>BY159*VLOOKUP('Données projet'!$B$12,Paramètres!$A$1:$I$89,3,0)*VLOOKUP('Données projet'!$B$12,Paramètres!$A$1:$I$89,5,0)</f>
        <v>0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183.99578440773581</v>
      </c>
      <c r="CE159" s="59">
        <f t="shared" si="148"/>
        <v>258.43295338669657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4.172544891617652</v>
      </c>
      <c r="CL159" s="21">
        <f>EXP(-LN(2)/25)*CL158+(1-EXP(-LN(2)/25))/(LN(2)/25)*Calculateur!CG159*Calculateur!CI159*VLOOKUP('Données projet'!$B$12,Paramètres!$A$1:$I$89,3,0)*0.475*44/12</f>
        <v>1.0559863717639317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5.2285312633815835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115.11239999999961</v>
      </c>
      <c r="D160" s="11">
        <f t="shared" si="140"/>
        <v>30.532302752785306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1124.2748984425502</v>
      </c>
      <c r="H160" s="67">
        <f t="shared" si="110"/>
        <v>546.99785729443374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8.4429999999999943</v>
      </c>
      <c r="N160" s="13">
        <f>IF('Données projet'!$A$36&gt;35,N159+M160-V159,IF(A160&lt;'Données projet'!$A$36,$K$205^A160,IF(A160='Données projet'!$A$36,'Données projet'!$B$36,N159+M160-V159)))</f>
        <v>460.66900000000044</v>
      </c>
      <c r="O160" s="13">
        <f>N160*VLOOKUP('Données projet'!$B$9,Paramètres!$A$1:$I$89,3,0)*VLOOKUP('Données projet'!$B$9,Paramètres!$A$1:$I$89,5,0)</f>
        <v>416.81331120000038</v>
      </c>
      <c r="P160" s="13">
        <f t="shared" si="141"/>
        <v>95.177094964322421</v>
      </c>
      <c r="Q160" s="20">
        <f t="shared" si="162"/>
        <v>891.71662406952885</v>
      </c>
      <c r="R160" s="59">
        <f t="shared" si="109"/>
        <v>1185.0499574028622</v>
      </c>
      <c r="S160" s="59">
        <f ca="1">AVERAGE(OFFSET($R$3,0,0,'Données projet'!$E$9+1,1))-AVERAGE(OFFSET($H$3,0,0,'Données projet'!$E$9+1,1))</f>
        <v>399.15057697410413</v>
      </c>
      <c r="T160" s="59">
        <f t="shared" si="142"/>
        <v>182.37700638847298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66.983618733237051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66.983618733237051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8.4429999999999943</v>
      </c>
      <c r="AI160" s="13">
        <f>IF('Données projet'!$A$62&gt;35,AI159+AH160-AQ159,IF(A160&lt;'Données projet'!$A$62,$AF$205^A160,IF(A160='Données projet'!$A$62,'Données projet'!$B$62,AI159+AH160-AQ159)))</f>
        <v>460.66900000000044</v>
      </c>
      <c r="AJ160" s="13">
        <f>AI160*VLOOKUP('Données projet'!$B$10,Paramètres!$A$1:$I$89,3,0)*VLOOKUP('Données projet'!$B$10,Paramètres!$A$1:$I$89,5,0)</f>
        <v>467.11836600000044</v>
      </c>
      <c r="AK160" s="13">
        <f t="shared" si="164"/>
        <v>105.25862966790358</v>
      </c>
      <c r="AL160" s="20">
        <f t="shared" si="165"/>
        <v>996.88993412159937</v>
      </c>
      <c r="AM160" s="59">
        <f t="shared" si="113"/>
        <v>1290.2232674549327</v>
      </c>
      <c r="AN160" s="59">
        <f ca="1">AVERAGE(OFFSET($AM$3,0,0,'Données projet'!$E$10+1,1))-AVERAGE(OFFSET($H$3,0,0,'Données projet'!$E$10+1,1))</f>
        <v>463.77045964052894</v>
      </c>
      <c r="AO160" s="59">
        <f t="shared" si="144"/>
        <v>209.77146243694483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75.067848580351907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75.067848580351907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8.4429999999999943</v>
      </c>
      <c r="BD160" s="12">
        <f>IF('Données projet'!$A$88&gt;35,BD159+BC160-BL159,IF(A160&lt;'Données projet'!$A$88,$BA$205^A160,IF(A160='Données projet'!$A$88,'Données projet'!$B$88,BD159+BC160-BL159)))</f>
        <v>460.66900000000044</v>
      </c>
      <c r="BE160" s="13">
        <f>BD160*VLOOKUP('Données projet'!$B$11,Paramètres!$A$1:$I$89,3,0)*VLOOKUP('Données projet'!$B$11,Paramètres!$A$1:$I$89,5,0)</f>
        <v>445.55905680000046</v>
      </c>
      <c r="BF160" s="13">
        <f t="shared" si="167"/>
        <v>100.95428718340372</v>
      </c>
      <c r="BG160" s="20">
        <f t="shared" si="168"/>
        <v>951.84407410442907</v>
      </c>
      <c r="BH160" s="59">
        <f t="shared" si="116"/>
        <v>1245.1774074377624</v>
      </c>
      <c r="BI160" s="59">
        <f ca="1">AVERAGE(OFFSET($BH$3,0,0,'Données projet'!$E$11+1,1))-AVERAGE(OFFSET($H$3,0,0,'Données projet'!$E$11+1,1))</f>
        <v>436.0942819360734</v>
      </c>
      <c r="BJ160" s="59">
        <f t="shared" si="146"/>
        <v>198.03942180876311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71.60317864587411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71.60317864587411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>
        <f>BY160*VLOOKUP('Données projet'!$B$12,Paramètres!$A$1:$I$89,3,0)*VLOOKUP('Données projet'!$B$12,Paramètres!$A$1:$I$89,5,0)</f>
        <v>0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183.99578440773581</v>
      </c>
      <c r="CE160" s="59">
        <f t="shared" si="148"/>
        <v>258.43295338669657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4.0907238312941159</v>
      </c>
      <c r="CL160" s="21">
        <f>EXP(-LN(2)/25)*CL159+(1-EXP(-LN(2)/25))/(LN(2)/25)*Calculateur!CG160*Calculateur!CI160*VLOOKUP('Données projet'!$B$12,Paramètres!$A$1:$I$89,3,0)*0.475*44/12</f>
        <v>1.0271103688961372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5.117834200190253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115.84559999999961</v>
      </c>
      <c r="D161" s="11">
        <f t="shared" si="140"/>
        <v>30.704075781121787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1131.2606551525159</v>
      </c>
      <c r="H161" s="67">
        <f t="shared" si="110"/>
        <v>548.57401865211966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8.4429999999999943</v>
      </c>
      <c r="N161" s="13">
        <f>IF('Données projet'!$A$36&gt;35,N160+M161-V160,IF(A161&lt;'Données projet'!$A$36,$K$205^A161,IF(A161='Données projet'!$A$36,'Données projet'!$B$36,N160+M161-V160)))</f>
        <v>469.11200000000042</v>
      </c>
      <c r="O161" s="13">
        <f>N161*VLOOKUP('Données projet'!$B$9,Paramètres!$A$1:$I$89,3,0)*VLOOKUP('Données projet'!$B$9,Paramètres!$A$1:$I$89,5,0)</f>
        <v>424.45253760000043</v>
      </c>
      <c r="P161" s="13">
        <f t="shared" si="141"/>
        <v>96.716793118095666</v>
      </c>
      <c r="Q161" s="20">
        <f t="shared" si="162"/>
        <v>907.70325100068385</v>
      </c>
      <c r="R161" s="59">
        <f t="shared" si="109"/>
        <v>1201.0365843340171</v>
      </c>
      <c r="S161" s="59">
        <f ca="1">AVERAGE(OFFSET($R$3,0,0,'Données projet'!$E$9+1,1))-AVERAGE(OFFSET($H$3,0,0,'Données projet'!$E$9+1,1))</f>
        <v>399.15057697410413</v>
      </c>
      <c r="T161" s="59">
        <f t="shared" si="142"/>
        <v>182.37700638847298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65.670110825851509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65.670110825851509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8.4429999999999943</v>
      </c>
      <c r="AI161" s="13">
        <f>IF('Données projet'!$A$62&gt;35,AI160+AH161-AQ160,IF(A161&lt;'Données projet'!$A$62,$AF$205^A161,IF(A161='Données projet'!$A$62,'Données projet'!$B$62,AI160+AH161-AQ160)))</f>
        <v>469.11200000000042</v>
      </c>
      <c r="AJ161" s="13">
        <f>AI161*VLOOKUP('Données projet'!$B$10,Paramètres!$A$1:$I$89,3,0)*VLOOKUP('Données projet'!$B$10,Paramètres!$A$1:$I$89,5,0)</f>
        <v>475.67956800000047</v>
      </c>
      <c r="AK161" s="13">
        <f t="shared" si="164"/>
        <v>106.96141874577063</v>
      </c>
      <c r="AL161" s="20">
        <f t="shared" si="165"/>
        <v>1014.7663852488846</v>
      </c>
      <c r="AM161" s="59">
        <f t="shared" si="113"/>
        <v>1308.099718582218</v>
      </c>
      <c r="AN161" s="59">
        <f ca="1">AVERAGE(OFFSET($AM$3,0,0,'Données projet'!$E$10+1,1))-AVERAGE(OFFSET($H$3,0,0,'Données projet'!$E$10+1,1))</f>
        <v>463.77045964052894</v>
      </c>
      <c r="AO161" s="59">
        <f t="shared" si="144"/>
        <v>209.77146243694483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73.595813856557768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73.595813856557768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8.4429999999999943</v>
      </c>
      <c r="BD161" s="12">
        <f>IF('Données projet'!$A$88&gt;35,BD160+BC161-BL160,IF(A161&lt;'Données projet'!$A$88,$BA$205^A161,IF(A161='Données projet'!$A$88,'Données projet'!$B$88,BD160+BC161-BL160)))</f>
        <v>469.11200000000042</v>
      </c>
      <c r="BE161" s="13">
        <f>BD161*VLOOKUP('Données projet'!$B$11,Paramètres!$A$1:$I$89,3,0)*VLOOKUP('Données projet'!$B$11,Paramètres!$A$1:$I$89,5,0)</f>
        <v>453.72512640000042</v>
      </c>
      <c r="BF161" s="13">
        <f t="shared" si="167"/>
        <v>102.5874440858081</v>
      </c>
      <c r="BG161" s="20">
        <f t="shared" si="168"/>
        <v>968.91106026278305</v>
      </c>
      <c r="BH161" s="59">
        <f t="shared" si="116"/>
        <v>1262.2443935961164</v>
      </c>
      <c r="BI161" s="59">
        <f ca="1">AVERAGE(OFFSET($BH$3,0,0,'Données projet'!$E$11+1,1))-AVERAGE(OFFSET($H$3,0,0,'Données projet'!$E$11+1,1))</f>
        <v>436.0942819360734</v>
      </c>
      <c r="BJ161" s="59">
        <f t="shared" si="146"/>
        <v>198.03942180876311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70.199083986255076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70.199083986255076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>
        <f>BY161*VLOOKUP('Données projet'!$B$12,Paramètres!$A$1:$I$89,3,0)*VLOOKUP('Données projet'!$B$12,Paramètres!$A$1:$I$89,5,0)</f>
        <v>0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183.99578440773581</v>
      </c>
      <c r="CE161" s="59">
        <f t="shared" si="148"/>
        <v>258.43295338669657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4.0105072320576047</v>
      </c>
      <c r="CL161" s="21">
        <f>EXP(-LN(2)/25)*CL160+(1-EXP(-LN(2)/25))/(LN(2)/25)*Calculateur!CG161*Calculateur!CI161*VLOOKUP('Données projet'!$B$12,Paramètres!$A$1:$I$89,3,0)*0.475*44/12</f>
        <v>0.99902398184528551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5.00953121390289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116.5787999999996</v>
      </c>
      <c r="D162" s="11">
        <f t="shared" si="140"/>
        <v>30.875722308455476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1138.2454353635128</v>
      </c>
      <c r="H162" s="67">
        <f t="shared" si="110"/>
        <v>550.14995968722587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8.4429999999999943</v>
      </c>
      <c r="N162" s="13">
        <f>IF('Données projet'!$A$36&gt;35,N161+M162-V161,IF(A162&lt;'Données projet'!$A$36,$K$205^A162,IF(A162='Données projet'!$A$36,'Données projet'!$B$36,N161+M162-V161)))</f>
        <v>477.5550000000004</v>
      </c>
      <c r="O162" s="13">
        <f>N162*VLOOKUP('Données projet'!$B$9,Paramètres!$A$1:$I$89,3,0)*VLOOKUP('Données projet'!$B$9,Paramètres!$A$1:$I$89,5,0)</f>
        <v>432.09176400000035</v>
      </c>
      <c r="P162" s="13">
        <f t="shared" si="141"/>
        <v>98.253268876899142</v>
      </c>
      <c r="Q162" s="20">
        <f t="shared" si="162"/>
        <v>923.68426559393322</v>
      </c>
      <c r="R162" s="59">
        <f t="shared" si="109"/>
        <v>1217.0175989272666</v>
      </c>
      <c r="S162" s="59">
        <f ca="1">AVERAGE(OFFSET($R$3,0,0,'Données projet'!$E$9+1,1))-AVERAGE(OFFSET($H$3,0,0,'Données projet'!$E$9+1,1))</f>
        <v>399.15057697410413</v>
      </c>
      <c r="T162" s="59">
        <f t="shared" si="142"/>
        <v>182.37700638847298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64.382360007369087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64.382360007369087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8.4429999999999943</v>
      </c>
      <c r="AI162" s="13">
        <f>IF('Données projet'!$A$62&gt;35,AI161+AH162-AQ161,IF(A162&lt;'Données projet'!$A$62,$AF$205^A162,IF(A162='Données projet'!$A$62,'Données projet'!$B$62,AI161+AH162-AQ161)))</f>
        <v>477.5550000000004</v>
      </c>
      <c r="AJ162" s="13">
        <f>AI162*VLOOKUP('Données projet'!$B$10,Paramètres!$A$1:$I$89,3,0)*VLOOKUP('Données projet'!$B$10,Paramètres!$A$1:$I$89,5,0)</f>
        <v>484.24077000000045</v>
      </c>
      <c r="AK162" s="13">
        <f t="shared" si="164"/>
        <v>108.66064409983538</v>
      </c>
      <c r="AL162" s="20">
        <f t="shared" si="165"/>
        <v>1032.6366295572141</v>
      </c>
      <c r="AM162" s="59">
        <f t="shared" si="113"/>
        <v>1325.9699628905473</v>
      </c>
      <c r="AN162" s="59">
        <f ca="1">AVERAGE(OFFSET($AM$3,0,0,'Données projet'!$E$10+1,1))-AVERAGE(OFFSET($H$3,0,0,'Données projet'!$E$10+1,1))</f>
        <v>463.77045964052894</v>
      </c>
      <c r="AO162" s="59">
        <f t="shared" si="144"/>
        <v>209.77146243694483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72.152644835844697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72.152644835844697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8.4429999999999943</v>
      </c>
      <c r="BD162" s="12">
        <f>IF('Données projet'!$A$88&gt;35,BD161+BC162-BL161,IF(A162&lt;'Données projet'!$A$88,$BA$205^A162,IF(A162='Données projet'!$A$88,'Données projet'!$B$88,BD161+BC162-BL161)))</f>
        <v>477.5550000000004</v>
      </c>
      <c r="BE162" s="13">
        <f>BD162*VLOOKUP('Données projet'!$B$11,Paramètres!$A$1:$I$89,3,0)*VLOOKUP('Données projet'!$B$11,Paramètres!$A$1:$I$89,5,0)</f>
        <v>461.89119600000043</v>
      </c>
      <c r="BF162" s="13">
        <f t="shared" si="167"/>
        <v>104.21718299581295</v>
      </c>
      <c r="BG162" s="20">
        <f t="shared" si="168"/>
        <v>985.97209341770815</v>
      </c>
      <c r="BH162" s="59">
        <f t="shared" si="116"/>
        <v>1279.3054267510415</v>
      </c>
      <c r="BI162" s="59">
        <f ca="1">AVERAGE(OFFSET($BH$3,0,0,'Données projet'!$E$11+1,1))-AVERAGE(OFFSET($H$3,0,0,'Données projet'!$E$11+1,1))</f>
        <v>436.0942819360734</v>
      </c>
      <c r="BJ162" s="59">
        <f t="shared" si="146"/>
        <v>198.03942180876311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68.822522766497997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68.822522766497997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>
        <f>BY162*VLOOKUP('Données projet'!$B$12,Paramètres!$A$1:$I$89,3,0)*VLOOKUP('Données projet'!$B$12,Paramètres!$A$1:$I$89,5,0)</f>
        <v>0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183.99578440773581</v>
      </c>
      <c r="CE162" s="59">
        <f t="shared" si="148"/>
        <v>258.43295338669657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3.9318636314048279</v>
      </c>
      <c r="CL162" s="21">
        <f>EXP(-LN(2)/25)*CL161+(1-EXP(-LN(2)/25))/(LN(2)/25)*Calculateur!CG162*Calculateur!CI162*VLOOKUP('Données projet'!$B$12,Paramètres!$A$1:$I$89,3,0)*0.475*44/12</f>
        <v>0.97170561852533832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4.9035692499301664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117.3119999999996</v>
      </c>
      <c r="D163" s="11">
        <f t="shared" si="140"/>
        <v>31.047243222685147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1145.2292459294963</v>
      </c>
      <c r="H163" s="67">
        <f t="shared" si="110"/>
        <v>551.72568194617588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8.4429999999999943</v>
      </c>
      <c r="N163" s="13">
        <f>IF('Données projet'!$A$36&gt;35,N162+M163-V162,IF(A163&lt;'Données projet'!$A$36,$K$205^A163,IF(A163='Données projet'!$A$36,'Données projet'!$B$36,N162+M163-V162)))</f>
        <v>485.99800000000039</v>
      </c>
      <c r="O163" s="13">
        <f>N163*VLOOKUP('Données projet'!$B$9,Paramètres!$A$1:$I$89,3,0)*VLOOKUP('Données projet'!$B$9,Paramètres!$A$1:$I$89,5,0)</f>
        <v>439.73099040000034</v>
      </c>
      <c r="P163" s="13">
        <f t="shared" si="141"/>
        <v>99.786585784186272</v>
      </c>
      <c r="Q163" s="20">
        <f t="shared" si="162"/>
        <v>939.65977852079175</v>
      </c>
      <c r="R163" s="59">
        <f t="shared" si="109"/>
        <v>1232.9931118541251</v>
      </c>
      <c r="S163" s="59">
        <f ca="1">AVERAGE(OFFSET($R$3,0,0,'Données projet'!$E$9+1,1))-AVERAGE(OFFSET($H$3,0,0,'Données projet'!$E$9+1,1))</f>
        <v>399.15057697410413</v>
      </c>
      <c r="T163" s="59">
        <f t="shared" si="142"/>
        <v>182.37700638847298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63.119861196986655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63.119861196986655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8.4429999999999943</v>
      </c>
      <c r="AI163" s="13">
        <f>IF('Données projet'!$A$62&gt;35,AI162+AH163-AQ162,IF(A163&lt;'Données projet'!$A$62,$AF$205^A163,IF(A163='Données projet'!$A$62,'Données projet'!$B$62,AI162+AH163-AQ162)))</f>
        <v>485.99800000000039</v>
      </c>
      <c r="AJ163" s="13">
        <f>AI163*VLOOKUP('Données projet'!$B$10,Paramètres!$A$1:$I$89,3,0)*VLOOKUP('Données projet'!$B$10,Paramètres!$A$1:$I$89,5,0)</f>
        <v>492.80197200000038</v>
      </c>
      <c r="AK163" s="13">
        <f t="shared" si="164"/>
        <v>110.35637600432534</v>
      </c>
      <c r="AL163" s="20">
        <f t="shared" si="165"/>
        <v>1050.5007894408673</v>
      </c>
      <c r="AM163" s="59">
        <f t="shared" si="113"/>
        <v>1343.8341227742005</v>
      </c>
      <c r="AN163" s="59">
        <f ca="1">AVERAGE(OFFSET($AM$3,0,0,'Données projet'!$E$10+1,1))-AVERAGE(OFFSET($H$3,0,0,'Données projet'!$E$10+1,1))</f>
        <v>463.77045964052894</v>
      </c>
      <c r="AO163" s="59">
        <f t="shared" si="144"/>
        <v>209.77146243694483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70.737775479381625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70.737775479381625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8.4429999999999943</v>
      </c>
      <c r="BD163" s="12">
        <f>IF('Données projet'!$A$88&gt;35,BD162+BC163-BL162,IF(A163&lt;'Données projet'!$A$88,$BA$205^A163,IF(A163='Données projet'!$A$88,'Données projet'!$B$88,BD162+BC163-BL162)))</f>
        <v>485.99800000000039</v>
      </c>
      <c r="BE163" s="13">
        <f>BD163*VLOOKUP('Données projet'!$B$11,Paramètres!$A$1:$I$89,3,0)*VLOOKUP('Données projet'!$B$11,Paramètres!$A$1:$I$89,5,0)</f>
        <v>470.05726560000039</v>
      </c>
      <c r="BF163" s="13">
        <f t="shared" si="167"/>
        <v>105.843571313921</v>
      </c>
      <c r="BG163" s="20">
        <f t="shared" si="168"/>
        <v>1003.0272909584129</v>
      </c>
      <c r="BH163" s="59">
        <f t="shared" si="116"/>
        <v>1296.3606242917463</v>
      </c>
      <c r="BI163" s="59">
        <f ca="1">AVERAGE(OFFSET($BH$3,0,0,'Données projet'!$E$11+1,1))-AVERAGE(OFFSET($H$3,0,0,'Données projet'!$E$11+1,1))</f>
        <v>436.0942819360734</v>
      </c>
      <c r="BJ163" s="59">
        <f t="shared" si="146"/>
        <v>198.03942180876311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67.472955072640914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67.472955072640914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>
        <f>BY163*VLOOKUP('Données projet'!$B$12,Paramètres!$A$1:$I$89,3,0)*VLOOKUP('Données projet'!$B$12,Paramètres!$A$1:$I$89,5,0)</f>
        <v>0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183.99578440773581</v>
      </c>
      <c r="CE163" s="59">
        <f t="shared" si="148"/>
        <v>258.43295338669657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3.854762183792992</v>
      </c>
      <c r="CL163" s="21">
        <f>EXP(-LN(2)/25)*CL162+(1-EXP(-LN(2)/25))/(LN(2)/25)*Calculateur!CG163*Calculateur!CI163*VLOOKUP('Données projet'!$B$12,Paramètres!$A$1:$I$89,3,0)*0.475*44/12</f>
        <v>0.94513427728698529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4.7998964610799773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118.0451999999996</v>
      </c>
      <c r="D164" s="11">
        <f t="shared" si="140"/>
        <v>31.218639399968879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1152.2120936137917</v>
      </c>
      <c r="H164" s="67">
        <f t="shared" si="110"/>
        <v>553.30118695494502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8.4429999999999943</v>
      </c>
      <c r="N164" s="13">
        <f>IF('Données projet'!$A$36&gt;35,N163+M164-V163,IF(A164&lt;'Données projet'!$A$36,$K$205^A164,IF(A164='Données projet'!$A$36,'Données projet'!$B$36,N163+M164-V163)))</f>
        <v>494.44100000000037</v>
      </c>
      <c r="O164" s="13">
        <f>N164*VLOOKUP('Données projet'!$B$9,Paramètres!$A$1:$I$89,3,0)*VLOOKUP('Données projet'!$B$9,Paramètres!$A$1:$I$89,5,0)</f>
        <v>447.37021680000026</v>
      </c>
      <c r="P164" s="13">
        <f t="shared" si="141"/>
        <v>101.3168050491076</v>
      </c>
      <c r="Q164" s="20">
        <f t="shared" si="162"/>
        <v>955.62989638719603</v>
      </c>
      <c r="R164" s="59">
        <f t="shared" si="109"/>
        <v>1248.9632297205294</v>
      </c>
      <c r="S164" s="59">
        <f ca="1">AVERAGE(OFFSET($R$3,0,0,'Données projet'!$E$9+1,1))-AVERAGE(OFFSET($H$3,0,0,'Données projet'!$E$9+1,1))</f>
        <v>399.15057697410413</v>
      </c>
      <c r="T164" s="59">
        <f t="shared" si="142"/>
        <v>182.37700638847298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61.882119218227587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61.882119218227587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8.4429999999999943</v>
      </c>
      <c r="AI164" s="13">
        <f>IF('Données projet'!$A$62&gt;35,AI163+AH164-AQ163,IF(A164&lt;'Données projet'!$A$62,$AF$205^A164,IF(A164='Données projet'!$A$62,'Données projet'!$B$62,AI163+AH164-AQ163)))</f>
        <v>494.44100000000037</v>
      </c>
      <c r="AJ164" s="13">
        <f>AI164*VLOOKUP('Données projet'!$B$10,Paramètres!$A$1:$I$89,3,0)*VLOOKUP('Données projet'!$B$10,Paramètres!$A$1:$I$89,5,0)</f>
        <v>501.36317400000041</v>
      </c>
      <c r="AK164" s="13">
        <f t="shared" si="164"/>
        <v>112.04868215190658</v>
      </c>
      <c r="AL164" s="20">
        <f t="shared" si="165"/>
        <v>1068.3589827979044</v>
      </c>
      <c r="AM164" s="59">
        <f t="shared" si="113"/>
        <v>1361.6923161312377</v>
      </c>
      <c r="AN164" s="59">
        <f ca="1">AVERAGE(OFFSET($AM$3,0,0,'Données projet'!$E$10+1,1))-AVERAGE(OFFSET($H$3,0,0,'Données projet'!$E$10+1,1))</f>
        <v>463.77045964052894</v>
      </c>
      <c r="AO164" s="59">
        <f t="shared" si="144"/>
        <v>209.77146243694483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69.3506508480137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69.3506508480137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8.4429999999999943</v>
      </c>
      <c r="BD164" s="12">
        <f>IF('Données projet'!$A$88&gt;35,BD163+BC164-BL163,IF(A164&lt;'Données projet'!$A$88,$BA$205^A164,IF(A164='Données projet'!$A$88,'Données projet'!$B$88,BD163+BC164-BL163)))</f>
        <v>494.44100000000037</v>
      </c>
      <c r="BE164" s="13">
        <f>BD164*VLOOKUP('Données projet'!$B$11,Paramètres!$A$1:$I$89,3,0)*VLOOKUP('Données projet'!$B$11,Paramètres!$A$1:$I$89,5,0)</f>
        <v>478.22333520000041</v>
      </c>
      <c r="BF164" s="13">
        <f t="shared" si="167"/>
        <v>107.46667396464125</v>
      </c>
      <c r="BG164" s="20">
        <f t="shared" si="168"/>
        <v>1020.0767659617509</v>
      </c>
      <c r="BH164" s="59">
        <f t="shared" si="116"/>
        <v>1313.4100992950841</v>
      </c>
      <c r="BI164" s="59">
        <f ca="1">AVERAGE(OFFSET($BH$3,0,0,'Données projet'!$E$11+1,1))-AVERAGE(OFFSET($H$3,0,0,'Données projet'!$E$11+1,1))</f>
        <v>436.0942819360734</v>
      </c>
      <c r="BJ164" s="59">
        <f t="shared" si="146"/>
        <v>198.03942180876311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66.149851578105356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66.149851578105356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>
        <f>BY164*VLOOKUP('Données projet'!$B$12,Paramètres!$A$1:$I$89,3,0)*VLOOKUP('Données projet'!$B$12,Paramètres!$A$1:$I$89,5,0)</f>
        <v>0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183.99578440773581</v>
      </c>
      <c r="CE164" s="59">
        <f t="shared" si="148"/>
        <v>258.43295338669657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3.7791726485415844</v>
      </c>
      <c r="CL164" s="21">
        <f>EXP(-LN(2)/25)*CL163+(1-EXP(-LN(2)/25))/(LN(2)/25)*Calculateur!CG164*Calculateur!CI164*VLOOKUP('Données projet'!$B$12,Paramètres!$A$1:$I$89,3,0)*0.475*44/12</f>
        <v>0.91928953077212117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4.6984621793137054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118.77839999999959</v>
      </c>
      <c r="D165" s="11">
        <f t="shared" si="140"/>
        <v>31.389911704951448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1159.19398509085</v>
      </c>
      <c r="H165" s="67">
        <f t="shared" si="110"/>
        <v>554.87647621945644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8.4429999999999943</v>
      </c>
      <c r="N165" s="13">
        <f>IF('Données projet'!$A$36&gt;35,N164+M165-V164,IF(A165&lt;'Données projet'!$A$36,$K$205^A165,IF(A165='Données projet'!$A$36,'Données projet'!$B$36,N164+M165-V164)))</f>
        <v>502.88400000000036</v>
      </c>
      <c r="O165" s="13">
        <f>N165*VLOOKUP('Données projet'!$B$9,Paramètres!$A$1:$I$89,3,0)*VLOOKUP('Données projet'!$B$9,Paramètres!$A$1:$I$89,5,0)</f>
        <v>455.00944320000031</v>
      </c>
      <c r="P165" s="13">
        <f t="shared" si="141"/>
        <v>102.84398567063174</v>
      </c>
      <c r="Q165" s="20">
        <f t="shared" si="162"/>
        <v>971.59472194968396</v>
      </c>
      <c r="R165" s="59">
        <f t="shared" si="109"/>
        <v>1264.9280552830173</v>
      </c>
      <c r="S165" s="59">
        <f ca="1">AVERAGE(OFFSET($R$3,0,0,'Données projet'!$E$9+1,1))-AVERAGE(OFFSET($H$3,0,0,'Données projet'!$E$9+1,1))</f>
        <v>399.15057697410413</v>
      </c>
      <c r="T165" s="59">
        <f t="shared" si="142"/>
        <v>182.37700638847298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60.66864860472392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60.66864860472392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8.4429999999999943</v>
      </c>
      <c r="AI165" s="13">
        <f>IF('Données projet'!$A$62&gt;35,AI164+AH165-AQ164,IF(A165&lt;'Données projet'!$A$62,$AF$205^A165,IF(A165='Données projet'!$A$62,'Données projet'!$B$62,AI164+AH165-AQ164)))</f>
        <v>502.88400000000036</v>
      </c>
      <c r="AJ165" s="13">
        <f>AI165*VLOOKUP('Données projet'!$B$10,Paramètres!$A$1:$I$89,3,0)*VLOOKUP('Données projet'!$B$10,Paramètres!$A$1:$I$89,5,0)</f>
        <v>509.92437600000034</v>
      </c>
      <c r="AK165" s="13">
        <f t="shared" si="164"/>
        <v>113.73762779095213</v>
      </c>
      <c r="AL165" s="20">
        <f t="shared" si="165"/>
        <v>1086.211323269242</v>
      </c>
      <c r="AM165" s="59">
        <f t="shared" si="113"/>
        <v>1379.5446566025753</v>
      </c>
      <c r="AN165" s="59">
        <f ca="1">AVERAGE(OFFSET($AM$3,0,0,'Données projet'!$E$10+1,1))-AVERAGE(OFFSET($H$3,0,0,'Données projet'!$E$10+1,1))</f>
        <v>463.77045964052894</v>
      </c>
      <c r="AO165" s="59">
        <f t="shared" si="144"/>
        <v>209.77146243694483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67.990726884604413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67.990726884604413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8.4429999999999943</v>
      </c>
      <c r="BD165" s="12">
        <f>IF('Données projet'!$A$88&gt;35,BD164+BC165-BL164,IF(A165&lt;'Données projet'!$A$88,$BA$205^A165,IF(A165='Données projet'!$A$88,'Données projet'!$B$88,BD164+BC165-BL164)))</f>
        <v>502.88400000000036</v>
      </c>
      <c r="BE165" s="13">
        <f>BD165*VLOOKUP('Données projet'!$B$11,Paramètres!$A$1:$I$89,3,0)*VLOOKUP('Données projet'!$B$11,Paramètres!$A$1:$I$89,5,0)</f>
        <v>486.38940480000036</v>
      </c>
      <c r="BF165" s="13">
        <f t="shared" si="167"/>
        <v>109.08655352814421</v>
      </c>
      <c r="BG165" s="20">
        <f t="shared" si="168"/>
        <v>1037.1206274215183</v>
      </c>
      <c r="BH165" s="59">
        <f t="shared" si="116"/>
        <v>1330.4539607548516</v>
      </c>
      <c r="BI165" s="59">
        <f ca="1">AVERAGE(OFFSET($BH$3,0,0,'Données projet'!$E$11+1,1))-AVERAGE(OFFSET($H$3,0,0,'Données projet'!$E$11+1,1))</f>
        <v>436.0942819360734</v>
      </c>
      <c r="BJ165" s="59">
        <f t="shared" si="146"/>
        <v>198.03942180876311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64.852693336084201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64.852693336084201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>
        <f>BY165*VLOOKUP('Données projet'!$B$12,Paramètres!$A$1:$I$89,3,0)*VLOOKUP('Données projet'!$B$12,Paramètres!$A$1:$I$89,5,0)</f>
        <v>0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183.99578440773581</v>
      </c>
      <c r="CE165" s="59">
        <f t="shared" si="148"/>
        <v>258.43295338669657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3.7050653779713931</v>
      </c>
      <c r="CL165" s="21">
        <f>EXP(-LN(2)/25)*CL164+(1-EXP(-LN(2)/25))/(LN(2)/25)*Calculateur!CG165*Calculateur!CI165*VLOOKUP('Données projet'!$B$12,Paramètres!$A$1:$I$89,3,0)*0.475*44/12</f>
        <v>0.8941515102098222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4.599216888181215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119.51159999999959</v>
      </c>
      <c r="D166" s="11">
        <f t="shared" si="140"/>
        <v>31.561060990985393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1166.1749269479544</v>
      </c>
      <c r="H166" s="67">
        <f t="shared" si="110"/>
        <v>556.45155122596543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8.4429999999999943</v>
      </c>
      <c r="N166" s="13">
        <f>IF('Données projet'!$A$36&gt;35,N165+M166-V165,IF(A166&lt;'Données projet'!$A$36,$K$205^A166,IF(A166='Données projet'!$A$36,'Données projet'!$B$36,N165+M166-V165)))</f>
        <v>511.32700000000034</v>
      </c>
      <c r="O166" s="13">
        <f>N166*VLOOKUP('Données projet'!$B$9,Paramètres!$A$1:$I$89,3,0)*VLOOKUP('Données projet'!$B$9,Paramètres!$A$1:$I$89,5,0)</f>
        <v>462.64866960000029</v>
      </c>
      <c r="P166" s="13">
        <f t="shared" si="141"/>
        <v>104.36818455309495</v>
      </c>
      <c r="Q166" s="20">
        <f t="shared" si="162"/>
        <v>987.5543543166408</v>
      </c>
      <c r="R166" s="59">
        <f t="shared" si="109"/>
        <v>1280.8876876499742</v>
      </c>
      <c r="S166" s="59">
        <f ca="1">AVERAGE(OFFSET($R$3,0,0,'Données projet'!$E$9+1,1))-AVERAGE(OFFSET($H$3,0,0,'Données projet'!$E$9+1,1))</f>
        <v>399.15057697410413</v>
      </c>
      <c r="T166" s="59">
        <f t="shared" si="142"/>
        <v>182.37700638847298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59.478973409807068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59.478973409807068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8.4429999999999943</v>
      </c>
      <c r="AI166" s="13">
        <f>IF('Données projet'!$A$62&gt;35,AI165+AH166-AQ165,IF(A166&lt;'Données projet'!$A$62,$AF$205^A166,IF(A166='Données projet'!$A$62,'Données projet'!$B$62,AI165+AH166-AQ165)))</f>
        <v>511.32700000000034</v>
      </c>
      <c r="AJ166" s="13">
        <f>AI166*VLOOKUP('Données projet'!$B$10,Paramètres!$A$1:$I$89,3,0)*VLOOKUP('Données projet'!$B$10,Paramètres!$A$1:$I$89,5,0)</f>
        <v>518.48557800000037</v>
      </c>
      <c r="AK166" s="13">
        <f t="shared" si="164"/>
        <v>115.42327585333055</v>
      </c>
      <c r="AL166" s="20">
        <f t="shared" si="165"/>
        <v>1104.0579204612179</v>
      </c>
      <c r="AM166" s="59">
        <f t="shared" si="113"/>
        <v>1397.3912537945512</v>
      </c>
      <c r="AN166" s="59">
        <f ca="1">AVERAGE(OFFSET($AM$3,0,0,'Données projet'!$E$10+1,1))-AVERAGE(OFFSET($H$3,0,0,'Données projet'!$E$10+1,1))</f>
        <v>463.77045964052894</v>
      </c>
      <c r="AO166" s="59">
        <f t="shared" si="144"/>
        <v>209.77146243694483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66.657470200645875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66.657470200645875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8.4429999999999943</v>
      </c>
      <c r="BD166" s="12">
        <f>IF('Données projet'!$A$88&gt;35,BD165+BC166-BL165,IF(A166&lt;'Données projet'!$A$88,$BA$205^A166,IF(A166='Données projet'!$A$88,'Données projet'!$B$88,BD165+BC166-BL165)))</f>
        <v>511.32700000000034</v>
      </c>
      <c r="BE166" s="13">
        <f>BD166*VLOOKUP('Données projet'!$B$11,Paramètres!$A$1:$I$89,3,0)*VLOOKUP('Données projet'!$B$11,Paramètres!$A$1:$I$89,5,0)</f>
        <v>494.55547440000038</v>
      </c>
      <c r="BF166" s="13">
        <f t="shared" si="167"/>
        <v>110.7032703628248</v>
      </c>
      <c r="BG166" s="20">
        <f t="shared" si="168"/>
        <v>1054.1589804619205</v>
      </c>
      <c r="BH166" s="59">
        <f t="shared" si="116"/>
        <v>1347.4923137952537</v>
      </c>
      <c r="BI166" s="59">
        <f ca="1">AVERAGE(OFFSET($BH$3,0,0,'Données projet'!$E$11+1,1))-AVERAGE(OFFSET($H$3,0,0,'Données projet'!$E$11+1,1))</f>
        <v>436.0942819360734</v>
      </c>
      <c r="BJ166" s="59">
        <f t="shared" si="146"/>
        <v>198.03942180876311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63.580971576000671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63.580971576000671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>
        <f>BY166*VLOOKUP('Données projet'!$B$12,Paramètres!$A$1:$I$89,3,0)*VLOOKUP('Données projet'!$B$12,Paramètres!$A$1:$I$89,5,0)</f>
        <v>0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183.99578440773581</v>
      </c>
      <c r="CE166" s="59">
        <f t="shared" si="148"/>
        <v>258.43295338669657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3.6324113057761114</v>
      </c>
      <c r="CL166" s="21">
        <f>EXP(-LN(2)/25)*CL165+(1-EXP(-LN(2)/25))/(LN(2)/25)*Calculateur!CG166*Calculateur!CI166*VLOOKUP('Données projet'!$B$12,Paramètres!$A$1:$I$89,3,0)*0.475*44/12</f>
        <v>0.86970089014175034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4.5021121959178618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120.24479999999959</v>
      </c>
      <c r="D167" s="11">
        <f t="shared" si="140"/>
        <v>31.732088100347205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1173.1549256868877</v>
      </c>
      <c r="H167" s="67">
        <f t="shared" si="110"/>
        <v>558.02641344143728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>
        <f>VLOOKUP(A167,'Données projet'!$A$35:$I$55,2,0)</f>
        <v>519.77</v>
      </c>
      <c r="L167" s="12">
        <f>VLOOKUP(A167,'Données projet'!$A$35:$I$55,9,0)</f>
        <v>8.4429999999999943</v>
      </c>
      <c r="M167" s="12">
        <f t="array" ref="M167">INDEX(L:L,MIN(IF(ISNUMBER(L167:L363),ROW(L167:L363),"")))</f>
        <v>8.4429999999999943</v>
      </c>
      <c r="N167" s="13">
        <f>IF('Données projet'!$A$36&gt;35,N166+M167-V166,IF(A167&lt;'Données projet'!$A$36,$K$205^A167,IF(A167='Données projet'!$A$36,'Données projet'!$B$36,N166+M167-V166)))</f>
        <v>519.77000000000032</v>
      </c>
      <c r="O167" s="13">
        <f>N167*VLOOKUP('Données projet'!$B$9,Paramètres!$A$1:$I$89,3,0)*VLOOKUP('Données projet'!$B$9,Paramètres!$A$1:$I$89,5,0)</f>
        <v>470.28789600000022</v>
      </c>
      <c r="P167" s="13">
        <f t="shared" si="141"/>
        <v>105.88945661390174</v>
      </c>
      <c r="Q167" s="20">
        <f t="shared" si="162"/>
        <v>1003.5088891358791</v>
      </c>
      <c r="R167" s="59">
        <f t="shared" si="109"/>
        <v>1296.8422224692124</v>
      </c>
      <c r="S167" s="59">
        <f ca="1">AVERAGE(OFFSET($R$3,0,0,'Données projet'!$E$9+1,1))-AVERAGE(OFFSET($H$3,0,0,'Données projet'!$E$9+1,1))</f>
        <v>399.15057697410413</v>
      </c>
      <c r="T167" s="59">
        <f t="shared" si="142"/>
        <v>182.37700638847298</v>
      </c>
      <c r="U167" s="15">
        <f>IF(ISNA(VLOOKUP(A167,'Données projet'!$A$35:$I$55,3,0)),0,VLOOKUP(A167,'Données projet'!$A$35:$I$55,3,0))</f>
        <v>14</v>
      </c>
      <c r="V167" s="15">
        <f>IF(ISNA(VLOOKUP(A167,'Données projet'!$A$35:$I$55,4,0)),0,VLOOKUP(A167,'Données projet'!$A$35:$I$55,4,0))</f>
        <v>59.58</v>
      </c>
      <c r="W167" s="16">
        <f>IF(ISNA(VLOOKUP(A167,'Données projet'!$A$35:$I$55,5,0)),0%,VLOOKUP(A167,'Données projet'!$A$35:$I$55,5,0)*VLOOKUP('Données projet'!$B$9,Paramètres!$A$1:$I$89,7,0))</f>
        <v>0.25800000000000001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73.687796339175065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73.687796339175065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519.77</v>
      </c>
      <c r="AG167" s="12">
        <f>VLOOKUP(A167,'Données projet'!$A$61:$I$81,9,0)</f>
        <v>8.4429999999999943</v>
      </c>
      <c r="AH167" s="12">
        <f t="array" ref="AH167">INDEX(AG:AG,MIN(IF(ISNUMBER(AG167:AG363),ROW(AG167:AG363),"")))</f>
        <v>8.4429999999999943</v>
      </c>
      <c r="AI167" s="13">
        <f>IF('Données projet'!$A$62&gt;35,AI166+AH167-AQ166,IF(A167&lt;'Données projet'!$A$62,$AF$205^A167,IF(A167='Données projet'!$A$62,'Données projet'!$B$62,AI166+AH167-AQ166)))</f>
        <v>519.77000000000032</v>
      </c>
      <c r="AJ167" s="13">
        <f>AI167*VLOOKUP('Données projet'!$B$10,Paramètres!$A$1:$I$89,3,0)*VLOOKUP('Données projet'!$B$10,Paramètres!$A$1:$I$89,5,0)</f>
        <v>527.04678000000035</v>
      </c>
      <c r="AK167" s="13">
        <f t="shared" si="164"/>
        <v>117.10568707351568</v>
      </c>
      <c r="AL167" s="20">
        <f t="shared" si="165"/>
        <v>1121.8988801530404</v>
      </c>
      <c r="AM167" s="59">
        <f t="shared" si="113"/>
        <v>1415.2322134863737</v>
      </c>
      <c r="AN167" s="59">
        <f ca="1">AVERAGE(OFFSET($AM$3,0,0,'Données projet'!$E$10+1,1))-AVERAGE(OFFSET($H$3,0,0,'Données projet'!$E$10+1,1))</f>
        <v>463.77045964052894</v>
      </c>
      <c r="AO167" s="59">
        <f t="shared" si="144"/>
        <v>209.77146243694483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0.25800000000000001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82.581151069765184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82.581151069765184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>
        <f>VLOOKUP(A167,'Données projet'!$A$87:$I$107,2,0)</f>
        <v>519.77</v>
      </c>
      <c r="BB167" s="12">
        <f>VLOOKUP(A167,'Données projet'!$A$87:$I$107,9,0)</f>
        <v>8.4429999999999943</v>
      </c>
      <c r="BC167" s="12">
        <f t="array" ref="BC167">INDEX(BB:BB,MIN(IF(ISNUMBER(BB167:BB363),ROW(BB167:BB363),"")))</f>
        <v>8.4429999999999943</v>
      </c>
      <c r="BD167" s="12">
        <f>IF('Données projet'!$A$88&gt;35,BD166+BC167-BL166,IF(A167&lt;'Données projet'!$A$88,$BA$205^A167,IF(A167='Données projet'!$A$88,'Données projet'!$B$88,BD166+BC167-BL166)))</f>
        <v>519.77000000000032</v>
      </c>
      <c r="BE167" s="13">
        <f>BD167*VLOOKUP('Données projet'!$B$11,Paramètres!$A$1:$I$89,3,0)*VLOOKUP('Données projet'!$B$11,Paramètres!$A$1:$I$89,5,0)</f>
        <v>502.72154400000034</v>
      </c>
      <c r="BF167" s="13">
        <f t="shared" si="167"/>
        <v>112.31688271954096</v>
      </c>
      <c r="BG167" s="20">
        <f t="shared" si="168"/>
        <v>1071.1919265365345</v>
      </c>
      <c r="BH167" s="59">
        <f t="shared" si="116"/>
        <v>1364.5252598698678</v>
      </c>
      <c r="BI167" s="59">
        <f ca="1">AVERAGE(OFFSET($BH$3,0,0,'Données projet'!$E$11+1,1))-AVERAGE(OFFSET($H$3,0,0,'Données projet'!$E$11+1,1))</f>
        <v>436.0942819360734</v>
      </c>
      <c r="BJ167" s="59">
        <f t="shared" si="146"/>
        <v>198.03942180876311</v>
      </c>
      <c r="BK167" s="15">
        <f>IF(ISNA(VLOOKUP(A167,'Données projet'!$A$87:$I$107,3,0)),0,VLOOKUP(A167,'Données projet'!$A$87:$I$107,3,0))</f>
        <v>14</v>
      </c>
      <c r="BL167" s="15">
        <f>IF(ISNA(VLOOKUP(A167,'Données projet'!$A$87:$I$107,4,0)),0,VLOOKUP(A167,'Données projet'!$A$87:$I$107,4,0))</f>
        <v>59.58</v>
      </c>
      <c r="BM167" s="16">
        <f>IF(ISNA(VLOOKUP(A167,'Données projet'!$A$87:$I$107,5,0)),0%,VLOOKUP(A167,'Données projet'!$A$87:$I$107,5,0)*VLOOKUP('Données projet'!$B$11,Paramètres!$A$1:$I$89,7,0))</f>
        <v>0.25800000000000001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78.769713328083697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78.769713328083697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>
        <f>BY167*VLOOKUP('Données projet'!$B$12,Paramètres!$A$1:$I$89,3,0)*VLOOKUP('Données projet'!$B$12,Paramètres!$A$1:$I$89,5,0)</f>
        <v>0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183.99578440773581</v>
      </c>
      <c r="CE167" s="59">
        <f t="shared" si="148"/>
        <v>258.43295338669657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3.5611819356219709</v>
      </c>
      <c r="CL167" s="21">
        <f>EXP(-LN(2)/25)*CL166+(1-EXP(-LN(2)/25))/(LN(2)/25)*Calculateur!CG167*Calculateur!CI167*VLOOKUP('Données projet'!$B$12,Paramètres!$A$1:$I$89,3,0)*0.475*44/12</f>
        <v>0.84591887356524209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4.407100809187213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120.97799999999958</v>
      </c>
      <c r="D168" s="11">
        <f t="shared" si="140"/>
        <v>31.902993864447446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1180.1339877255559</v>
      </c>
      <c r="H168" s="67">
        <f t="shared" si="110"/>
        <v>559.60106431391182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8.5459999999999976</v>
      </c>
      <c r="N168" s="13">
        <f>IF('Données projet'!$A$36&gt;35,N167+M168-V167,IF(A168&lt;'Données projet'!$A$36,$K$205^A168,IF(A168='Données projet'!$A$36,'Données projet'!$B$36,N167+M168-V167)))</f>
        <v>468.73600000000039</v>
      </c>
      <c r="O168" s="13">
        <f>N168*VLOOKUP('Données projet'!$B$9,Paramètres!$A$1:$I$89,3,0)*VLOOKUP('Données projet'!$B$9,Paramètres!$A$1:$I$89,5,0)</f>
        <v>424.11233280000033</v>
      </c>
      <c r="P168" s="13">
        <f t="shared" si="141"/>
        <v>96.648293340367189</v>
      </c>
      <c r="Q168" s="20">
        <f t="shared" si="162"/>
        <v>906.99142386114011</v>
      </c>
      <c r="R168" s="59">
        <f t="shared" si="109"/>
        <v>1200.3247571944735</v>
      </c>
      <c r="S168" s="59">
        <f ca="1">AVERAGE(OFFSET($R$3,0,0,'Données projet'!$E$9+1,1))-AVERAGE(OFFSET($H$3,0,0,'Données projet'!$E$9+1,1))</f>
        <v>399.15057697410413</v>
      </c>
      <c r="T168" s="59">
        <f t="shared" si="142"/>
        <v>182.37700638847298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72.242823598081642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72.242823598081642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8.5459999999999976</v>
      </c>
      <c r="AI168" s="13">
        <f>IF('Données projet'!$A$62&gt;35,AI167+AH168-AQ167,IF(A168&lt;'Données projet'!$A$62,$AF$205^A168,IF(A168='Données projet'!$A$62,'Données projet'!$B$62,AI167+AH168-AQ167)))</f>
        <v>468.73600000000039</v>
      </c>
      <c r="AJ168" s="13">
        <f>AI168*VLOOKUP('Données projet'!$B$10,Paramètres!$A$1:$I$89,3,0)*VLOOKUP('Données projet'!$B$10,Paramètres!$A$1:$I$89,5,0)</f>
        <v>475.29830400000037</v>
      </c>
      <c r="AK168" s="13">
        <f t="shared" si="164"/>
        <v>106.88566320039537</v>
      </c>
      <c r="AL168" s="20">
        <f t="shared" si="165"/>
        <v>1013.9704095406892</v>
      </c>
      <c r="AM168" s="59">
        <f t="shared" si="113"/>
        <v>1307.3037428740224</v>
      </c>
      <c r="AN168" s="59">
        <f ca="1">AVERAGE(OFFSET($AM$3,0,0,'Données projet'!$E$10+1,1))-AVERAGE(OFFSET($H$3,0,0,'Données projet'!$E$10+1,1))</f>
        <v>463.77045964052894</v>
      </c>
      <c r="AO168" s="59">
        <f t="shared" si="144"/>
        <v>209.77146243694483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80.961785066815665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80.961785066815665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8.5459999999999976</v>
      </c>
      <c r="BD168" s="12">
        <f>IF('Données projet'!$A$88&gt;35,BD167+BC168-BL167,IF(A168&lt;'Données projet'!$A$88,$BA$205^A168,IF(A168='Données projet'!$A$88,'Données projet'!$B$88,BD167+BC168-BL167)))</f>
        <v>468.73600000000039</v>
      </c>
      <c r="BE168" s="13">
        <f>BD168*VLOOKUP('Données projet'!$B$11,Paramètres!$A$1:$I$89,3,0)*VLOOKUP('Données projet'!$B$11,Paramètres!$A$1:$I$89,5,0)</f>
        <v>453.36145920000041</v>
      </c>
      <c r="BF168" s="13">
        <f t="shared" si="167"/>
        <v>102.51478641291534</v>
      </c>
      <c r="BG168" s="20">
        <f t="shared" si="168"/>
        <v>968.15112777582817</v>
      </c>
      <c r="BH168" s="59">
        <f t="shared" si="116"/>
        <v>1261.4844611091614</v>
      </c>
      <c r="BI168" s="59">
        <f ca="1">AVERAGE(OFFSET($BH$3,0,0,'Données projet'!$E$11+1,1))-AVERAGE(OFFSET($H$3,0,0,'Données projet'!$E$11+1,1))</f>
        <v>436.0942819360734</v>
      </c>
      <c r="BJ168" s="59">
        <f t="shared" si="146"/>
        <v>198.03942180876311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77.22508729450108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77.22508729450108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>
        <f>BY168*VLOOKUP('Données projet'!$B$12,Paramètres!$A$1:$I$89,3,0)*VLOOKUP('Données projet'!$B$12,Paramètres!$A$1:$I$89,5,0)</f>
        <v>0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183.99578440773581</v>
      </c>
      <c r="CE168" s="59">
        <f t="shared" si="148"/>
        <v>258.43295338669657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3.4913493299709271</v>
      </c>
      <c r="CL168" s="21">
        <f>EXP(-LN(2)/25)*CL167+(1-EXP(-LN(2)/25))/(LN(2)/25)*Calculateur!CG168*Calculateur!CI168*VLOOKUP('Données projet'!$B$12,Paramètres!$A$1:$I$89,3,0)*0.475*44/12</f>
        <v>0.82278717748266039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4.3141365074535871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121.71119999999958</v>
      </c>
      <c r="D169" s="11">
        <f t="shared" si="140"/>
        <v>32.073779104036042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1187.1121193995732</v>
      </c>
      <c r="H169" s="67">
        <f t="shared" si="110"/>
        <v>561.17550527286198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8.5459999999999976</v>
      </c>
      <c r="N169" s="13">
        <f>IF('Données projet'!$A$36&gt;35,N168+M169-V168,IF(A169&lt;'Données projet'!$A$36,$K$205^A169,IF(A169='Données projet'!$A$36,'Données projet'!$B$36,N168+M169-V168)))</f>
        <v>477.28200000000038</v>
      </c>
      <c r="O169" s="13">
        <f>N169*VLOOKUP('Données projet'!$B$9,Paramètres!$A$1:$I$89,3,0)*VLOOKUP('Données projet'!$B$9,Paramètres!$A$1:$I$89,5,0)</f>
        <v>431.84475360000033</v>
      </c>
      <c r="P169" s="13">
        <f t="shared" si="141"/>
        <v>98.203637489221336</v>
      </c>
      <c r="Q169" s="20">
        <f t="shared" si="162"/>
        <v>923.16761448039449</v>
      </c>
      <c r="R169" s="59">
        <f t="shared" si="109"/>
        <v>1216.5009478137279</v>
      </c>
      <c r="S169" s="59">
        <f ca="1">AVERAGE(OFFSET($R$3,0,0,'Données projet'!$E$9+1,1))-AVERAGE(OFFSET($H$3,0,0,'Données projet'!$E$9+1,1))</f>
        <v>399.15057697410413</v>
      </c>
      <c r="T169" s="59">
        <f t="shared" si="142"/>
        <v>182.37700638847298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70.826185891094724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70.826185891094724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8.5459999999999976</v>
      </c>
      <c r="AI169" s="13">
        <f>IF('Données projet'!$A$62&gt;35,AI168+AH169-AQ168,IF(A169&lt;'Données projet'!$A$62,$AF$205^A169,IF(A169='Données projet'!$A$62,'Données projet'!$B$62,AI168+AH169-AQ168)))</f>
        <v>477.28200000000038</v>
      </c>
      <c r="AJ169" s="13">
        <f>AI169*VLOOKUP('Données projet'!$B$10,Paramètres!$A$1:$I$89,3,0)*VLOOKUP('Données projet'!$B$10,Paramètres!$A$1:$I$89,5,0)</f>
        <v>483.96394800000041</v>
      </c>
      <c r="AK169" s="13">
        <f t="shared" si="164"/>
        <v>108.6057555590847</v>
      </c>
      <c r="AL169" s="20">
        <f t="shared" si="165"/>
        <v>1032.0589003654065</v>
      </c>
      <c r="AM169" s="59">
        <f t="shared" si="113"/>
        <v>1325.3922336987398</v>
      </c>
      <c r="AN169" s="59">
        <f ca="1">AVERAGE(OFFSET($AM$3,0,0,'Données projet'!$E$10+1,1))-AVERAGE(OFFSET($H$3,0,0,'Données projet'!$E$10+1,1))</f>
        <v>463.77045964052894</v>
      </c>
      <c r="AO169" s="59">
        <f t="shared" si="144"/>
        <v>209.77146243694483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79.374173843468256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79.374173843468256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8.5459999999999976</v>
      </c>
      <c r="BD169" s="12">
        <f>IF('Données projet'!$A$88&gt;35,BD168+BC169-BL168,IF(A169&lt;'Données projet'!$A$88,$BA$205^A169,IF(A169='Données projet'!$A$88,'Données projet'!$B$88,BD168+BC169-BL168)))</f>
        <v>477.28200000000038</v>
      </c>
      <c r="BE169" s="13">
        <f>BD169*VLOOKUP('Données projet'!$B$11,Paramètres!$A$1:$I$89,3,0)*VLOOKUP('Données projet'!$B$11,Paramètres!$A$1:$I$89,5,0)</f>
        <v>461.6271504000004</v>
      </c>
      <c r="BF169" s="13">
        <f t="shared" si="167"/>
        <v>104.16453901285873</v>
      </c>
      <c r="BG169" s="20">
        <f t="shared" si="168"/>
        <v>985.42052572739613</v>
      </c>
      <c r="BH169" s="59">
        <f t="shared" si="116"/>
        <v>1278.7538590607294</v>
      </c>
      <c r="BI169" s="59">
        <f ca="1">AVERAGE(OFFSET($BH$3,0,0,'Données projet'!$E$11+1,1))-AVERAGE(OFFSET($H$3,0,0,'Données projet'!$E$11+1,1))</f>
        <v>436.0942819360734</v>
      </c>
      <c r="BJ169" s="59">
        <f t="shared" si="146"/>
        <v>198.03942180876311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75.710750435308157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75.710750435308157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>
        <f>BY169*VLOOKUP('Données projet'!$B$12,Paramètres!$A$1:$I$89,3,0)*VLOOKUP('Données projet'!$B$12,Paramètres!$A$1:$I$89,5,0)</f>
        <v>0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183.99578440773581</v>
      </c>
      <c r="CE169" s="59">
        <f t="shared" si="148"/>
        <v>258.43295338669657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3.4228860991230166</v>
      </c>
      <c r="CL169" s="21">
        <f>EXP(-LN(2)/25)*CL168+(1-EXP(-LN(2)/25))/(LN(2)/25)*Calculateur!CG169*Calculateur!CI169*VLOOKUP('Données projet'!$B$12,Paramètres!$A$1:$I$89,3,0)*0.475*44/12</f>
        <v>0.80028801884589984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4.2231741179689166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122.44439999999958</v>
      </c>
      <c r="D170" s="11">
        <f t="shared" si="140"/>
        <v>32.244444629402366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1194.0893269638048</v>
      </c>
      <c r="H170" s="67">
        <f t="shared" si="110"/>
        <v>562.74973772954172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8.5459999999999976</v>
      </c>
      <c r="N170" s="13">
        <f>IF('Données projet'!$A$36&gt;35,N169+M170-V169,IF(A170&lt;'Données projet'!$A$36,$K$205^A170,IF(A170='Données projet'!$A$36,'Données projet'!$B$36,N169+M170-V169)))</f>
        <v>485.82800000000037</v>
      </c>
      <c r="O170" s="13">
        <f>N170*VLOOKUP('Données projet'!$B$9,Paramètres!$A$1:$I$89,3,0)*VLOOKUP('Données projet'!$B$9,Paramètres!$A$1:$I$89,5,0)</f>
        <v>439.57717440000033</v>
      </c>
      <c r="P170" s="13">
        <f t="shared" si="141"/>
        <v>99.755743172047673</v>
      </c>
      <c r="Q170" s="20">
        <f t="shared" si="162"/>
        <v>939.33816477131688</v>
      </c>
      <c r="R170" s="59">
        <f t="shared" si="109"/>
        <v>1232.6714981046503</v>
      </c>
      <c r="S170" s="59">
        <f ca="1">AVERAGE(OFFSET($R$3,0,0,'Données projet'!$E$9+1,1))-AVERAGE(OFFSET($H$3,0,0,'Données projet'!$E$9+1,1))</f>
        <v>399.15057697410413</v>
      </c>
      <c r="T170" s="59">
        <f t="shared" si="142"/>
        <v>182.37700638847298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69.43732758547813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69.43732758547813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8.5459999999999976</v>
      </c>
      <c r="AI170" s="13">
        <f>IF('Données projet'!$A$62&gt;35,AI169+AH170-AQ169,IF(A170&lt;'Données projet'!$A$62,$AF$205^A170,IF(A170='Données projet'!$A$62,'Données projet'!$B$62,AI169+AH170-AQ169)))</f>
        <v>485.82800000000037</v>
      </c>
      <c r="AJ170" s="13">
        <f>AI170*VLOOKUP('Données projet'!$B$10,Paramètres!$A$1:$I$89,3,0)*VLOOKUP('Données projet'!$B$10,Paramètres!$A$1:$I$89,5,0)</f>
        <v>492.6295920000004</v>
      </c>
      <c r="AK170" s="13">
        <f t="shared" si="164"/>
        <v>110.3222664206035</v>
      </c>
      <c r="AL170" s="20">
        <f t="shared" si="165"/>
        <v>1050.1411534158851</v>
      </c>
      <c r="AM170" s="59">
        <f t="shared" si="113"/>
        <v>1343.4744867492184</v>
      </c>
      <c r="AN170" s="59">
        <f ca="1">AVERAGE(OFFSET($AM$3,0,0,'Données projet'!$E$10+1,1))-AVERAGE(OFFSET($H$3,0,0,'Données projet'!$E$10+1,1))</f>
        <v>463.77045964052894</v>
      </c>
      <c r="AO170" s="59">
        <f t="shared" si="144"/>
        <v>209.77146243694483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77.817694707863453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77.817694707863453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8.5459999999999976</v>
      </c>
      <c r="BD170" s="12">
        <f>IF('Données projet'!$A$88&gt;35,BD169+BC170-BL169,IF(A170&lt;'Données projet'!$A$88,$BA$205^A170,IF(A170='Données projet'!$A$88,'Données projet'!$B$88,BD169+BC170-BL169)))</f>
        <v>485.82800000000037</v>
      </c>
      <c r="BE170" s="13">
        <f>BD170*VLOOKUP('Données projet'!$B$11,Paramètres!$A$1:$I$89,3,0)*VLOOKUP('Données projet'!$B$11,Paramètres!$A$1:$I$89,5,0)</f>
        <v>469.89284160000039</v>
      </c>
      <c r="BF170" s="13">
        <f t="shared" si="167"/>
        <v>105.81085657384101</v>
      </c>
      <c r="BG170" s="20">
        <f t="shared" si="168"/>
        <v>1002.6839409861069</v>
      </c>
      <c r="BH170" s="59">
        <f t="shared" si="116"/>
        <v>1296.0172743194403</v>
      </c>
      <c r="BI170" s="59">
        <f ca="1">AVERAGE(OFFSET($BH$3,0,0,'Données projet'!$E$11+1,1))-AVERAGE(OFFSET($H$3,0,0,'Données projet'!$E$11+1,1))</f>
        <v>436.0942819360734</v>
      </c>
      <c r="BJ170" s="59">
        <f t="shared" si="146"/>
        <v>198.03942180876311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74.226108798269735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74.226108798269735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>
        <f>BY170*VLOOKUP('Données projet'!$B$12,Paramètres!$A$1:$I$89,3,0)*VLOOKUP('Données projet'!$B$12,Paramètres!$A$1:$I$89,5,0)</f>
        <v>0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183.99578440773581</v>
      </c>
      <c r="CE170" s="59">
        <f t="shared" si="148"/>
        <v>258.43295338669657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3.3557653904735862</v>
      </c>
      <c r="CL170" s="21">
        <f>EXP(-LN(2)/25)*CL169+(1-EXP(-LN(2)/25))/(LN(2)/25)*Calculateur!CG170*Calculateur!CI170*VLOOKUP('Données projet'!$B$12,Paramètres!$A$1:$I$89,3,0)*0.475*44/12</f>
        <v>0.77840410088524092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4.1341694913588274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123.17759999999957</v>
      </c>
      <c r="D171" s="11">
        <f t="shared" si="140"/>
        <v>32.41499124057033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1201.0656165938728</v>
      </c>
      <c r="H171" s="67">
        <f t="shared" si="110"/>
        <v>564.32376307732591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8.5459999999999976</v>
      </c>
      <c r="N171" s="13">
        <f>IF('Données projet'!$A$36&gt;35,N170+M171-V170,IF(A171&lt;'Données projet'!$A$36,$K$205^A171,IF(A171='Données projet'!$A$36,'Données projet'!$B$36,N170+M171-V170)))</f>
        <v>494.37400000000036</v>
      </c>
      <c r="O171" s="13">
        <f>N171*VLOOKUP('Données projet'!$B$9,Paramètres!$A$1:$I$89,3,0)*VLOOKUP('Données projet'!$B$9,Paramètres!$A$1:$I$89,5,0)</f>
        <v>447.30959520000027</v>
      </c>
      <c r="P171" s="13">
        <f t="shared" si="141"/>
        <v>101.30467392781068</v>
      </c>
      <c r="Q171" s="20">
        <f t="shared" si="162"/>
        <v>955.50318539760417</v>
      </c>
      <c r="R171" s="59">
        <f t="shared" si="109"/>
        <v>1248.8365187309375</v>
      </c>
      <c r="S171" s="59">
        <f ca="1">AVERAGE(OFFSET($R$3,0,0,'Données projet'!$E$9+1,1))-AVERAGE(OFFSET($H$3,0,0,'Données projet'!$E$9+1,1))</f>
        <v>399.15057697410413</v>
      </c>
      <c r="T171" s="59">
        <f t="shared" si="142"/>
        <v>182.37700638847298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68.075703944114764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68.075703944114764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8.5459999999999976</v>
      </c>
      <c r="AI171" s="13">
        <f>IF('Données projet'!$A$62&gt;35,AI170+AH171-AQ170,IF(A171&lt;'Données projet'!$A$62,$AF$205^A171,IF(A171='Données projet'!$A$62,'Données projet'!$B$62,AI170+AH171-AQ170)))</f>
        <v>494.37400000000036</v>
      </c>
      <c r="AJ171" s="13">
        <f>AI171*VLOOKUP('Données projet'!$B$10,Paramètres!$A$1:$I$89,3,0)*VLOOKUP('Données projet'!$B$10,Paramètres!$A$1:$I$89,5,0)</f>
        <v>501.29523600000039</v>
      </c>
      <c r="AK171" s="13">
        <f t="shared" si="164"/>
        <v>112.03526605421492</v>
      </c>
      <c r="AL171" s="20">
        <f t="shared" si="165"/>
        <v>1068.2172910777583</v>
      </c>
      <c r="AM171" s="59">
        <f t="shared" si="113"/>
        <v>1361.5506244110916</v>
      </c>
      <c r="AN171" s="59">
        <f ca="1">AVERAGE(OFFSET($AM$3,0,0,'Données projet'!$E$10+1,1))-AVERAGE(OFFSET($H$3,0,0,'Données projet'!$E$10+1,1))</f>
        <v>463.77045964052894</v>
      </c>
      <c r="AO171" s="59">
        <f t="shared" si="144"/>
        <v>209.77146243694483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76.291737178749329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76.291737178749329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8.5459999999999976</v>
      </c>
      <c r="BD171" s="12">
        <f>IF('Données projet'!$A$88&gt;35,BD170+BC171-BL170,IF(A171&lt;'Données projet'!$A$88,$BA$205^A171,IF(A171='Données projet'!$A$88,'Données projet'!$B$88,BD170+BC171-BL170)))</f>
        <v>494.37400000000036</v>
      </c>
      <c r="BE171" s="13">
        <f>BD171*VLOOKUP('Données projet'!$B$11,Paramètres!$A$1:$I$89,3,0)*VLOOKUP('Données projet'!$B$11,Paramètres!$A$1:$I$89,5,0)</f>
        <v>478.15853280000039</v>
      </c>
      <c r="BF171" s="13">
        <f t="shared" si="167"/>
        <v>107.45380649160349</v>
      </c>
      <c r="BG171" s="20">
        <f t="shared" si="168"/>
        <v>1019.9414909328767</v>
      </c>
      <c r="BH171" s="59">
        <f t="shared" si="116"/>
        <v>1313.2748242662101</v>
      </c>
      <c r="BI171" s="59">
        <f ca="1">AVERAGE(OFFSET($BH$3,0,0,'Données projet'!$E$11+1,1))-AVERAGE(OFFSET($H$3,0,0,'Données projet'!$E$11+1,1))</f>
        <v>436.0942819360734</v>
      </c>
      <c r="BJ171" s="59">
        <f t="shared" si="146"/>
        <v>198.03942180876311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72.770580078191657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72.770580078191657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>
        <f>BY171*VLOOKUP('Données projet'!$B$12,Paramètres!$A$1:$I$89,3,0)*VLOOKUP('Données projet'!$B$12,Paramètres!$A$1:$I$89,5,0)</f>
        <v>0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183.99578440773581</v>
      </c>
      <c r="CE171" s="59">
        <f t="shared" si="148"/>
        <v>258.43295338669657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3.2899608779811813</v>
      </c>
      <c r="CL171" s="21">
        <f>EXP(-LN(2)/25)*CL170+(1-EXP(-LN(2)/25))/(LN(2)/25)*Calculateur!CG171*Calculateur!CI171*VLOOKUP('Données projet'!$B$12,Paramètres!$A$1:$I$89,3,0)*0.475*44/12</f>
        <v>0.75711859981204144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4.0470794777932229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123.91079999999957</v>
      </c>
      <c r="D172" s="11">
        <f t="shared" si="140"/>
        <v>32.585419727488741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1208.0409943876291</v>
      </c>
      <c r="H172" s="67">
        <f t="shared" si="110"/>
        <v>565.89758269204208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8.5459999999999976</v>
      </c>
      <c r="N172" s="13">
        <f>IF('Données projet'!$A$36&gt;35,N171+M172-V171,IF(A172&lt;'Données projet'!$A$36,$K$205^A172,IF(A172='Données projet'!$A$36,'Données projet'!$B$36,N171+M172-V171)))</f>
        <v>502.92000000000036</v>
      </c>
      <c r="O172" s="13">
        <f>N172*VLOOKUP('Données projet'!$B$9,Paramètres!$A$1:$I$89,3,0)*VLOOKUP('Données projet'!$B$9,Paramètres!$A$1:$I$89,5,0)</f>
        <v>455.04201600000027</v>
      </c>
      <c r="P172" s="13">
        <f t="shared" si="141"/>
        <v>102.85049097288233</v>
      </c>
      <c r="Q172" s="20">
        <f t="shared" si="162"/>
        <v>971.66278297777069</v>
      </c>
      <c r="R172" s="59">
        <f t="shared" si="109"/>
        <v>1264.9961163111041</v>
      </c>
      <c r="S172" s="59">
        <f ca="1">AVERAGE(OFFSET($R$3,0,0,'Données projet'!$E$9+1,1))-AVERAGE(OFFSET($H$3,0,0,'Données projet'!$E$9+1,1))</f>
        <v>399.15057697410413</v>
      </c>
      <c r="T172" s="59">
        <f t="shared" si="142"/>
        <v>182.37700638847298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66.740780911850109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66.740780911850109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8.5459999999999976</v>
      </c>
      <c r="AI172" s="13">
        <f>IF('Données projet'!$A$62&gt;35,AI171+AH172-AQ171,IF(A172&lt;'Données projet'!$A$62,$AF$205^A172,IF(A172='Données projet'!$A$62,'Données projet'!$B$62,AI171+AH172-AQ171)))</f>
        <v>502.92000000000036</v>
      </c>
      <c r="AJ172" s="13">
        <f>AI172*VLOOKUP('Données projet'!$B$10,Paramètres!$A$1:$I$89,3,0)*VLOOKUP('Données projet'!$B$10,Paramètres!$A$1:$I$89,5,0)</f>
        <v>509.96088000000043</v>
      </c>
      <c r="AK172" s="13">
        <f t="shared" si="164"/>
        <v>113.74482216057152</v>
      </c>
      <c r="AL172" s="20">
        <f t="shared" si="165"/>
        <v>1086.2874312629961</v>
      </c>
      <c r="AM172" s="59">
        <f t="shared" si="113"/>
        <v>1379.6207645963293</v>
      </c>
      <c r="AN172" s="59">
        <f ca="1">AVERAGE(OFFSET($AM$3,0,0,'Données projet'!$E$10+1,1))-AVERAGE(OFFSET($H$3,0,0,'Données projet'!$E$10+1,1))</f>
        <v>463.77045964052894</v>
      </c>
      <c r="AO172" s="59">
        <f t="shared" si="144"/>
        <v>209.77146243694483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74.795702746038941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74.795702746038941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8.5459999999999976</v>
      </c>
      <c r="BD172" s="12">
        <f>IF('Données projet'!$A$88&gt;35,BD171+BC172-BL171,IF(A172&lt;'Données projet'!$A$88,$BA$205^A172,IF(A172='Données projet'!$A$88,'Données projet'!$B$88,BD171+BC172-BL171)))</f>
        <v>502.92000000000036</v>
      </c>
      <c r="BE172" s="13">
        <f>BD172*VLOOKUP('Données projet'!$B$11,Paramètres!$A$1:$I$89,3,0)*VLOOKUP('Données projet'!$B$11,Paramètres!$A$1:$I$89,5,0)</f>
        <v>486.42422400000038</v>
      </c>
      <c r="BF172" s="13">
        <f t="shared" si="167"/>
        <v>109.09345369831506</v>
      </c>
      <c r="BG172" s="20">
        <f t="shared" si="168"/>
        <v>1037.1932886578995</v>
      </c>
      <c r="BH172" s="59">
        <f t="shared" si="116"/>
        <v>1330.5266219912328</v>
      </c>
      <c r="BI172" s="59">
        <f ca="1">AVERAGE(OFFSET($BH$3,0,0,'Données projet'!$E$11+1,1))-AVERAGE(OFFSET($H$3,0,0,'Données projet'!$E$11+1,1))</f>
        <v>436.0942819360734</v>
      </c>
      <c r="BJ172" s="59">
        <f t="shared" si="146"/>
        <v>198.03942180876311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71.343593388529442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71.343593388529442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>
        <f>BY172*VLOOKUP('Données projet'!$B$12,Paramètres!$A$1:$I$89,3,0)*VLOOKUP('Données projet'!$B$12,Paramètres!$A$1:$I$89,5,0)</f>
        <v>0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183.99578440773581</v>
      </c>
      <c r="CE172" s="59">
        <f t="shared" si="148"/>
        <v>258.43295338669657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3.2254467518419627</v>
      </c>
      <c r="CL172" s="21">
        <f>EXP(-LN(2)/25)*CL171+(1-EXP(-LN(2)/25))/(LN(2)/25)*Calculateur!CG172*Calculateur!CI172*VLOOKUP('Données projet'!$B$12,Paramètres!$A$1:$I$89,3,0)*0.475*44/12</f>
        <v>0.73641515188504447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3.9618619037270073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124.64399999999956</v>
      </c>
      <c r="D173" s="11">
        <f t="shared" si="140"/>
        <v>32.755730870217128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1215.0154663665851</v>
      </c>
      <c r="H173" s="67">
        <f t="shared" si="110"/>
        <v>567.4711979322941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8.5459999999999976</v>
      </c>
      <c r="N173" s="13">
        <f>IF('Données projet'!$A$36&gt;35,N172+M173-V172,IF(A173&lt;'Données projet'!$A$36,$K$205^A173,IF(A173='Données projet'!$A$36,'Données projet'!$B$36,N172+M173-V172)))</f>
        <v>511.46600000000035</v>
      </c>
      <c r="O173" s="13">
        <f>N173*VLOOKUP('Données projet'!$B$9,Paramètres!$A$1:$I$89,3,0)*VLOOKUP('Données projet'!$B$9,Paramètres!$A$1:$I$89,5,0)</f>
        <v>462.77443680000027</v>
      </c>
      <c r="P173" s="13">
        <f t="shared" si="141"/>
        <v>104.39325332394039</v>
      </c>
      <c r="Q173" s="20">
        <f t="shared" si="162"/>
        <v>987.81706029919678</v>
      </c>
      <c r="R173" s="59">
        <f t="shared" si="109"/>
        <v>1281.15039363253</v>
      </c>
      <c r="S173" s="59">
        <f ca="1">AVERAGE(OFFSET($R$3,0,0,'Données projet'!$E$9+1,1))-AVERAGE(OFFSET($H$3,0,0,'Données projet'!$E$9+1,1))</f>
        <v>399.15057697410413</v>
      </c>
      <c r="T173" s="59">
        <f t="shared" si="142"/>
        <v>182.37700638847298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65.432034906025521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65.432034906025521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8.5459999999999976</v>
      </c>
      <c r="AI173" s="13">
        <f>IF('Données projet'!$A$62&gt;35,AI172+AH173-AQ172,IF(A173&lt;'Données projet'!$A$62,$AF$205^A173,IF(A173='Données projet'!$A$62,'Données projet'!$B$62,AI172+AH173-AQ172)))</f>
        <v>511.46600000000035</v>
      </c>
      <c r="AJ173" s="13">
        <f>AI173*VLOOKUP('Données projet'!$B$10,Paramètres!$A$1:$I$89,3,0)*VLOOKUP('Données projet'!$B$10,Paramètres!$A$1:$I$89,5,0)</f>
        <v>518.62652400000036</v>
      </c>
      <c r="AK173" s="13">
        <f t="shared" si="164"/>
        <v>115.45100000763091</v>
      </c>
      <c r="AL173" s="20">
        <f t="shared" si="165"/>
        <v>1104.3516876466244</v>
      </c>
      <c r="AM173" s="59">
        <f t="shared" si="113"/>
        <v>1397.6850209799577</v>
      </c>
      <c r="AN173" s="59">
        <f ca="1">AVERAGE(OFFSET($AM$3,0,0,'Données projet'!$E$10+1,1))-AVERAGE(OFFSET($H$3,0,0,'Données projet'!$E$10+1,1))</f>
        <v>463.77045964052894</v>
      </c>
      <c r="AO173" s="59">
        <f t="shared" si="144"/>
        <v>209.77146243694483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73.329004636063104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73.329004636063104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8.5459999999999976</v>
      </c>
      <c r="BD173" s="12">
        <f>IF('Données projet'!$A$88&gt;35,BD172+BC173-BL172,IF(A173&lt;'Données projet'!$A$88,$BA$205^A173,IF(A173='Données projet'!$A$88,'Données projet'!$B$88,BD172+BC173-BL172)))</f>
        <v>511.46600000000035</v>
      </c>
      <c r="BE173" s="13">
        <f>BD173*VLOOKUP('Données projet'!$B$11,Paramètres!$A$1:$I$89,3,0)*VLOOKUP('Données projet'!$B$11,Paramètres!$A$1:$I$89,5,0)</f>
        <v>494.68991520000037</v>
      </c>
      <c r="BF173" s="13">
        <f t="shared" si="167"/>
        <v>110.72986079292981</v>
      </c>
      <c r="BG173" s="20">
        <f t="shared" si="168"/>
        <v>1054.4394431876869</v>
      </c>
      <c r="BH173" s="59">
        <f t="shared" si="116"/>
        <v>1347.7727765210202</v>
      </c>
      <c r="BI173" s="59">
        <f ca="1">AVERAGE(OFFSET($BH$3,0,0,'Données projet'!$E$11+1,1))-AVERAGE(OFFSET($H$3,0,0,'Données projet'!$E$11+1,1))</f>
        <v>436.0942819360734</v>
      </c>
      <c r="BJ173" s="59">
        <f t="shared" si="146"/>
        <v>198.03942180876311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69.944589037475566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69.944589037475566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>
        <f>BY173*VLOOKUP('Données projet'!$B$12,Paramètres!$A$1:$I$89,3,0)*VLOOKUP('Données projet'!$B$12,Paramètres!$A$1:$I$89,5,0)</f>
        <v>0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183.99578440773581</v>
      </c>
      <c r="CE173" s="59">
        <f t="shared" si="148"/>
        <v>258.43295338669657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3.1621977083666031</v>
      </c>
      <c r="CL173" s="21">
        <f>EXP(-LN(2)/25)*CL172+(1-EXP(-LN(2)/25))/(LN(2)/25)*Calculateur!CG173*Calculateur!CI173*VLOOKUP('Données projet'!$B$12,Paramètres!$A$1:$I$89,3,0)*0.475*44/12</f>
        <v>0.71627784083035817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3.8784755491969611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125.37719999999956</v>
      </c>
      <c r="D174" s="11">
        <f t="shared" si="140"/>
        <v>32.925925439106763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1221.9890384773121</v>
      </c>
      <c r="H174" s="67">
        <f t="shared" si="110"/>
        <v>569.04461013977686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8.5459999999999976</v>
      </c>
      <c r="N174" s="13">
        <f>IF('Données projet'!$A$36&gt;35,N173+M174-V173,IF(A174&lt;'Données projet'!$A$36,$K$205^A174,IF(A174='Données projet'!$A$36,'Données projet'!$B$36,N173+M174-V173)))</f>
        <v>520.0120000000004</v>
      </c>
      <c r="O174" s="13">
        <f>N174*VLOOKUP('Données projet'!$B$9,Paramètres!$A$1:$I$89,3,0)*VLOOKUP('Données projet'!$B$9,Paramètres!$A$1:$I$89,5,0)</f>
        <v>470.50685760000033</v>
      </c>
      <c r="P174" s="13">
        <f t="shared" si="141"/>
        <v>105.93301791241842</v>
      </c>
      <c r="Q174" s="20">
        <f t="shared" si="162"/>
        <v>1003.9661165174626</v>
      </c>
      <c r="R174" s="59">
        <f t="shared" si="109"/>
        <v>1297.299449850796</v>
      </c>
      <c r="S174" s="59">
        <f ca="1">AVERAGE(OFFSET($R$3,0,0,'Données projet'!$E$9+1,1))-AVERAGE(OFFSET($H$3,0,0,'Données projet'!$E$9+1,1))</f>
        <v>399.15057697410413</v>
      </c>
      <c r="T174" s="59">
        <f t="shared" si="142"/>
        <v>182.37700638847298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64.148952611118901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64.148952611118901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8.5459999999999976</v>
      </c>
      <c r="AI174" s="13">
        <f>IF('Données projet'!$A$62&gt;35,AI173+AH174-AQ173,IF(A174&lt;'Données projet'!$A$62,$AF$205^A174,IF(A174='Données projet'!$A$62,'Données projet'!$B$62,AI173+AH174-AQ173)))</f>
        <v>520.0120000000004</v>
      </c>
      <c r="AJ174" s="13">
        <f>AI174*VLOOKUP('Données projet'!$B$10,Paramètres!$A$1:$I$89,3,0)*VLOOKUP('Données projet'!$B$10,Paramètres!$A$1:$I$89,5,0)</f>
        <v>527.2921680000004</v>
      </c>
      <c r="AK174" s="13">
        <f t="shared" si="164"/>
        <v>117.15386255722979</v>
      </c>
      <c r="AL174" s="20">
        <f t="shared" si="165"/>
        <v>1122.4101698871759</v>
      </c>
      <c r="AM174" s="59">
        <f t="shared" si="113"/>
        <v>1415.7435032205092</v>
      </c>
      <c r="AN174" s="59">
        <f ca="1">AVERAGE(OFFSET($AM$3,0,0,'Données projet'!$E$10+1,1))-AVERAGE(OFFSET($H$3,0,0,'Données projet'!$E$10+1,1))</f>
        <v>463.77045964052894</v>
      </c>
      <c r="AO174" s="59">
        <f t="shared" si="144"/>
        <v>209.77146243694483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71.891067581426384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71.891067581426384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8.5459999999999976</v>
      </c>
      <c r="BD174" s="12">
        <f>IF('Données projet'!$A$88&gt;35,BD173+BC174-BL173,IF(A174&lt;'Données projet'!$A$88,$BA$205^A174,IF(A174='Données projet'!$A$88,'Données projet'!$B$88,BD173+BC174-BL173)))</f>
        <v>520.0120000000004</v>
      </c>
      <c r="BE174" s="13">
        <f>BD174*VLOOKUP('Données projet'!$B$11,Paramètres!$A$1:$I$89,3,0)*VLOOKUP('Données projet'!$B$11,Paramètres!$A$1:$I$89,5,0)</f>
        <v>502.95560640000036</v>
      </c>
      <c r="BF174" s="13">
        <f t="shared" si="167"/>
        <v>112.36308816258565</v>
      </c>
      <c r="BG174" s="20">
        <f t="shared" si="168"/>
        <v>1071.6800596965038</v>
      </c>
      <c r="BH174" s="59">
        <f t="shared" si="116"/>
        <v>1365.0133930298371</v>
      </c>
      <c r="BI174" s="59">
        <f ca="1">AVERAGE(OFFSET($BH$3,0,0,'Données projet'!$E$11+1,1))-AVERAGE(OFFSET($H$3,0,0,'Données projet'!$E$11+1,1))</f>
        <v>436.0942819360734</v>
      </c>
      <c r="BJ174" s="59">
        <f t="shared" si="146"/>
        <v>198.03942180876311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68.573018308437469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68.573018308437469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>
        <f>BY174*VLOOKUP('Données projet'!$B$12,Paramètres!$A$1:$I$89,3,0)*VLOOKUP('Données projet'!$B$12,Paramètres!$A$1:$I$89,5,0)</f>
        <v>0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183.99578440773581</v>
      </c>
      <c r="CE174" s="59">
        <f t="shared" si="148"/>
        <v>258.43295338669657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3.1001889400556877</v>
      </c>
      <c r="CL174" s="21">
        <f>EXP(-LN(2)/25)*CL173+(1-EXP(-LN(2)/25))/(LN(2)/25)*Calculateur!CG174*Calculateur!CI174*VLOOKUP('Données projet'!$B$12,Paramètres!$A$1:$I$89,3,0)*0.475*44/12</f>
        <v>0.69669118560543741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3.7968801256611249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126.11039999999956</v>
      </c>
      <c r="D175" s="11">
        <f t="shared" si="140"/>
        <v>33.096004194977731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1228.9617165928073</v>
      </c>
      <c r="H175" s="67">
        <f t="shared" si="110"/>
        <v>570.61782063958549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8.5459999999999976</v>
      </c>
      <c r="N175" s="13">
        <f>IF('Données projet'!$A$36&gt;35,N174+M175-V174,IF(A175&lt;'Données projet'!$A$36,$K$205^A175,IF(A175='Données projet'!$A$36,'Données projet'!$B$36,N174+M175-V174)))</f>
        <v>528.55800000000045</v>
      </c>
      <c r="O175" s="13">
        <f>N175*VLOOKUP('Données projet'!$B$9,Paramètres!$A$1:$I$89,3,0)*VLOOKUP('Données projet'!$B$9,Paramètres!$A$1:$I$89,5,0)</f>
        <v>478.23927840000039</v>
      </c>
      <c r="P175" s="13">
        <f t="shared" si="141"/>
        <v>107.46983969122122</v>
      </c>
      <c r="Q175" s="20">
        <f t="shared" si="162"/>
        <v>1020.110047342211</v>
      </c>
      <c r="R175" s="59">
        <f t="shared" si="109"/>
        <v>1313.4433806755444</v>
      </c>
      <c r="S175" s="59">
        <f ca="1">AVERAGE(OFFSET($R$3,0,0,'Données projet'!$E$9+1,1))-AVERAGE(OFFSET($H$3,0,0,'Données projet'!$E$9+1,1))</f>
        <v>399.15057697410413</v>
      </c>
      <c r="T175" s="59">
        <f t="shared" si="142"/>
        <v>182.37700638847298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62.891030777412482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62.891030777412482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8.5459999999999976</v>
      </c>
      <c r="AI175" s="13">
        <f>IF('Données projet'!$A$62&gt;35,AI174+AH175-AQ174,IF(A175&lt;'Données projet'!$A$62,$AF$205^A175,IF(A175='Données projet'!$A$62,'Données projet'!$B$62,AI174+AH175-AQ174)))</f>
        <v>528.55800000000045</v>
      </c>
      <c r="AJ175" s="13">
        <f>AI175*VLOOKUP('Données projet'!$B$10,Paramètres!$A$1:$I$89,3,0)*VLOOKUP('Données projet'!$B$10,Paramètres!$A$1:$I$89,5,0)</f>
        <v>535.95781200000044</v>
      </c>
      <c r="AK175" s="13">
        <f t="shared" si="164"/>
        <v>118.85347058310219</v>
      </c>
      <c r="AL175" s="20">
        <f t="shared" si="165"/>
        <v>1140.4629838322371</v>
      </c>
      <c r="AM175" s="59">
        <f t="shared" si="113"/>
        <v>1433.7963171655704</v>
      </c>
      <c r="AN175" s="59">
        <f ca="1">AVERAGE(OFFSET($AM$3,0,0,'Données projet'!$E$10+1,1))-AVERAGE(OFFSET($H$3,0,0,'Données projet'!$E$10+1,1))</f>
        <v>463.77045964052894</v>
      </c>
      <c r="AO175" s="59">
        <f t="shared" si="144"/>
        <v>209.77146243694483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70.481327595376086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70.481327595376086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8.5459999999999976</v>
      </c>
      <c r="BD175" s="12">
        <f>IF('Données projet'!$A$88&gt;35,BD174+BC175-BL174,IF(A175&lt;'Données projet'!$A$88,$BA$205^A175,IF(A175='Données projet'!$A$88,'Données projet'!$B$88,BD174+BC175-BL174)))</f>
        <v>528.55800000000045</v>
      </c>
      <c r="BE175" s="13">
        <f>BD175*VLOOKUP('Données projet'!$B$11,Paramètres!$A$1:$I$89,3,0)*VLOOKUP('Données projet'!$B$11,Paramètres!$A$1:$I$89,5,0)</f>
        <v>511.22129760000047</v>
      </c>
      <c r="BF175" s="13">
        <f t="shared" si="167"/>
        <v>113.99319409579488</v>
      </c>
      <c r="BG175" s="20">
        <f t="shared" si="168"/>
        <v>1088.9152397035102</v>
      </c>
      <c r="BH175" s="59">
        <f t="shared" si="116"/>
        <v>1382.2485730368435</v>
      </c>
      <c r="BI175" s="59">
        <f ca="1">AVERAGE(OFFSET($BH$3,0,0,'Données projet'!$E$11+1,1))-AVERAGE(OFFSET($H$3,0,0,'Données projet'!$E$11+1,1))</f>
        <v>436.0942819360734</v>
      </c>
      <c r="BJ175" s="59">
        <f t="shared" si="146"/>
        <v>198.03942180876311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67.228343244820266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67.228343244820266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>
        <f>BY175*VLOOKUP('Données projet'!$B$12,Paramètres!$A$1:$I$89,3,0)*VLOOKUP('Données projet'!$B$12,Paramètres!$A$1:$I$89,5,0)</f>
        <v>0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183.99578440773581</v>
      </c>
      <c r="CE175" s="59">
        <f t="shared" si="148"/>
        <v>258.43295338669657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3.0393961258697355</v>
      </c>
      <c r="CL175" s="21">
        <f>EXP(-LN(2)/25)*CL174+(1-EXP(-LN(2)/25))/(LN(2)/25)*Calculateur!CG175*Calculateur!CI175*VLOOKUP('Données projet'!$B$12,Paramètres!$A$1:$I$89,3,0)*0.475*44/12</f>
        <v>0.67764012849765953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3.7170362543673949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126.84359999999955</v>
      </c>
      <c r="D176" s="11">
        <f t="shared" si="140"/>
        <v>33.265967889291609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1235.9335065138264</v>
      </c>
      <c r="H176" s="67">
        <f t="shared" si="110"/>
        <v>572.19083074051537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8.5459999999999976</v>
      </c>
      <c r="N176" s="13">
        <f>IF('Données projet'!$A$36&gt;35,N175+M176-V175,IF(A176&lt;'Données projet'!$A$36,$K$205^A176,IF(A176='Données projet'!$A$36,'Données projet'!$B$36,N175+M176-V175)))</f>
        <v>537.1040000000005</v>
      </c>
      <c r="O176" s="13">
        <f>N176*VLOOKUP('Données projet'!$B$9,Paramètres!$A$1:$I$89,3,0)*VLOOKUP('Données projet'!$B$9,Paramètres!$A$1:$I$89,5,0)</f>
        <v>485.97169920000039</v>
      </c>
      <c r="P176" s="13">
        <f t="shared" si="141"/>
        <v>109.00377173434057</v>
      </c>
      <c r="Q176" s="20">
        <f t="shared" si="162"/>
        <v>1036.2489452106438</v>
      </c>
      <c r="R176" s="59">
        <f t="shared" si="109"/>
        <v>1329.5822785439771</v>
      </c>
      <c r="S176" s="59">
        <f ca="1">AVERAGE(OFFSET($R$3,0,0,'Données projet'!$E$9+1,1))-AVERAGE(OFFSET($H$3,0,0,'Données projet'!$E$9+1,1))</f>
        <v>399.15057697410413</v>
      </c>
      <c r="T176" s="59">
        <f t="shared" si="142"/>
        <v>182.37700638847298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61.657776023608484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61.657776023608484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8.5459999999999976</v>
      </c>
      <c r="AI176" s="13">
        <f>IF('Données projet'!$A$62&gt;35,AI175+AH176-AQ175,IF(A176&lt;'Données projet'!$A$62,$AF$205^A176,IF(A176='Données projet'!$A$62,'Données projet'!$B$62,AI175+AH176-AQ175)))</f>
        <v>537.1040000000005</v>
      </c>
      <c r="AJ176" s="13">
        <f>AI176*VLOOKUP('Données projet'!$B$10,Paramètres!$A$1:$I$89,3,0)*VLOOKUP('Données projet'!$B$10,Paramètres!$A$1:$I$89,5,0)</f>
        <v>544.62345600000049</v>
      </c>
      <c r="AK176" s="13">
        <f t="shared" si="164"/>
        <v>120.54988278104692</v>
      </c>
      <c r="AL176" s="20">
        <f t="shared" si="165"/>
        <v>1158.510231710324</v>
      </c>
      <c r="AM176" s="59">
        <f t="shared" si="113"/>
        <v>1451.8435650436572</v>
      </c>
      <c r="AN176" s="59">
        <f ca="1">AVERAGE(OFFSET($AM$3,0,0,'Données projet'!$E$10+1,1))-AVERAGE(OFFSET($H$3,0,0,'Données projet'!$E$10+1,1))</f>
        <v>463.77045964052894</v>
      </c>
      <c r="AO176" s="59">
        <f t="shared" si="144"/>
        <v>209.77146243694483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69.099231750595749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69.099231750595749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8.5459999999999976</v>
      </c>
      <c r="BD176" s="12">
        <f>IF('Données projet'!$A$88&gt;35,BD175+BC176-BL175,IF(A176&lt;'Données projet'!$A$88,$BA$205^A176,IF(A176='Données projet'!$A$88,'Données projet'!$B$88,BD175+BC176-BL175)))</f>
        <v>537.1040000000005</v>
      </c>
      <c r="BE176" s="13">
        <f>BD176*VLOOKUP('Données projet'!$B$11,Paramètres!$A$1:$I$89,3,0)*VLOOKUP('Données projet'!$B$11,Paramètres!$A$1:$I$89,5,0)</f>
        <v>519.48698880000052</v>
      </c>
      <c r="BF176" s="13">
        <f t="shared" si="167"/>
        <v>115.62023488810887</v>
      </c>
      <c r="BG176" s="20">
        <f t="shared" si="168"/>
        <v>1106.1450812567903</v>
      </c>
      <c r="BH176" s="59">
        <f t="shared" si="116"/>
        <v>1399.4784145901235</v>
      </c>
      <c r="BI176" s="59">
        <f ca="1">AVERAGE(OFFSET($BH$3,0,0,'Données projet'!$E$11+1,1))-AVERAGE(OFFSET($H$3,0,0,'Données projet'!$E$11+1,1))</f>
        <v>436.0942819360734</v>
      </c>
      <c r="BJ176" s="59">
        <f t="shared" si="146"/>
        <v>198.03942180876311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65.910036439029795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65.910036439029795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>
        <f>BY176*VLOOKUP('Données projet'!$B$12,Paramètres!$A$1:$I$89,3,0)*VLOOKUP('Données projet'!$B$12,Paramètres!$A$1:$I$89,5,0)</f>
        <v>0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183.99578440773581</v>
      </c>
      <c r="CE176" s="59">
        <f t="shared" si="148"/>
        <v>258.43295338669657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2.9797954216900142</v>
      </c>
      <c r="CL176" s="21">
        <f>EXP(-LN(2)/25)*CL175+(1-EXP(-LN(2)/25))/(LN(2)/25)*Calculateur!CG176*Calculateur!CI176*VLOOKUP('Données projet'!$B$12,Paramètres!$A$1:$I$89,3,0)*0.475*44/12</f>
        <v>0.65911002354834547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3.6389054452383598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127.57679999999955</v>
      </c>
      <c r="D177" s="11">
        <f t="shared" si="140"/>
        <v>33.435817264319738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1242.9044139701841</v>
      </c>
      <c r="H177" s="67">
        <f t="shared" si="110"/>
        <v>573.76364173535603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>
        <f>VLOOKUP(A177,'Données projet'!$A$35:$I$55,2,0)</f>
        <v>545.65</v>
      </c>
      <c r="L177" s="12">
        <f>VLOOKUP(A177,'Données projet'!$A$35:$I$55,9,0)</f>
        <v>8.5459999999999976</v>
      </c>
      <c r="M177" s="12">
        <f t="array" ref="M177">INDEX(L:L,MIN(IF(ISNUMBER(L177:L373),ROW(L177:L373),"")))</f>
        <v>8.5459999999999976</v>
      </c>
      <c r="N177" s="13">
        <f>IF('Données projet'!$A$36&gt;35,N176+M177-V176,IF(A177&lt;'Données projet'!$A$36,$K$205^A177,IF(A177='Données projet'!$A$36,'Données projet'!$B$36,N176+M177-V176)))</f>
        <v>545.65000000000055</v>
      </c>
      <c r="O177" s="13">
        <f>N177*VLOOKUP('Données projet'!$B$9,Paramètres!$A$1:$I$89,3,0)*VLOOKUP('Données projet'!$B$9,Paramètres!$A$1:$I$89,5,0)</f>
        <v>493.7041200000005</v>
      </c>
      <c r="P177" s="13">
        <f t="shared" si="141"/>
        <v>110.53486532995269</v>
      </c>
      <c r="Q177" s="20">
        <f t="shared" si="162"/>
        <v>1052.3828994496685</v>
      </c>
      <c r="R177" s="59">
        <f t="shared" si="109"/>
        <v>1345.7162327830017</v>
      </c>
      <c r="S177" s="59">
        <f ca="1">AVERAGE(OFFSET($R$3,0,0,'Données projet'!$E$9+1,1))-AVERAGE(OFFSET($H$3,0,0,'Données projet'!$E$9+1,1))</f>
        <v>399.15057697410413</v>
      </c>
      <c r="T177" s="59">
        <f t="shared" si="142"/>
        <v>182.37700638847298</v>
      </c>
      <c r="U177" s="15">
        <f>IF(ISNA(VLOOKUP(A177,'Données projet'!$A$35:$I$55,3,0)),0,VLOOKUP(A177,'Données projet'!$A$35:$I$55,3,0))</f>
        <v>15</v>
      </c>
      <c r="V177" s="15">
        <f>IF(ISNA(VLOOKUP(A177,'Données projet'!$A$35:$I$55,4,0)),0,VLOOKUP(A177,'Données projet'!$A$35:$I$55,4,0))</f>
        <v>214.77</v>
      </c>
      <c r="W177" s="16">
        <f>IF(ISNA(VLOOKUP(A177,'Données projet'!$A$35:$I$55,5,0)),0%,VLOOKUP(A177,'Données projet'!$A$35:$I$55,5,0)*VLOOKUP('Données projet'!$B$9,Paramètres!$A$1:$I$89,7,0))</f>
        <v>0.25800000000000001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115.87208689768337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115.87208689768337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545.65</v>
      </c>
      <c r="AG177" s="12">
        <f>VLOOKUP(A177,'Données projet'!$A$61:$I$81,9,0)</f>
        <v>8.5459999999999976</v>
      </c>
      <c r="AH177" s="12">
        <f t="array" ref="AH177">INDEX(AG:AG,MIN(IF(ISNUMBER(AG177:AG373),ROW(AG177:AG373),"")))</f>
        <v>8.5459999999999976</v>
      </c>
      <c r="AI177" s="13">
        <f>IF('Données projet'!$A$62&gt;35,AI176+AH177-AQ176,IF(A177&lt;'Données projet'!$A$62,$AF$205^A177,IF(A177='Données projet'!$A$62,'Données projet'!$B$62,AI176+AH177-AQ176)))</f>
        <v>545.65000000000055</v>
      </c>
      <c r="AJ177" s="13">
        <f>AI177*VLOOKUP('Données projet'!$B$10,Paramètres!$A$1:$I$89,3,0)*VLOOKUP('Données projet'!$B$10,Paramètres!$A$1:$I$89,5,0)</f>
        <v>553.28910000000053</v>
      </c>
      <c r="AK177" s="13">
        <f t="shared" si="164"/>
        <v>122.24315587188718</v>
      </c>
      <c r="AL177" s="20">
        <f t="shared" si="165"/>
        <v>1176.5520123102044</v>
      </c>
      <c r="AM177" s="59">
        <f t="shared" si="113"/>
        <v>1469.8853456435377</v>
      </c>
      <c r="AN177" s="59">
        <f ca="1">AVERAGE(OFFSET($AM$3,0,0,'Données projet'!$E$10+1,1))-AVERAGE(OFFSET($H$3,0,0,'Données projet'!$E$10+1,1))</f>
        <v>463.77045964052894</v>
      </c>
      <c r="AO177" s="59">
        <f t="shared" si="144"/>
        <v>209.77146243694483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0.25800000000000001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129.85664910947281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129.85664910947281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>
        <f>VLOOKUP(A177,'Données projet'!$A$87:$I$107,2,0)</f>
        <v>545.65</v>
      </c>
      <c r="BB177" s="12">
        <f>VLOOKUP(A177,'Données projet'!$A$87:$I$107,9,0)</f>
        <v>8.5459999999999976</v>
      </c>
      <c r="BC177" s="12">
        <f t="array" ref="BC177">INDEX(BB:BB,MIN(IF(ISNUMBER(BB177:BB373),ROW(BB177:BB373),"")))</f>
        <v>8.5459999999999976</v>
      </c>
      <c r="BD177" s="12">
        <f>IF('Données projet'!$A$88&gt;35,BD176+BC177-BL176,IF(A177&lt;'Données projet'!$A$88,$BA$205^A177,IF(A177='Données projet'!$A$88,'Données projet'!$B$88,BD176+BC177-BL176)))</f>
        <v>545.65000000000055</v>
      </c>
      <c r="BE177" s="13">
        <f>BD177*VLOOKUP('Données projet'!$B$11,Paramètres!$A$1:$I$89,3,0)*VLOOKUP('Données projet'!$B$11,Paramètres!$A$1:$I$89,5,0)</f>
        <v>527.75268000000051</v>
      </c>
      <c r="BF177" s="13">
        <f t="shared" si="167"/>
        <v>117.24426494086524</v>
      </c>
      <c r="BG177" s="20">
        <f t="shared" si="168"/>
        <v>1123.369679105341</v>
      </c>
      <c r="BH177" s="59">
        <f t="shared" si="116"/>
        <v>1416.7030124386743</v>
      </c>
      <c r="BI177" s="59">
        <f ca="1">AVERAGE(OFFSET($BH$3,0,0,'Données projet'!$E$11+1,1))-AVERAGE(OFFSET($H$3,0,0,'Données projet'!$E$11+1,1))</f>
        <v>436.0942819360734</v>
      </c>
      <c r="BJ177" s="59">
        <f t="shared" si="146"/>
        <v>198.03942180876311</v>
      </c>
      <c r="BK177" s="15">
        <f>IF(ISNA(VLOOKUP(A177,'Données projet'!$A$87:$I$107,3,0)),0,VLOOKUP(A177,'Données projet'!$A$87:$I$107,3,0))</f>
        <v>15</v>
      </c>
      <c r="BL177" s="15">
        <f>IF(ISNA(VLOOKUP(A177,'Données projet'!$A$87:$I$107,4,0)),0,VLOOKUP(A177,'Données projet'!$A$87:$I$107,4,0))</f>
        <v>214.77</v>
      </c>
      <c r="BM177" s="16">
        <f>IF(ISNA(VLOOKUP(A177,'Données projet'!$A$87:$I$107,5,0)),0%,VLOOKUP(A177,'Données projet'!$A$87:$I$107,5,0)*VLOOKUP('Données projet'!$B$11,Paramètres!$A$1:$I$89,7,0))</f>
        <v>0.25800000000000001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123.8632653044202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123.8632653044202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>
        <f>BY177*VLOOKUP('Données projet'!$B$12,Paramètres!$A$1:$I$89,3,0)*VLOOKUP('Données projet'!$B$12,Paramètres!$A$1:$I$89,5,0)</f>
        <v>0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183.99578440773581</v>
      </c>
      <c r="CE177" s="59">
        <f t="shared" si="148"/>
        <v>258.43295338669657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2.9213634509664175</v>
      </c>
      <c r="CL177" s="21">
        <f>EXP(-LN(2)/25)*CL176+(1-EXP(-LN(2)/25))/(LN(2)/25)*Calculateur!CG177*Calculateur!CI177*VLOOKUP('Données projet'!$B$12,Paramètres!$A$1:$I$89,3,0)*0.475*44/12</f>
        <v>0.64108662529332627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3.5624500762597435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128.30999999999955</v>
      </c>
      <c r="D178" s="11">
        <f t="shared" si="140"/>
        <v>33.605553053307958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1249.874444622023</v>
      </c>
      <c r="H178" s="67">
        <f t="shared" si="110"/>
        <v>575.3362549011772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5.3866666666666747</v>
      </c>
      <c r="N178" s="13">
        <f>IF('Données projet'!$A$36&gt;35,N177+M178-V177,IF(A178&lt;'Données projet'!$A$36,$K$205^A178,IF(A178='Données projet'!$A$36,'Données projet'!$B$36,N177+M178-V177)))</f>
        <v>336.26666666666722</v>
      </c>
      <c r="O178" s="13">
        <f>N178*VLOOKUP('Données projet'!$B$9,Paramètres!$A$1:$I$89,3,0)*VLOOKUP('Données projet'!$B$9,Paramètres!$A$1:$I$89,5,0)</f>
        <v>304.2540800000005</v>
      </c>
      <c r="P178" s="13">
        <f t="shared" si="141"/>
        <v>72.067549889405967</v>
      </c>
      <c r="Q178" s="20">
        <f t="shared" si="162"/>
        <v>655.42683872404962</v>
      </c>
      <c r="R178" s="59">
        <f t="shared" si="109"/>
        <v>948.76017205738299</v>
      </c>
      <c r="S178" s="59">
        <f ca="1">AVERAGE(OFFSET($R$3,0,0,'Données projet'!$E$9+1,1))-AVERAGE(OFFSET($H$3,0,0,'Données projet'!$E$9+1,1))</f>
        <v>399.15057697410413</v>
      </c>
      <c r="T178" s="59">
        <f t="shared" si="142"/>
        <v>182.37700638847298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113.59990594861424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113.59990594861424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5.3866666666666747</v>
      </c>
      <c r="AI178" s="13">
        <f>IF('Données projet'!$A$62&gt;35,AI177+AH178-AQ177,IF(A178&lt;'Données projet'!$A$62,$AF$205^A178,IF(A178='Données projet'!$A$62,'Données projet'!$B$62,AI177+AH178-AQ177)))</f>
        <v>336.26666666666722</v>
      </c>
      <c r="AJ178" s="13">
        <f>AI178*VLOOKUP('Données projet'!$B$10,Paramètres!$A$1:$I$89,3,0)*VLOOKUP('Données projet'!$B$10,Paramètres!$A$1:$I$89,5,0)</f>
        <v>340.97440000000057</v>
      </c>
      <c r="AK178" s="13">
        <f t="shared" si="164"/>
        <v>79.70123008824433</v>
      </c>
      <c r="AL178" s="20">
        <f t="shared" si="165"/>
        <v>732.67672240369313</v>
      </c>
      <c r="AM178" s="59">
        <f t="shared" si="113"/>
        <v>1026.0100557370265</v>
      </c>
      <c r="AN178" s="59">
        <f ca="1">AVERAGE(OFFSET($AM$3,0,0,'Données projet'!$E$10+1,1))-AVERAGE(OFFSET($H$3,0,0,'Données projet'!$E$10+1,1))</f>
        <v>463.77045964052894</v>
      </c>
      <c r="AO178" s="59">
        <f t="shared" si="144"/>
        <v>209.77146243694483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127.31023942517119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127.31023942517119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5.3866666666666747</v>
      </c>
      <c r="BD178" s="12">
        <f>IF('Données projet'!$A$88&gt;35,BD177+BC178-BL177,IF(A178&lt;'Données projet'!$A$88,$BA$205^A178,IF(A178='Données projet'!$A$88,'Données projet'!$B$88,BD177+BC178-BL177)))</f>
        <v>336.26666666666722</v>
      </c>
      <c r="BE178" s="13">
        <f>BD178*VLOOKUP('Données projet'!$B$11,Paramètres!$A$1:$I$89,3,0)*VLOOKUP('Données projet'!$B$11,Paramètres!$A$1:$I$89,5,0)</f>
        <v>325.23712000000052</v>
      </c>
      <c r="BF178" s="13">
        <f t="shared" si="167"/>
        <v>76.442006670477085</v>
      </c>
      <c r="BG178" s="20">
        <f t="shared" si="168"/>
        <v>699.59114561774857</v>
      </c>
      <c r="BH178" s="59">
        <f t="shared" si="116"/>
        <v>992.92447895108194</v>
      </c>
      <c r="BI178" s="59">
        <f ca="1">AVERAGE(OFFSET($BH$3,0,0,'Données projet'!$E$11+1,1))-AVERAGE(OFFSET($H$3,0,0,'Données projet'!$E$11+1,1))</f>
        <v>436.0942819360734</v>
      </c>
      <c r="BJ178" s="59">
        <f t="shared" si="146"/>
        <v>198.03942180876311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121.43438222093249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121.43438222093249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>
        <f>BY178*VLOOKUP('Données projet'!$B$12,Paramètres!$A$1:$I$89,3,0)*VLOOKUP('Données projet'!$B$12,Paramètres!$A$1:$I$89,5,0)</f>
        <v>0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183.99578440773581</v>
      </c>
      <c r="CE178" s="59">
        <f t="shared" si="148"/>
        <v>258.43295338669657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2.8640772955487273</v>
      </c>
      <c r="CL178" s="21">
        <f>EXP(-LN(2)/25)*CL177+(1-EXP(-LN(2)/25))/(LN(2)/25)*Calculateur!CG178*Calculateur!CI178*VLOOKUP('Données projet'!$B$12,Paramètres!$A$1:$I$89,3,0)*0.475*44/12</f>
        <v>0.62355607781139988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3.487633373360127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129.04319999999956</v>
      </c>
      <c r="D179" s="11">
        <f t="shared" si="140"/>
        <v>33.7751759806373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1256.8436040610566</v>
      </c>
      <c r="H179" s="67">
        <f t="shared" si="110"/>
        <v>576.90867149960923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5.3866666666666747</v>
      </c>
      <c r="N179" s="13">
        <f>IF('Données projet'!$A$36&gt;35,N178+M179-V178,IF(A179&lt;'Données projet'!$A$36,$K$205^A179,IF(A179='Données projet'!$A$36,'Données projet'!$B$36,N178+M179-V178)))</f>
        <v>341.65333333333388</v>
      </c>
      <c r="O179" s="13">
        <f>N179*VLOOKUP('Données projet'!$B$9,Paramètres!$A$1:$I$89,3,0)*VLOOKUP('Données projet'!$B$9,Paramètres!$A$1:$I$89,5,0)</f>
        <v>309.12793600000049</v>
      </c>
      <c r="P179" s="13">
        <f t="shared" si="141"/>
        <v>73.086678650713282</v>
      </c>
      <c r="Q179" s="20">
        <f t="shared" si="162"/>
        <v>665.6904538499931</v>
      </c>
      <c r="R179" s="59">
        <f t="shared" si="109"/>
        <v>959.02378718332648</v>
      </c>
      <c r="S179" s="59">
        <f ca="1">AVERAGE(OFFSET($R$3,0,0,'Données projet'!$E$9+1,1))-AVERAGE(OFFSET($H$3,0,0,'Données projet'!$E$9+1,1))</f>
        <v>399.15057697410413</v>
      </c>
      <c r="T179" s="59">
        <f t="shared" si="142"/>
        <v>182.37700638847298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111.37228108206281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111.37228108206281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5.3866666666666747</v>
      </c>
      <c r="AI179" s="13">
        <f>IF('Données projet'!$A$62&gt;35,AI178+AH179-AQ178,IF(A179&lt;'Données projet'!$A$62,$AF$205^A179,IF(A179='Données projet'!$A$62,'Données projet'!$B$62,AI178+AH179-AQ178)))</f>
        <v>341.65333333333388</v>
      </c>
      <c r="AJ179" s="13">
        <f>AI179*VLOOKUP('Données projet'!$B$10,Paramètres!$A$1:$I$89,3,0)*VLOOKUP('Données projet'!$B$10,Paramètres!$A$1:$I$89,5,0)</f>
        <v>346.43648000000053</v>
      </c>
      <c r="AK179" s="13">
        <f t="shared" si="164"/>
        <v>80.828309002667666</v>
      </c>
      <c r="AL179" s="20">
        <f t="shared" si="165"/>
        <v>744.15284084631367</v>
      </c>
      <c r="AM179" s="59">
        <f t="shared" si="113"/>
        <v>1037.4861741796469</v>
      </c>
      <c r="AN179" s="59">
        <f ca="1">AVERAGE(OFFSET($AM$3,0,0,'Données projet'!$E$10+1,1))-AVERAGE(OFFSET($H$3,0,0,'Données projet'!$E$10+1,1))</f>
        <v>463.77045964052894</v>
      </c>
      <c r="AO179" s="59">
        <f t="shared" si="144"/>
        <v>209.77146243694483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124.81376328162217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124.81376328162217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5.3866666666666747</v>
      </c>
      <c r="BD179" s="12">
        <f>IF('Données projet'!$A$88&gt;35,BD178+BC179-BL178,IF(A179&lt;'Données projet'!$A$88,$BA$205^A179,IF(A179='Données projet'!$A$88,'Données projet'!$B$88,BD178+BC179-BL178)))</f>
        <v>341.65333333333388</v>
      </c>
      <c r="BE179" s="13">
        <f>BD179*VLOOKUP('Données projet'!$B$11,Paramètres!$A$1:$I$89,3,0)*VLOOKUP('Données projet'!$B$11,Paramètres!$A$1:$I$89,5,0)</f>
        <v>330.44710400000054</v>
      </c>
      <c r="BF179" s="13">
        <f t="shared" si="167"/>
        <v>77.522995932488612</v>
      </c>
      <c r="BG179" s="20">
        <f t="shared" si="168"/>
        <v>710.54792404908528</v>
      </c>
      <c r="BH179" s="59">
        <f t="shared" si="116"/>
        <v>1003.8812573824187</v>
      </c>
      <c r="BI179" s="59">
        <f ca="1">AVERAGE(OFFSET($BH$3,0,0,'Données projet'!$E$11+1,1))-AVERAGE(OFFSET($H$3,0,0,'Données projet'!$E$11+1,1))</f>
        <v>436.0942819360734</v>
      </c>
      <c r="BJ179" s="59">
        <f t="shared" si="146"/>
        <v>198.03942180876311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119.05312805323959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119.05312805323959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>
        <f>BY179*VLOOKUP('Données projet'!$B$12,Paramètres!$A$1:$I$89,3,0)*VLOOKUP('Données projet'!$B$12,Paramètres!$A$1:$I$89,5,0)</f>
        <v>0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183.99578440773581</v>
      </c>
      <c r="CE179" s="59">
        <f t="shared" si="148"/>
        <v>258.43295338669657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2.8079144866976735</v>
      </c>
      <c r="CL179" s="21">
        <f>EXP(-LN(2)/25)*CL178+(1-EXP(-LN(2)/25))/(LN(2)/25)*Calculateur!CG179*Calculateur!CI179*VLOOKUP('Données projet'!$B$12,Paramètres!$A$1:$I$89,3,0)*0.475*44/12</f>
        <v>0.60650490407225821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3.4144193907699316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129.77639999999957</v>
      </c>
      <c r="D180" s="11">
        <f t="shared" si="140"/>
        <v>33.944686761980805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1263.8118978117782</v>
      </c>
      <c r="H180" s="67">
        <f t="shared" si="110"/>
        <v>578.48089277711574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>
        <f>VLOOKUP(A180,'Données projet'!$A$35:$I$55,2,0)</f>
        <v>347.04</v>
      </c>
      <c r="L180" s="12">
        <f>VLOOKUP(A180,'Données projet'!$A$35:$I$55,9,0)</f>
        <v>5.3866666666666747</v>
      </c>
      <c r="M180" s="12">
        <f t="array" ref="M180">INDEX(L:L,MIN(IF(ISNUMBER(L180:L376),ROW(L180:L376),"")))</f>
        <v>5.3866666666666747</v>
      </c>
      <c r="N180" s="13">
        <f>IF('Données projet'!$A$36&gt;35,N179+M180-V179,IF(A180&lt;'Données projet'!$A$36,$K$205^A180,IF(A180='Données projet'!$A$36,'Données projet'!$B$36,N179+M180-V179)))</f>
        <v>347.04000000000053</v>
      </c>
      <c r="O180" s="13">
        <f>N180*VLOOKUP('Données projet'!$B$9,Paramètres!$A$1:$I$89,3,0)*VLOOKUP('Données projet'!$B$9,Paramètres!$A$1:$I$89,5,0)</f>
        <v>314.00179200000048</v>
      </c>
      <c r="P180" s="13">
        <f t="shared" si="141"/>
        <v>74.103938722927282</v>
      </c>
      <c r="Q180" s="20">
        <f t="shared" si="162"/>
        <v>675.95081434243241</v>
      </c>
      <c r="R180" s="59">
        <f t="shared" si="109"/>
        <v>969.28414767576578</v>
      </c>
      <c r="S180" s="59">
        <f ca="1">AVERAGE(OFFSET($R$3,0,0,'Données projet'!$E$9+1,1))-AVERAGE(OFFSET($H$3,0,0,'Données projet'!$E$9+1,1))</f>
        <v>399.15057697410413</v>
      </c>
      <c r="T180" s="59">
        <f t="shared" si="142"/>
        <v>182.37700638847298</v>
      </c>
      <c r="U180" s="15">
        <f>IF(ISNA(VLOOKUP(A180,'Données projet'!$A$35:$I$55,3,0)),0,VLOOKUP(A180,'Données projet'!$A$35:$I$55,3,0))</f>
        <v>16</v>
      </c>
      <c r="V180" s="15">
        <f>IF(ISNA(VLOOKUP(A180,'Données projet'!$A$35:$I$55,4,0)),0,VLOOKUP(A180,'Données projet'!$A$35:$I$55,4,0))</f>
        <v>115.19</v>
      </c>
      <c r="W180" s="16">
        <f>IF(ISNA(VLOOKUP(A180,'Données projet'!$A$35:$I$55,5,0)),0%,VLOOKUP(A180,'Données projet'!$A$35:$I$55,5,0)*VLOOKUP('Données projet'!$B$9,Paramètres!$A$1:$I$89,7,0))</f>
        <v>0.25800000000000001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138.91418204963006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138.91418204963006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347.04</v>
      </c>
      <c r="AG180" s="12">
        <f>VLOOKUP(A180,'Données projet'!$A$61:$I$81,9,0)</f>
        <v>5.3866666666666747</v>
      </c>
      <c r="AH180" s="12">
        <f t="array" ref="AH180">INDEX(AG:AG,MIN(IF(ISNUMBER(AG180:AG376),ROW(AG180:AG376),"")))</f>
        <v>5.3866666666666747</v>
      </c>
      <c r="AI180" s="13">
        <f>IF('Données projet'!$A$62&gt;35,AI179+AH180-AQ179,IF(A180&lt;'Données projet'!$A$62,$AF$205^A180,IF(A180='Données projet'!$A$62,'Données projet'!$B$62,AI179+AH180-AQ179)))</f>
        <v>347.04000000000053</v>
      </c>
      <c r="AJ180" s="13">
        <f>AI180*VLOOKUP('Données projet'!$B$10,Paramètres!$A$1:$I$89,3,0)*VLOOKUP('Données projet'!$B$10,Paramètres!$A$1:$I$89,5,0)</f>
        <v>351.8985600000006</v>
      </c>
      <c r="AK180" s="13">
        <f t="shared" si="164"/>
        <v>81.953321289050805</v>
      </c>
      <c r="AL180" s="20">
        <f t="shared" si="165"/>
        <v>755.62535991176446</v>
      </c>
      <c r="AM180" s="59">
        <f t="shared" si="113"/>
        <v>1048.9586932450977</v>
      </c>
      <c r="AN180" s="59">
        <f ca="1">AVERAGE(OFFSET($AM$3,0,0,'Données projet'!$E$10+1,1))-AVERAGE(OFFSET($H$3,0,0,'Données projet'!$E$10+1,1))</f>
        <v>463.77045964052894</v>
      </c>
      <c r="AO180" s="59">
        <f t="shared" si="144"/>
        <v>209.77146243694483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0.25800000000000001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155.67968677975784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155.67968677975784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>
        <f>VLOOKUP(A180,'Données projet'!$A$87:$I$107,2,0)</f>
        <v>347.04</v>
      </c>
      <c r="BB180" s="12">
        <f>VLOOKUP(A180,'Données projet'!$A$87:$I$107,9,0)</f>
        <v>5.3866666666666747</v>
      </c>
      <c r="BC180" s="12">
        <f t="array" ref="BC180">INDEX(BB:BB,MIN(IF(ISNUMBER(BB180:BB376),ROW(BB180:BB376),"")))</f>
        <v>5.3866666666666747</v>
      </c>
      <c r="BD180" s="12">
        <f>IF('Données projet'!$A$88&gt;35,BD179+BC180-BL179,IF(A180&lt;'Données projet'!$A$88,$BA$205^A180,IF(A180='Données projet'!$A$88,'Données projet'!$B$88,BD179+BC180-BL179)))</f>
        <v>347.04000000000053</v>
      </c>
      <c r="BE180" s="13">
        <f>BD180*VLOOKUP('Données projet'!$B$11,Paramètres!$A$1:$I$89,3,0)*VLOOKUP('Données projet'!$B$11,Paramètres!$A$1:$I$89,5,0)</f>
        <v>335.6570880000005</v>
      </c>
      <c r="BF180" s="13">
        <f t="shared" si="167"/>
        <v>78.602003077106744</v>
      </c>
      <c r="BG180" s="20">
        <f t="shared" si="168"/>
        <v>721.50125029262847</v>
      </c>
      <c r="BH180" s="59">
        <f t="shared" si="116"/>
        <v>1014.8345836259618</v>
      </c>
      <c r="BI180" s="59">
        <f ca="1">AVERAGE(OFFSET($BH$3,0,0,'Données projet'!$E$11+1,1))-AVERAGE(OFFSET($H$3,0,0,'Données projet'!$E$11+1,1))</f>
        <v>436.0942819360734</v>
      </c>
      <c r="BJ180" s="59">
        <f t="shared" si="146"/>
        <v>198.03942180876311</v>
      </c>
      <c r="BK180" s="15">
        <f>IF(ISNA(VLOOKUP(A180,'Données projet'!$A$87:$I$107,3,0)),0,VLOOKUP(A180,'Données projet'!$A$87:$I$107,3,0))</f>
        <v>16</v>
      </c>
      <c r="BL180" s="15">
        <f>IF(ISNA(VLOOKUP(A180,'Données projet'!$A$87:$I$107,4,0)),0,VLOOKUP(A180,'Données projet'!$A$87:$I$107,4,0))</f>
        <v>115.19</v>
      </c>
      <c r="BM180" s="16">
        <f>IF(ISNA(VLOOKUP(A180,'Données projet'!$A$87:$I$107,5,0)),0%,VLOOKUP(A180,'Données projet'!$A$87:$I$107,5,0)*VLOOKUP('Données projet'!$B$11,Paramètres!$A$1:$I$89,7,0))</f>
        <v>0.25800000000000001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148.49447046684594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148.49447046684594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>
        <f>BY180*VLOOKUP('Données projet'!$B$12,Paramètres!$A$1:$I$89,3,0)*VLOOKUP('Données projet'!$B$12,Paramètres!$A$1:$I$89,5,0)</f>
        <v>0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183.99578440773581</v>
      </c>
      <c r="CE180" s="59">
        <f t="shared" si="148"/>
        <v>258.43295338669657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2.7528529962722579</v>
      </c>
      <c r="CL180" s="21">
        <f>EXP(-LN(2)/25)*CL179+(1-EXP(-LN(2)/25))/(LN(2)/25)*Calculateur!CG180*Calculateur!CI180*VLOOKUP('Données projet'!$B$12,Paramètres!$A$1:$I$89,3,0)*0.475*44/12</f>
        <v>0.58991999557569563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3.3427729918479536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130.50959999999958</v>
      </c>
      <c r="D181" s="11">
        <f t="shared" si="140"/>
        <v>34.114086104456895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1270.7793313326467</v>
      </c>
      <c r="H181" s="67">
        <f t="shared" si="110"/>
        <v>580.05291996526171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3.2566666666666606</v>
      </c>
      <c r="N181" s="13">
        <f>IF('Données projet'!$A$36&gt;35,N180+M181-V180,IF(A181&lt;'Données projet'!$A$36,$K$205^A181,IF(A181='Données projet'!$A$36,'Données projet'!$B$36,N180+M181-V180)))</f>
        <v>235.10666666666719</v>
      </c>
      <c r="O181" s="13">
        <f>N181*VLOOKUP('Données projet'!$B$9,Paramètres!$A$1:$I$89,3,0)*VLOOKUP('Données projet'!$B$9,Paramètres!$A$1:$I$89,5,0)</f>
        <v>212.72451200000049</v>
      </c>
      <c r="P181" s="13">
        <f t="shared" si="141"/>
        <v>52.530512718953382</v>
      </c>
      <c r="Q181" s="20">
        <f t="shared" si="162"/>
        <v>461.98583471884461</v>
      </c>
      <c r="R181" s="59">
        <f t="shared" si="109"/>
        <v>755.31916805217793</v>
      </c>
      <c r="S181" s="59">
        <f ca="1">AVERAGE(OFFSET($R$3,0,0,'Données projet'!$E$9+1,1))-AVERAGE(OFFSET($H$3,0,0,'Données projet'!$E$9+1,1))</f>
        <v>399.15057697410413</v>
      </c>
      <c r="T181" s="59">
        <f t="shared" si="142"/>
        <v>182.37700638847298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136.19015966892155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136.19015966892155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3.2566666666666606</v>
      </c>
      <c r="AI181" s="13">
        <f>IF('Données projet'!$A$62&gt;35,AI180+AH181-AQ180,IF(A181&lt;'Données projet'!$A$62,$AF$205^A181,IF(A181='Données projet'!$A$62,'Données projet'!$B$62,AI180+AH181-AQ180)))</f>
        <v>235.10666666666719</v>
      </c>
      <c r="AJ181" s="13">
        <f>AI181*VLOOKUP('Données projet'!$B$10,Paramètres!$A$1:$I$89,3,0)*VLOOKUP('Données projet'!$B$10,Paramètres!$A$1:$I$89,5,0)</f>
        <v>238.39816000000053</v>
      </c>
      <c r="AK181" s="13">
        <f t="shared" si="164"/>
        <v>58.09475259380514</v>
      </c>
      <c r="AL181" s="20">
        <f t="shared" si="165"/>
        <v>516.39182276754491</v>
      </c>
      <c r="AM181" s="59">
        <f t="shared" si="113"/>
        <v>809.72515610087817</v>
      </c>
      <c r="AN181" s="59">
        <f ca="1">AVERAGE(OFFSET($AM$3,0,0,'Données projet'!$E$10+1,1))-AVERAGE(OFFSET($H$3,0,0,'Données projet'!$E$10+1,1))</f>
        <v>463.77045964052894</v>
      </c>
      <c r="AO181" s="59">
        <f t="shared" si="144"/>
        <v>209.77146243694483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152.62690307723969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152.62690307723969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3.2566666666666606</v>
      </c>
      <c r="BD181" s="12">
        <f>IF('Données projet'!$A$88&gt;35,BD180+BC181-BL180,IF(A181&lt;'Données projet'!$A$88,$BA$205^A181,IF(A181='Données projet'!$A$88,'Données projet'!$B$88,BD180+BC181-BL180)))</f>
        <v>235.10666666666719</v>
      </c>
      <c r="BE181" s="13">
        <f>BD181*VLOOKUP('Données projet'!$B$11,Paramètres!$A$1:$I$89,3,0)*VLOOKUP('Données projet'!$B$11,Paramètres!$A$1:$I$89,5,0)</f>
        <v>227.39516800000052</v>
      </c>
      <c r="BF181" s="13">
        <f t="shared" si="167"/>
        <v>55.719083135586125</v>
      </c>
      <c r="BG181" s="20">
        <f t="shared" si="168"/>
        <v>493.09065406114672</v>
      </c>
      <c r="BH181" s="59">
        <f t="shared" si="116"/>
        <v>786.42398739448004</v>
      </c>
      <c r="BI181" s="59">
        <f ca="1">AVERAGE(OFFSET($BH$3,0,0,'Données projet'!$E$11+1,1))-AVERAGE(OFFSET($H$3,0,0,'Données projet'!$E$11+1,1))</f>
        <v>436.0942819360734</v>
      </c>
      <c r="BJ181" s="59">
        <f t="shared" si="146"/>
        <v>198.03942180876311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145.58258447367476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145.58258447367476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>
        <f>BY181*VLOOKUP('Données projet'!$B$12,Paramètres!$A$1:$I$89,3,0)*VLOOKUP('Données projet'!$B$12,Paramètres!$A$1:$I$89,5,0)</f>
        <v>0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183.99578440773581</v>
      </c>
      <c r="CE181" s="59">
        <f t="shared" si="148"/>
        <v>258.43295338669657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2.6988712280898919</v>
      </c>
      <c r="CL181" s="21">
        <f>EXP(-LN(2)/25)*CL180+(1-EXP(-LN(2)/25))/(LN(2)/25)*Calculateur!CG181*Calculateur!CI181*VLOOKUP('Données projet'!$B$12,Paramètres!$A$1:$I$89,3,0)*0.475*44/12</f>
        <v>0.57378860227413397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3.272659830364026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131.24279999999959</v>
      </c>
      <c r="D182" s="11">
        <f t="shared" si="140"/>
        <v>34.283374706778957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1277.745910017238</v>
      </c>
      <c r="H182" s="67">
        <f t="shared" si="110"/>
        <v>581.62475428097252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3.2566666666666606</v>
      </c>
      <c r="N182" s="13">
        <f>IF('Données projet'!$A$36&gt;35,N181+M182-V181,IF(A182&lt;'Données projet'!$A$36,$K$205^A182,IF(A182='Données projet'!$A$36,'Données projet'!$B$36,N181+M182-V181)))</f>
        <v>238.36333333333386</v>
      </c>
      <c r="O182" s="13">
        <f>N182*VLOOKUP('Données projet'!$B$9,Paramètres!$A$1:$I$89,3,0)*VLOOKUP('Données projet'!$B$9,Paramètres!$A$1:$I$89,5,0)</f>
        <v>215.67114400000045</v>
      </c>
      <c r="P182" s="13">
        <f t="shared" si="141"/>
        <v>53.172944836363733</v>
      </c>
      <c r="Q182" s="20">
        <f t="shared" si="162"/>
        <v>468.23678805666754</v>
      </c>
      <c r="R182" s="59">
        <f t="shared" si="109"/>
        <v>761.57012139000085</v>
      </c>
      <c r="S182" s="59">
        <f ca="1">AVERAGE(OFFSET($R$3,0,0,'Données projet'!$E$9+1,1))-AVERAGE(OFFSET($H$3,0,0,'Données projet'!$E$9+1,1))</f>
        <v>399.15057697410413</v>
      </c>
      <c r="T182" s="59">
        <f t="shared" si="142"/>
        <v>182.37700638847298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133.51955370560913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133.51955370560913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3.2566666666666606</v>
      </c>
      <c r="AI182" s="13">
        <f>IF('Données projet'!$A$62&gt;35,AI181+AH182-AQ181,IF(A182&lt;'Données projet'!$A$62,$AF$205^A182,IF(A182='Données projet'!$A$62,'Données projet'!$B$62,AI181+AH182-AQ181)))</f>
        <v>238.36333333333386</v>
      </c>
      <c r="AJ182" s="13">
        <f>AI182*VLOOKUP('Données projet'!$B$10,Paramètres!$A$1:$I$89,3,0)*VLOOKUP('Données projet'!$B$10,Paramètres!$A$1:$I$89,5,0)</f>
        <v>241.70042000000055</v>
      </c>
      <c r="AK182" s="13">
        <f t="shared" si="164"/>
        <v>58.805233664472574</v>
      </c>
      <c r="AL182" s="20">
        <f t="shared" si="165"/>
        <v>523.38068013229065</v>
      </c>
      <c r="AM182" s="59">
        <f t="shared" si="113"/>
        <v>816.71401346562402</v>
      </c>
      <c r="AN182" s="59">
        <f ca="1">AVERAGE(OFFSET($AM$3,0,0,'Données projet'!$E$10+1,1))-AVERAGE(OFFSET($H$3,0,0,'Données projet'!$E$10+1,1))</f>
        <v>463.77045964052894</v>
      </c>
      <c r="AO182" s="59">
        <f t="shared" si="144"/>
        <v>209.77146243694483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149.6339826011137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149.6339826011137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3.2566666666666606</v>
      </c>
      <c r="BD182" s="12">
        <f>IF('Données projet'!$A$88&gt;35,BD181+BC182-BL181,IF(A182&lt;'Données projet'!$A$88,$BA$205^A182,IF(A182='Données projet'!$A$88,'Données projet'!$B$88,BD181+BC182-BL181)))</f>
        <v>238.36333333333386</v>
      </c>
      <c r="BE182" s="13">
        <f>BD182*VLOOKUP('Données projet'!$B$11,Paramètres!$A$1:$I$89,3,0)*VLOOKUP('Données projet'!$B$11,Paramètres!$A$1:$I$89,5,0)</f>
        <v>230.54501600000052</v>
      </c>
      <c r="BF182" s="13">
        <f t="shared" si="167"/>
        <v>56.400510494775887</v>
      </c>
      <c r="BG182" s="20">
        <f t="shared" si="168"/>
        <v>499.76345864506885</v>
      </c>
      <c r="BH182" s="59">
        <f t="shared" si="116"/>
        <v>793.09679197840217</v>
      </c>
      <c r="BI182" s="59">
        <f ca="1">AVERAGE(OFFSET($BH$3,0,0,'Données projet'!$E$11+1,1))-AVERAGE(OFFSET($H$3,0,0,'Données projet'!$E$11+1,1))</f>
        <v>436.0942819360734</v>
      </c>
      <c r="BJ182" s="59">
        <f t="shared" si="146"/>
        <v>198.03942180876311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142.7277987887546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142.7277987887546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>
        <f>BY182*VLOOKUP('Données projet'!$B$12,Paramètres!$A$1:$I$89,3,0)*VLOOKUP('Données projet'!$B$12,Paramètres!$A$1:$I$89,5,0)</f>
        <v>0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183.99578440773581</v>
      </c>
      <c r="CE182" s="59">
        <f t="shared" si="148"/>
        <v>258.43295338669657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2.6459480094559544</v>
      </c>
      <c r="CL182" s="21">
        <f>EXP(-LN(2)/25)*CL181+(1-EXP(-LN(2)/25))/(LN(2)/25)*Calculateur!CG182*Calculateur!CI182*VLOOKUP('Données projet'!$B$12,Paramètres!$A$1:$I$89,3,0)*0.475*44/12</f>
        <v>0.55809832277071658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3.204046332226671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131.9759999999996</v>
      </c>
      <c r="D183" s="11">
        <f t="shared" si="140"/>
        <v>34.452553259401881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1284.7116391953803</v>
      </c>
      <c r="H183" s="67">
        <f t="shared" si="110"/>
        <v>583.19639692679084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>
        <f>VLOOKUP(A183,'Données projet'!$A$35:$I$55,2,0)</f>
        <v>241.62</v>
      </c>
      <c r="L183" s="12">
        <f>VLOOKUP(A183,'Données projet'!$A$35:$I$55,9,0)</f>
        <v>3.2566666666666606</v>
      </c>
      <c r="M183" s="12">
        <f t="array" ref="M183">INDEX(L:L,MIN(IF(ISNUMBER(L183:L379),ROW(L183:L379),"")))</f>
        <v>3.2566666666666606</v>
      </c>
      <c r="N183" s="13">
        <f>IF('Données projet'!$A$36&gt;35,N182+M183-V182,IF(A183&lt;'Données projet'!$A$36,$K$205^A183,IF(A183='Données projet'!$A$36,'Données projet'!$B$36,N182+M183-V182)))</f>
        <v>241.62000000000052</v>
      </c>
      <c r="O183" s="13">
        <f>N183*VLOOKUP('Données projet'!$B$9,Paramètres!$A$1:$I$89,3,0)*VLOOKUP('Données projet'!$B$9,Paramètres!$A$1:$I$89,5,0)</f>
        <v>218.61777600000045</v>
      </c>
      <c r="P183" s="13">
        <f t="shared" si="141"/>
        <v>53.814356054061541</v>
      </c>
      <c r="Q183" s="20">
        <f t="shared" si="162"/>
        <v>474.48596332749122</v>
      </c>
      <c r="R183" s="59">
        <f t="shared" si="109"/>
        <v>767.81929666082453</v>
      </c>
      <c r="S183" s="59">
        <f ca="1">AVERAGE(OFFSET($R$3,0,0,'Données projet'!$E$9+1,1))-AVERAGE(OFFSET($H$3,0,0,'Données projet'!$E$9+1,1))</f>
        <v>399.15057697410413</v>
      </c>
      <c r="T183" s="59">
        <f t="shared" si="142"/>
        <v>182.37700638847298</v>
      </c>
      <c r="U183" s="15">
        <f>IF(ISNA(VLOOKUP(A183,'Données projet'!$A$35:$I$55,3,0)),0,VLOOKUP(A183,'Données projet'!$A$35:$I$55,3,0))</f>
        <v>17</v>
      </c>
      <c r="V183" s="15">
        <f>IF(ISNA(VLOOKUP(A183,'Données projet'!$A$35:$I$55,4,0)),0,VLOOKUP(A183,'Données projet'!$A$35:$I$55,4,0))</f>
        <v>77.72</v>
      </c>
      <c r="W183" s="16">
        <f>IF(ISNA(VLOOKUP(A183,'Données projet'!$A$35:$I$55,5,0)),0%,VLOOKUP(A183,'Données projet'!$A$35:$I$55,5,0)*VLOOKUP('Données projet'!$B$9,Paramètres!$A$1:$I$89,7,0))</f>
        <v>0.25800000000000001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150.95768056842175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150.95768056842175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241.62</v>
      </c>
      <c r="AG183" s="12">
        <f>VLOOKUP(A183,'Données projet'!$A$61:$I$81,9,0)</f>
        <v>3.2566666666666606</v>
      </c>
      <c r="AH183" s="12">
        <f t="array" ref="AH183">INDEX(AG:AG,MIN(IF(ISNUMBER(AG183:AG379),ROW(AG183:AG379),"")))</f>
        <v>3.2566666666666606</v>
      </c>
      <c r="AI183" s="13">
        <f>IF('Données projet'!$A$62&gt;35,AI182+AH183-AQ182,IF(A183&lt;'Données projet'!$A$62,$AF$205^A183,IF(A183='Données projet'!$A$62,'Données projet'!$B$62,AI182+AH183-AQ182)))</f>
        <v>241.62000000000052</v>
      </c>
      <c r="AJ183" s="13">
        <f>AI183*VLOOKUP('Données projet'!$B$10,Paramètres!$A$1:$I$89,3,0)*VLOOKUP('Données projet'!$B$10,Paramètres!$A$1:$I$89,5,0)</f>
        <v>245.00268000000054</v>
      </c>
      <c r="AK183" s="13">
        <f t="shared" si="164"/>
        <v>59.514585697688133</v>
      </c>
      <c r="AL183" s="20">
        <f t="shared" si="165"/>
        <v>530.36757109014115</v>
      </c>
      <c r="AM183" s="59">
        <f t="shared" si="113"/>
        <v>823.70090442347441</v>
      </c>
      <c r="AN183" s="59">
        <f ca="1">AVERAGE(OFFSET($AM$3,0,0,'Données projet'!$E$10+1,1))-AVERAGE(OFFSET($H$3,0,0,'Données projet'!$E$10+1,1))</f>
        <v>463.77045964052894</v>
      </c>
      <c r="AO183" s="59">
        <f t="shared" si="144"/>
        <v>209.77146243694483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0.25800000000000001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169.17671098185198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169.17671098185198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>
        <f>VLOOKUP(A183,'Données projet'!$A$87:$I$107,2,0)</f>
        <v>241.62</v>
      </c>
      <c r="BB183" s="12">
        <f>VLOOKUP(A183,'Données projet'!$A$87:$I$107,9,0)</f>
        <v>3.2566666666666606</v>
      </c>
      <c r="BC183" s="12">
        <f t="array" ref="BC183">INDEX(BB:BB,MIN(IF(ISNUMBER(BB183:BB379),ROW(BB183:BB379),"")))</f>
        <v>3.2566666666666606</v>
      </c>
      <c r="BD183" s="12">
        <f>IF('Données projet'!$A$88&gt;35,BD182+BC183-BL182,IF(A183&lt;'Données projet'!$A$88,$BA$205^A183,IF(A183='Données projet'!$A$88,'Données projet'!$B$88,BD182+BC183-BL182)))</f>
        <v>241.62000000000052</v>
      </c>
      <c r="BE183" s="13">
        <f>BD183*VLOOKUP('Données projet'!$B$11,Paramètres!$A$1:$I$89,3,0)*VLOOKUP('Données projet'!$B$11,Paramètres!$A$1:$I$89,5,0)</f>
        <v>233.69486400000051</v>
      </c>
      <c r="BF183" s="13">
        <f t="shared" si="167"/>
        <v>57.080854986256675</v>
      </c>
      <c r="BG183" s="20">
        <f t="shared" si="168"/>
        <v>506.43437723439791</v>
      </c>
      <c r="BH183" s="59">
        <f t="shared" si="116"/>
        <v>799.76771056773123</v>
      </c>
      <c r="BI183" s="59">
        <f ca="1">AVERAGE(OFFSET($BH$3,0,0,'Données projet'!$E$11+1,1))-AVERAGE(OFFSET($H$3,0,0,'Données projet'!$E$11+1,1))</f>
        <v>436.0942819360734</v>
      </c>
      <c r="BJ183" s="59">
        <f t="shared" si="146"/>
        <v>198.03942180876311</v>
      </c>
      <c r="BK183" s="15">
        <f>IF(ISNA(VLOOKUP(A183,'Données projet'!$A$87:$I$107,3,0)),0,VLOOKUP(A183,'Données projet'!$A$87:$I$107,3,0))</f>
        <v>17</v>
      </c>
      <c r="BL183" s="15">
        <f>IF(ISNA(VLOOKUP(A183,'Données projet'!$A$87:$I$107,4,0)),0,VLOOKUP(A183,'Données projet'!$A$87:$I$107,4,0))</f>
        <v>77.72</v>
      </c>
      <c r="BM183" s="16">
        <f>IF(ISNA(VLOOKUP(A183,'Données projet'!$A$87:$I$107,5,0)),0%,VLOOKUP(A183,'Données projet'!$A$87:$I$107,5,0)*VLOOKUP('Données projet'!$B$11,Paramètres!$A$1:$I$89,7,0))</f>
        <v>0.25800000000000001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161.36855509038188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161.36855509038188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>
        <f>BY183*VLOOKUP('Données projet'!$B$12,Paramètres!$A$1:$I$89,3,0)*VLOOKUP('Données projet'!$B$12,Paramètres!$A$1:$I$89,5,0)</f>
        <v>0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183.99578440773581</v>
      </c>
      <c r="CE183" s="59">
        <f t="shared" si="148"/>
        <v>258.43295338669657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2.5940625828594528</v>
      </c>
      <c r="CL183" s="21">
        <f>EXP(-LN(2)/25)*CL182+(1-EXP(-LN(2)/25))/(LN(2)/25)*Calculateur!CG183*Calculateur!CI183*VLOOKUP('Données projet'!$B$12,Paramètres!$A$1:$I$89,3,0)*0.475*44/12</f>
        <v>0.54283709478543607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3.1368996776448888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132.70919999999961</v>
      </c>
      <c r="D184" s="11">
        <f t="shared" si="140"/>
        <v>34.621622444664645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1291.6765241342503</v>
      </c>
      <c r="H184" s="67">
        <f t="shared" si="110"/>
        <v>584.76784909112348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1.9533333333333285</v>
      </c>
      <c r="N184" s="13">
        <f>IF('Données projet'!$A$36&gt;35,N183+M184-V183,IF(A184&lt;'Données projet'!$A$36,$K$205^A184,IF(A184='Données projet'!$A$36,'Données projet'!$B$36,N183+M184-V183)))</f>
        <v>165.85333333333384</v>
      </c>
      <c r="O184" s="13">
        <f>N184*VLOOKUP('Données projet'!$B$9,Paramètres!$A$1:$I$89,3,0)*VLOOKUP('Données projet'!$B$9,Paramètres!$A$1:$I$89,5,0)</f>
        <v>150.06409600000046</v>
      </c>
      <c r="P184" s="13">
        <f t="shared" si="141"/>
        <v>38.593151304664545</v>
      </c>
      <c r="Q184" s="20">
        <f t="shared" si="162"/>
        <v>328.57803905562486</v>
      </c>
      <c r="R184" s="59">
        <f t="shared" si="109"/>
        <v>621.91137238895817</v>
      </c>
      <c r="S184" s="59">
        <f ca="1">AVERAGE(OFFSET($R$3,0,0,'Données projet'!$E$9+1,1))-AVERAGE(OFFSET($H$3,0,0,'Données projet'!$E$9+1,1))</f>
        <v>399.15057697410413</v>
      </c>
      <c r="T184" s="59">
        <f t="shared" si="142"/>
        <v>182.37700638847298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147.99749252756848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147.99749252756848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1.9533333333333285</v>
      </c>
      <c r="AI184" s="13">
        <f>IF('Données projet'!$A$62&gt;35,AI183+AH184-AQ183,IF(A184&lt;'Données projet'!$A$62,$AF$205^A184,IF(A184='Données projet'!$A$62,'Données projet'!$B$62,AI183+AH184-AQ183)))</f>
        <v>165.85333333333384</v>
      </c>
      <c r="AJ184" s="13">
        <f>AI184*VLOOKUP('Données projet'!$B$10,Paramètres!$A$1:$I$89,3,0)*VLOOKUP('Données projet'!$B$10,Paramètres!$A$1:$I$89,5,0)</f>
        <v>168.17528000000053</v>
      </c>
      <c r="AK184" s="13">
        <f t="shared" si="164"/>
        <v>42.681090680670735</v>
      </c>
      <c r="AL184" s="20">
        <f t="shared" si="165"/>
        <v>367.24151226883578</v>
      </c>
      <c r="AM184" s="59">
        <f t="shared" si="113"/>
        <v>660.57484560216903</v>
      </c>
      <c r="AN184" s="59">
        <f ca="1">AVERAGE(OFFSET($AM$3,0,0,'Données projet'!$E$10+1,1))-AVERAGE(OFFSET($H$3,0,0,'Données projet'!$E$10+1,1))</f>
        <v>463.77045964052894</v>
      </c>
      <c r="AO184" s="59">
        <f t="shared" si="144"/>
        <v>209.77146243694483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165.85925886710262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165.85925886710262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1.9533333333333285</v>
      </c>
      <c r="BD184" s="12">
        <f>IF('Données projet'!$A$88&gt;35,BD183+BC184-BL183,IF(A184&lt;'Données projet'!$A$88,$BA$205^A184,IF(A184='Données projet'!$A$88,'Données projet'!$B$88,BD183+BC184-BL183)))</f>
        <v>165.85333333333384</v>
      </c>
      <c r="BE184" s="13">
        <f>BD184*VLOOKUP('Données projet'!$B$11,Paramètres!$A$1:$I$89,3,0)*VLOOKUP('Données projet'!$B$11,Paramètres!$A$1:$I$89,5,0)</f>
        <v>160.41334400000048</v>
      </c>
      <c r="BF184" s="13">
        <f t="shared" si="167"/>
        <v>40.935732295508117</v>
      </c>
      <c r="BG184" s="20">
        <f t="shared" si="168"/>
        <v>350.68297454801086</v>
      </c>
      <c r="BH184" s="59">
        <f t="shared" si="116"/>
        <v>644.01630788134412</v>
      </c>
      <c r="BI184" s="59">
        <f ca="1">AVERAGE(OFFSET($BH$3,0,0,'Données projet'!$E$11+1,1))-AVERAGE(OFFSET($H$3,0,0,'Données projet'!$E$11+1,1))</f>
        <v>436.0942819360734</v>
      </c>
      <c r="BJ184" s="59">
        <f t="shared" si="146"/>
        <v>198.03942180876311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158.20421615015943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158.20421615015943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>
        <f>BY184*VLOOKUP('Données projet'!$B$12,Paramètres!$A$1:$I$89,3,0)*VLOOKUP('Données projet'!$B$12,Paramètres!$A$1:$I$89,5,0)</f>
        <v>0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183.99578440773581</v>
      </c>
      <c r="CE184" s="59">
        <f t="shared" si="148"/>
        <v>258.43295338669657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2.5431945978315231</v>
      </c>
      <c r="CL184" s="21">
        <f>EXP(-LN(2)/25)*CL183+(1-EXP(-LN(2)/25))/(LN(2)/25)*Calculateur!CG184*Calculateur!CI184*VLOOKUP('Données projet'!$B$12,Paramètres!$A$1:$I$89,3,0)*0.475*44/12</f>
        <v>0.5279931858819662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3.0711877837134893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133.44239999999962</v>
      </c>
      <c r="D185" s="11">
        <f t="shared" si="140"/>
        <v>34.790582936930399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1298.6405700394598</v>
      </c>
      <c r="H185" s="67">
        <f t="shared" si="110"/>
        <v>586.33911194848645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1.9533333333333285</v>
      </c>
      <c r="N185" s="13">
        <f>IF('Données projet'!$A$36&gt;35,N184+M185-V184,IF(A185&lt;'Données projet'!$A$36,$K$205^A185,IF(A185='Données projet'!$A$36,'Données projet'!$B$36,N184+M185-V184)))</f>
        <v>167.80666666666716</v>
      </c>
      <c r="O185" s="13">
        <f>N185*VLOOKUP('Données projet'!$B$9,Paramètres!$A$1:$I$89,3,0)*VLOOKUP('Données projet'!$B$9,Paramètres!$A$1:$I$89,5,0)</f>
        <v>151.83147200000045</v>
      </c>
      <c r="P185" s="13">
        <f t="shared" si="141"/>
        <v>38.994499777620597</v>
      </c>
      <c r="Q185" s="20">
        <f t="shared" si="162"/>
        <v>332.35523417935661</v>
      </c>
      <c r="R185" s="59">
        <f t="shared" si="109"/>
        <v>625.68856751268993</v>
      </c>
      <c r="S185" s="59">
        <f ca="1">AVERAGE(OFFSET($R$3,0,0,'Données projet'!$E$9+1,1))-AVERAGE(OFFSET($H$3,0,0,'Données projet'!$E$9+1,1))</f>
        <v>399.15057697410413</v>
      </c>
      <c r="T185" s="59">
        <f t="shared" si="142"/>
        <v>182.37700638847298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145.09535196865994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145.09535196865994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1.9533333333333285</v>
      </c>
      <c r="AI185" s="13">
        <f>IF('Données projet'!$A$62&gt;35,AI184+AH185-AQ184,IF(A185&lt;'Données projet'!$A$62,$AF$205^A185,IF(A185='Données projet'!$A$62,'Données projet'!$B$62,AI184+AH185-AQ184)))</f>
        <v>167.80666666666716</v>
      </c>
      <c r="AJ185" s="13">
        <f>AI185*VLOOKUP('Données projet'!$B$10,Paramètres!$A$1:$I$89,3,0)*VLOOKUP('Données projet'!$B$10,Paramètres!$A$1:$I$89,5,0)</f>
        <v>170.1559600000005</v>
      </c>
      <c r="AK185" s="13">
        <f t="shared" si="164"/>
        <v>43.124951572816009</v>
      </c>
      <c r="AL185" s="20">
        <f t="shared" si="165"/>
        <v>371.46425432265534</v>
      </c>
      <c r="AM185" s="59">
        <f t="shared" si="113"/>
        <v>664.79758765598865</v>
      </c>
      <c r="AN185" s="59">
        <f ca="1">AVERAGE(OFFSET($AM$3,0,0,'Données projet'!$E$10+1,1))-AVERAGE(OFFSET($H$3,0,0,'Données projet'!$E$10+1,1))</f>
        <v>463.77045964052894</v>
      </c>
      <c r="AO185" s="59">
        <f t="shared" si="144"/>
        <v>209.77146243694483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162.60685996487751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162.60685996487751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1.9533333333333285</v>
      </c>
      <c r="BD185" s="12">
        <f>IF('Données projet'!$A$88&gt;35,BD184+BC185-BL184,IF(A185&lt;'Données projet'!$A$88,$BA$205^A185,IF(A185='Données projet'!$A$88,'Données projet'!$B$88,BD184+BC185-BL184)))</f>
        <v>167.80666666666716</v>
      </c>
      <c r="BE185" s="13">
        <f>BD185*VLOOKUP('Données projet'!$B$11,Paramètres!$A$1:$I$89,3,0)*VLOOKUP('Données projet'!$B$11,Paramètres!$A$1:$I$89,5,0)</f>
        <v>162.30260800000048</v>
      </c>
      <c r="BF185" s="13">
        <f t="shared" si="167"/>
        <v>41.361442378534058</v>
      </c>
      <c r="BG185" s="20">
        <f t="shared" si="168"/>
        <v>354.71488774261428</v>
      </c>
      <c r="BH185" s="59">
        <f t="shared" si="116"/>
        <v>648.04822107594759</v>
      </c>
      <c r="BI185" s="59">
        <f ca="1">AVERAGE(OFFSET($BH$3,0,0,'Données projet'!$E$11+1,1))-AVERAGE(OFFSET($H$3,0,0,'Données projet'!$E$11+1,1))</f>
        <v>436.0942819360734</v>
      </c>
      <c r="BJ185" s="59">
        <f t="shared" si="146"/>
        <v>198.03942180876311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155.10192796649855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155.10192796649855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>
        <f>BY185*VLOOKUP('Données projet'!$B$12,Paramètres!$A$1:$I$89,3,0)*VLOOKUP('Données projet'!$B$12,Paramètres!$A$1:$I$89,5,0)</f>
        <v>0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183.99578440773581</v>
      </c>
      <c r="CE185" s="59">
        <f t="shared" si="148"/>
        <v>258.43295338669657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2.4933241029635838</v>
      </c>
      <c r="CL185" s="21">
        <f>EXP(-LN(2)/25)*CL184+(1-EXP(-LN(2)/25))/(LN(2)/25)*Calculateur!CG185*Calculateur!CI185*VLOOKUP('Données projet'!$B$12,Paramètres!$A$1:$I$89,3,0)*0.475*44/12</f>
        <v>0.51355518444806891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3.0068792874116528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134.17559999999963</v>
      </c>
      <c r="D186" s="11">
        <f t="shared" si="140"/>
        <v>34.959435402722669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1305.6037820561021</v>
      </c>
      <c r="H186" s="67">
        <f t="shared" si="110"/>
        <v>587.91018665974138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>
        <f>VLOOKUP(A186,'Données projet'!$A$35:$I$55,2,0)</f>
        <v>169.76</v>
      </c>
      <c r="L186" s="12">
        <f>VLOOKUP(A186,'Données projet'!$A$35:$I$55,9,0)</f>
        <v>1.9533333333333285</v>
      </c>
      <c r="M186" s="12">
        <f t="array" ref="M186">INDEX(L:L,MIN(IF(ISNUMBER(L186:L382),ROW(L186:L382),"")))</f>
        <v>1.9533333333333285</v>
      </c>
      <c r="N186" s="13">
        <f>IF('Données projet'!$A$36&gt;35,N185+M186-V185,IF(A186&lt;'Données projet'!$A$36,$K$205^A186,IF(A186='Données projet'!$A$36,'Données projet'!$B$36,N185+M186-V185)))</f>
        <v>169.76000000000047</v>
      </c>
      <c r="O186" s="13">
        <f>N186*VLOOKUP('Données projet'!$B$9,Paramètres!$A$1:$I$89,3,0)*VLOOKUP('Données projet'!$B$9,Paramètres!$A$1:$I$89,5,0)</f>
        <v>153.5988480000004</v>
      </c>
      <c r="P186" s="13">
        <f t="shared" si="141"/>
        <v>39.395304802658316</v>
      </c>
      <c r="Q186" s="20">
        <f t="shared" si="162"/>
        <v>336.13148279796388</v>
      </c>
      <c r="R186" s="59">
        <f t="shared" si="109"/>
        <v>629.4648161312972</v>
      </c>
      <c r="S186" s="59">
        <f ca="1">AVERAGE(OFFSET($R$3,0,0,'Données projet'!$E$9+1,1))-AVERAGE(OFFSET($H$3,0,0,'Données projet'!$E$9+1,1))</f>
        <v>399.15057697410413</v>
      </c>
      <c r="T186" s="59">
        <f t="shared" si="142"/>
        <v>182.37700638847298</v>
      </c>
      <c r="U186" s="15">
        <f>IF(ISNA(VLOOKUP(A186,'Données projet'!$A$35:$I$55,3,0)),0,VLOOKUP(A186,'Données projet'!$A$35:$I$55,3,0))</f>
        <v>18</v>
      </c>
      <c r="V186" s="15">
        <f>IF(ISNA(VLOOKUP(A186,'Données projet'!$A$35:$I$55,4,0)),0,VLOOKUP(A186,'Données projet'!$A$35:$I$55,4,0))</f>
        <v>169.76</v>
      </c>
      <c r="W186" s="16">
        <f>IF(ISNA(VLOOKUP(A186,'Données projet'!$A$35:$I$55,5,0)),0%,VLOOKUP(A186,'Données projet'!$A$35:$I$55,5,0)*VLOOKUP('Données projet'!$B$9,Paramètres!$A$1:$I$89,7,0))</f>
        <v>0.25800000000000001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186.05825662893167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186.05825662893167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169.76</v>
      </c>
      <c r="AG186" s="12">
        <f>VLOOKUP(A186,'Données projet'!$A$61:$I$81,9,0)</f>
        <v>1.9533333333333285</v>
      </c>
      <c r="AH186" s="12">
        <f t="array" ref="AH186">INDEX(AG:AG,MIN(IF(ISNUMBER(AG186:AG382),ROW(AG186:AG382),"")))</f>
        <v>1.9533333333333285</v>
      </c>
      <c r="AI186" s="13">
        <f>IF('Données projet'!$A$62&gt;35,AI185+AH186-AQ185,IF(A186&lt;'Données projet'!$A$62,$AF$205^A186,IF(A186='Données projet'!$A$62,'Données projet'!$B$62,AI185+AH186-AQ185)))</f>
        <v>169.76000000000047</v>
      </c>
      <c r="AJ186" s="13">
        <f>AI186*VLOOKUP('Données projet'!$B$10,Paramètres!$A$1:$I$89,3,0)*VLOOKUP('Données projet'!$B$10,Paramètres!$A$1:$I$89,5,0)</f>
        <v>172.13664000000048</v>
      </c>
      <c r="AK186" s="13">
        <f t="shared" si="164"/>
        <v>43.568211452887901</v>
      </c>
      <c r="AL186" s="20">
        <f t="shared" si="165"/>
        <v>375.68594961378062</v>
      </c>
      <c r="AM186" s="59">
        <f t="shared" si="113"/>
        <v>669.01928294711388</v>
      </c>
      <c r="AN186" s="59">
        <f ca="1">AVERAGE(OFFSET($AM$3,0,0,'Données projet'!$E$10+1,1))-AVERAGE(OFFSET($H$3,0,0,'Données projet'!$E$10+1,1))</f>
        <v>463.77045964052894</v>
      </c>
      <c r="AO186" s="59">
        <f t="shared" si="144"/>
        <v>209.77146243694483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0.25800000000000001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208.51356346345793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208.51356346345793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>
        <f>VLOOKUP(A186,'Données projet'!$A$87:$I$107,2,0)</f>
        <v>169.76</v>
      </c>
      <c r="BB186" s="12">
        <f>VLOOKUP(A186,'Données projet'!$A$87:$I$107,9,0)</f>
        <v>1.9533333333333285</v>
      </c>
      <c r="BC186" s="12">
        <f t="array" ref="BC186">INDEX(BB:BB,MIN(IF(ISNUMBER(BB186:BB382),ROW(BB186:BB382),"")))</f>
        <v>1.9533333333333285</v>
      </c>
      <c r="BD186" s="12">
        <f>IF('Données projet'!$A$88&gt;35,BD185+BC186-BL185,IF(A186&lt;'Données projet'!$A$88,$BA$205^A186,IF(A186='Données projet'!$A$88,'Données projet'!$B$88,BD185+BC186-BL185)))</f>
        <v>169.76000000000047</v>
      </c>
      <c r="BE186" s="13">
        <f>BD186*VLOOKUP('Données projet'!$B$11,Paramètres!$A$1:$I$89,3,0)*VLOOKUP('Données projet'!$B$11,Paramètres!$A$1:$I$89,5,0)</f>
        <v>164.19187200000047</v>
      </c>
      <c r="BF186" s="13">
        <f t="shared" si="167"/>
        <v>41.786576026680912</v>
      </c>
      <c r="BG186" s="20">
        <f t="shared" si="168"/>
        <v>358.7457969798034</v>
      </c>
      <c r="BH186" s="59">
        <f t="shared" si="116"/>
        <v>652.07913031313672</v>
      </c>
      <c r="BI186" s="59">
        <f ca="1">AVERAGE(OFFSET($BH$3,0,0,'Données projet'!$E$11+1,1))-AVERAGE(OFFSET($H$3,0,0,'Données projet'!$E$11+1,1))</f>
        <v>436.0942819360734</v>
      </c>
      <c r="BJ186" s="59">
        <f t="shared" si="146"/>
        <v>198.03942180876311</v>
      </c>
      <c r="BK186" s="15">
        <f>IF(ISNA(VLOOKUP(A186,'Données projet'!$A$87:$I$107,3,0)),0,VLOOKUP(A186,'Données projet'!$A$87:$I$107,3,0))</f>
        <v>18</v>
      </c>
      <c r="BL186" s="15">
        <f>IF(ISNA(VLOOKUP(A186,'Données projet'!$A$87:$I$107,4,0)),0,VLOOKUP(A186,'Données projet'!$A$87:$I$107,4,0))</f>
        <v>169.76</v>
      </c>
      <c r="BM186" s="16">
        <f>IF(ISNA(VLOOKUP(A186,'Données projet'!$A$87:$I$107,5,0)),0%,VLOOKUP(A186,'Données projet'!$A$87:$I$107,5,0)*VLOOKUP('Données projet'!$B$11,Paramètres!$A$1:$I$89,7,0))</f>
        <v>0.25800000000000001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198.88986053437523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198.88986053437523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>
        <f>BY186*VLOOKUP('Données projet'!$B$12,Paramètres!$A$1:$I$89,3,0)*VLOOKUP('Données projet'!$B$12,Paramètres!$A$1:$I$89,5,0)</f>
        <v>0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183.99578440773581</v>
      </c>
      <c r="CE186" s="59">
        <f t="shared" si="148"/>
        <v>258.43295338669657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2.4444315380820063</v>
      </c>
      <c r="CL186" s="21">
        <f>EXP(-LN(2)/25)*CL185+(1-EXP(-LN(2)/25))/(LN(2)/25)*Calculateur!CG186*Calculateur!CI186*VLOOKUP('Données projet'!$B$12,Paramètres!$A$1:$I$89,3,0)*0.475*44/12</f>
        <v>0.49951199092264309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2.9439435290046494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134.90879999999964</v>
      </c>
      <c r="D187" s="11">
        <f t="shared" si="140"/>
        <v>35.12818050085901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1312.5661652697861</v>
      </c>
      <c r="H187" s="67">
        <f t="shared" si="110"/>
        <v>589.48107437232875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4.8316906031686813E-13</v>
      </c>
      <c r="O187" s="13">
        <f>N187*VLOOKUP('Données projet'!$B$9,Paramètres!$A$1:$I$89,3,0)*VLOOKUP('Données projet'!$B$9,Paramètres!$A$1:$I$89,5,0)</f>
        <v>4.3717136577470225E-13</v>
      </c>
      <c r="P187" s="13">
        <f t="shared" si="141"/>
        <v>5.5313598682231701E-12</v>
      </c>
      <c r="Q187" s="20">
        <f t="shared" si="162"/>
        <v>1.039519189921296E-11</v>
      </c>
      <c r="R187" s="59">
        <f t="shared" si="109"/>
        <v>293.33333333334372</v>
      </c>
      <c r="S187" s="59">
        <f ca="1">AVERAGE(OFFSET($R$3,0,0,'Données projet'!$E$9+1,1))-AVERAGE(OFFSET($H$3,0,0,'Données projet'!$E$9+1,1))</f>
        <v>399.15057697410413</v>
      </c>
      <c r="T187" s="59">
        <f t="shared" si="142"/>
        <v>182.37700638847298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182.40976770076921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182.40976770076921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4.8316906031686813E-13</v>
      </c>
      <c r="AJ187" s="13">
        <f>AI187*VLOOKUP('Données projet'!$B$10,Paramètres!$A$1:$I$89,3,0)*VLOOKUP('Données projet'!$B$10,Paramètres!$A$1:$I$89,5,0)</f>
        <v>4.8993342716130437E-13</v>
      </c>
      <c r="AK187" s="13">
        <f t="shared" si="164"/>
        <v>6.1172634040517391E-12</v>
      </c>
      <c r="AL187" s="20">
        <f t="shared" si="165"/>
        <v>1.1507534481029384E-11</v>
      </c>
      <c r="AM187" s="59">
        <f t="shared" si="113"/>
        <v>293.3333333333448</v>
      </c>
      <c r="AN187" s="59">
        <f ca="1">AVERAGE(OFFSET($AM$3,0,0,'Données projet'!$E$10+1,1))-AVERAGE(OFFSET($H$3,0,0,'Données projet'!$E$10+1,1))</f>
        <v>463.77045964052894</v>
      </c>
      <c r="AO187" s="59">
        <f t="shared" si="144"/>
        <v>209.77146243694483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204.42473966465516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204.42473966465516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4.8316906031686813E-13</v>
      </c>
      <c r="BE187" s="13">
        <f>BD187*VLOOKUP('Données projet'!$B$11,Paramètres!$A$1:$I$89,3,0)*VLOOKUP('Données projet'!$B$11,Paramètres!$A$1:$I$89,5,0)</f>
        <v>4.6732111513847483E-13</v>
      </c>
      <c r="BF187" s="13">
        <f t="shared" si="167"/>
        <v>5.8671100737071438E-12</v>
      </c>
      <c r="BG187" s="20">
        <f t="shared" si="168"/>
        <v>1.1032467653906121E-11</v>
      </c>
      <c r="BH187" s="59">
        <f t="shared" si="116"/>
        <v>293.33333333334434</v>
      </c>
      <c r="BI187" s="59">
        <f ca="1">AVERAGE(OFFSET($BH$3,0,0,'Données projet'!$E$11+1,1))-AVERAGE(OFFSET($H$3,0,0,'Données projet'!$E$11+1,1))</f>
        <v>436.0942819360734</v>
      </c>
      <c r="BJ187" s="59">
        <f t="shared" si="146"/>
        <v>198.03942180876311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194.9897516801326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194.9897516801326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>
        <f>BY187*VLOOKUP('Données projet'!$B$12,Paramètres!$A$1:$I$89,3,0)*VLOOKUP('Données projet'!$B$12,Paramètres!$A$1:$I$89,5,0)</f>
        <v>0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183.99578440773581</v>
      </c>
      <c r="CE187" s="59">
        <f t="shared" si="148"/>
        <v>258.43295338669657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2.3964977265762366</v>
      </c>
      <c r="CL187" s="21">
        <f>EXP(-LN(2)/25)*CL186+(1-EXP(-LN(2)/25))/(LN(2)/25)*Calculateur!CG187*Calculateur!CI187*VLOOKUP('Données projet'!$B$12,Paramètres!$A$1:$I$89,3,0)*0.475*44/12</f>
        <v>0.48585280926266944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2.8823505358389059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135.64199999999965</v>
      </c>
      <c r="D188" s="11">
        <f t="shared" si="140"/>
        <v>35.296818882581405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1319.5277247076435</v>
      </c>
      <c r="H188" s="67">
        <f t="shared" si="110"/>
        <v>591.0517762204953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4.8316906031686813E-13</v>
      </c>
      <c r="O188" s="13">
        <f>N188*VLOOKUP('Données projet'!$B$9,Paramètres!$A$1:$I$89,3,0)*VLOOKUP('Données projet'!$B$9,Paramètres!$A$1:$I$89,5,0)</f>
        <v>4.3717136577470225E-13</v>
      </c>
      <c r="P188" s="13">
        <f t="shared" si="141"/>
        <v>5.5313598682231701E-12</v>
      </c>
      <c r="Q188" s="20">
        <f t="shared" si="162"/>
        <v>1.039519189921296E-11</v>
      </c>
      <c r="R188" s="59">
        <f t="shared" si="109"/>
        <v>293.33333333334372</v>
      </c>
      <c r="S188" s="59">
        <f ca="1">AVERAGE(OFFSET($R$3,0,0,'Données projet'!$E$9+1,1))-AVERAGE(OFFSET($H$3,0,0,'Données projet'!$E$9+1,1))</f>
        <v>399.15057697410413</v>
      </c>
      <c r="T188" s="59">
        <f t="shared" si="142"/>
        <v>182.37700638847298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178.83282341512952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178.83282341512952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4.8316906031686813E-13</v>
      </c>
      <c r="AJ188" s="13">
        <f>AI188*VLOOKUP('Données projet'!$B$10,Paramètres!$A$1:$I$89,3,0)*VLOOKUP('Données projet'!$B$10,Paramètres!$A$1:$I$89,5,0)</f>
        <v>4.8993342716130437E-13</v>
      </c>
      <c r="AK188" s="13">
        <f t="shared" si="164"/>
        <v>6.1172634040517391E-12</v>
      </c>
      <c r="AL188" s="20">
        <f t="shared" si="165"/>
        <v>1.1507534481029384E-11</v>
      </c>
      <c r="AM188" s="59">
        <f t="shared" si="113"/>
        <v>293.3333333333448</v>
      </c>
      <c r="AN188" s="59">
        <f ca="1">AVERAGE(OFFSET($AM$3,0,0,'Données projet'!$E$10+1,1))-AVERAGE(OFFSET($H$3,0,0,'Données projet'!$E$10+1,1))</f>
        <v>463.77045964052894</v>
      </c>
      <c r="AO188" s="59">
        <f t="shared" si="144"/>
        <v>209.77146243694483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200.41609520661066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200.41609520661066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4.8316906031686813E-13</v>
      </c>
      <c r="BE188" s="13">
        <f>BD188*VLOOKUP('Données projet'!$B$11,Paramètres!$A$1:$I$89,3,0)*VLOOKUP('Données projet'!$B$11,Paramètres!$A$1:$I$89,5,0)</f>
        <v>4.6732111513847483E-13</v>
      </c>
      <c r="BF188" s="13">
        <f t="shared" si="167"/>
        <v>5.8671100737071438E-12</v>
      </c>
      <c r="BG188" s="20">
        <f t="shared" si="168"/>
        <v>1.1032467653906121E-11</v>
      </c>
      <c r="BH188" s="59">
        <f t="shared" si="116"/>
        <v>293.33333333334434</v>
      </c>
      <c r="BI188" s="59">
        <f ca="1">AVERAGE(OFFSET($BH$3,0,0,'Données projet'!$E$11+1,1))-AVERAGE(OFFSET($H$3,0,0,'Données projet'!$E$11+1,1))</f>
        <v>436.0942819360734</v>
      </c>
      <c r="BJ188" s="59">
        <f t="shared" si="146"/>
        <v>198.03942180876311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191.16612158169016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191.16612158169016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>
        <f>BY188*VLOOKUP('Données projet'!$B$12,Paramètres!$A$1:$I$89,3,0)*VLOOKUP('Données projet'!$B$12,Paramètres!$A$1:$I$89,5,0)</f>
        <v>0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183.99578440773581</v>
      </c>
      <c r="CE188" s="59">
        <f t="shared" si="148"/>
        <v>258.43295338669657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2.349503867877357</v>
      </c>
      <c r="CL188" s="21">
        <f>EXP(-LN(2)/25)*CL187+(1-EXP(-LN(2)/25))/(LN(2)/25)*Calculateur!CG188*Calculateur!CI188*VLOOKUP('Données projet'!$B$12,Paramètres!$A$1:$I$89,3,0)*0.475*44/12</f>
        <v>0.47256713864349292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2.8220710065208499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136.37519999999967</v>
      </c>
      <c r="D189" s="11">
        <f t="shared" si="140"/>
        <v>35.465351191683915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1326.4884653393119</v>
      </c>
      <c r="H189" s="67">
        <f t="shared" si="110"/>
        <v>592.62229332551556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4.8316906031686813E-13</v>
      </c>
      <c r="O189" s="13">
        <f>N189*VLOOKUP('Données projet'!$B$9,Paramètres!$A$1:$I$89,3,0)*VLOOKUP('Données projet'!$B$9,Paramètres!$A$1:$I$89,5,0)</f>
        <v>4.3717136577470225E-13</v>
      </c>
      <c r="P189" s="13">
        <f t="shared" si="141"/>
        <v>5.5313598682231701E-12</v>
      </c>
      <c r="Q189" s="20">
        <f t="shared" si="162"/>
        <v>1.039519189921296E-11</v>
      </c>
      <c r="R189" s="59">
        <f t="shared" si="109"/>
        <v>293.33333333334372</v>
      </c>
      <c r="S189" s="59">
        <f ca="1">AVERAGE(OFFSET($R$3,0,0,'Données projet'!$E$9+1,1))-AVERAGE(OFFSET($H$3,0,0,'Données projet'!$E$9+1,1))</f>
        <v>399.15057697410413</v>
      </c>
      <c r="T189" s="59">
        <f t="shared" si="142"/>
        <v>182.37700638847298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175.32602082521063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175.32602082521063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4.8316906031686813E-13</v>
      </c>
      <c r="AJ189" s="13">
        <f>AI189*VLOOKUP('Données projet'!$B$10,Paramètres!$A$1:$I$89,3,0)*VLOOKUP('Données projet'!$B$10,Paramètres!$A$1:$I$89,5,0)</f>
        <v>4.8993342716130437E-13</v>
      </c>
      <c r="AK189" s="13">
        <f t="shared" si="164"/>
        <v>6.1172634040517391E-12</v>
      </c>
      <c r="AL189" s="20">
        <f t="shared" si="165"/>
        <v>1.1507534481029384E-11</v>
      </c>
      <c r="AM189" s="59">
        <f t="shared" si="113"/>
        <v>293.3333333333448</v>
      </c>
      <c r="AN189" s="59">
        <f ca="1">AVERAGE(OFFSET($AM$3,0,0,'Données projet'!$E$10+1,1))-AVERAGE(OFFSET($H$3,0,0,'Données projet'!$E$10+1,1))</f>
        <v>463.77045964052894</v>
      </c>
      <c r="AO189" s="59">
        <f t="shared" si="144"/>
        <v>209.77146243694483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196.48605782135672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196.48605782135672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4.8316906031686813E-13</v>
      </c>
      <c r="BE189" s="13">
        <f>BD189*VLOOKUP('Données projet'!$B$11,Paramètres!$A$1:$I$89,3,0)*VLOOKUP('Données projet'!$B$11,Paramètres!$A$1:$I$89,5,0)</f>
        <v>4.6732111513847483E-13</v>
      </c>
      <c r="BF189" s="13">
        <f t="shared" si="167"/>
        <v>5.8671100737071438E-12</v>
      </c>
      <c r="BG189" s="20">
        <f t="shared" si="168"/>
        <v>1.1032467653906121E-11</v>
      </c>
      <c r="BH189" s="59">
        <f t="shared" si="116"/>
        <v>293.33333333334434</v>
      </c>
      <c r="BI189" s="59">
        <f ca="1">AVERAGE(OFFSET($BH$3,0,0,'Données projet'!$E$11+1,1))-AVERAGE(OFFSET($H$3,0,0,'Données projet'!$E$11+1,1))</f>
        <v>436.0942819360734</v>
      </c>
      <c r="BJ189" s="59">
        <f t="shared" si="146"/>
        <v>198.03942180876311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187.41747053729412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187.41747053729412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>
        <f>BY189*VLOOKUP('Données projet'!$B$12,Paramètres!$A$1:$I$89,3,0)*VLOOKUP('Données projet'!$B$12,Paramètres!$A$1:$I$89,5,0)</f>
        <v>0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183.99578440773581</v>
      </c>
      <c r="CE189" s="59">
        <f t="shared" si="148"/>
        <v>258.43295338669657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2.303431530084139</v>
      </c>
      <c r="CL189" s="21">
        <f>EXP(-LN(2)/25)*CL188+(1-EXP(-LN(2)/25))/(LN(2)/25)*Calculateur!CG189*Calculateur!CI189*VLOOKUP('Données projet'!$B$12,Paramètres!$A$1:$I$89,3,0)*0.475*44/12</f>
        <v>0.45964476538606086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2.7630762954701997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137.10839999999968</v>
      </c>
      <c r="D190" s="11">
        <f t="shared" si="140"/>
        <v>35.633778064637305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1333.4483920778996</v>
      </c>
      <c r="H190" s="67">
        <f t="shared" si="110"/>
        <v>594.1926267959094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4.8316906031686813E-13</v>
      </c>
      <c r="O190" s="13">
        <f>N190*VLOOKUP('Données projet'!$B$9,Paramètres!$A$1:$I$89,3,0)*VLOOKUP('Données projet'!$B$9,Paramètres!$A$1:$I$89,5,0)</f>
        <v>4.3717136577470225E-13</v>
      </c>
      <c r="P190" s="13">
        <f t="shared" si="141"/>
        <v>5.5313598682231701E-12</v>
      </c>
      <c r="Q190" s="20">
        <f t="shared" si="162"/>
        <v>1.039519189921296E-11</v>
      </c>
      <c r="R190" s="59">
        <f t="shared" si="109"/>
        <v>293.33333333334372</v>
      </c>
      <c r="S190" s="59">
        <f ca="1">AVERAGE(OFFSET($R$3,0,0,'Données projet'!$E$9+1,1))-AVERAGE(OFFSET($H$3,0,0,'Données projet'!$E$9+1,1))</f>
        <v>399.15057697410413</v>
      </c>
      <c r="T190" s="59">
        <f t="shared" si="142"/>
        <v>182.37700638847298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171.88798449514167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171.88798449514167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4.8316906031686813E-13</v>
      </c>
      <c r="AJ190" s="13">
        <f>AI190*VLOOKUP('Données projet'!$B$10,Paramètres!$A$1:$I$89,3,0)*VLOOKUP('Données projet'!$B$10,Paramètres!$A$1:$I$89,5,0)</f>
        <v>4.8993342716130437E-13</v>
      </c>
      <c r="AK190" s="13">
        <f t="shared" si="164"/>
        <v>6.1172634040517391E-12</v>
      </c>
      <c r="AL190" s="20">
        <f t="shared" si="165"/>
        <v>1.1507534481029384E-11</v>
      </c>
      <c r="AM190" s="59">
        <f t="shared" si="113"/>
        <v>293.3333333333448</v>
      </c>
      <c r="AN190" s="59">
        <f ca="1">AVERAGE(OFFSET($AM$3,0,0,'Données projet'!$E$10+1,1))-AVERAGE(OFFSET($H$3,0,0,'Données projet'!$E$10+1,1))</f>
        <v>463.77045964052894</v>
      </c>
      <c r="AO190" s="59">
        <f t="shared" si="144"/>
        <v>209.77146243694483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192.63308607214151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192.63308607214151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4.8316906031686813E-13</v>
      </c>
      <c r="BE190" s="13">
        <f>BD190*VLOOKUP('Données projet'!$B$11,Paramètres!$A$1:$I$89,3,0)*VLOOKUP('Données projet'!$B$11,Paramètres!$A$1:$I$89,5,0)</f>
        <v>4.6732111513847483E-13</v>
      </c>
      <c r="BF190" s="13">
        <f t="shared" si="167"/>
        <v>5.8671100737071438E-12</v>
      </c>
      <c r="BG190" s="20">
        <f t="shared" si="168"/>
        <v>1.1032467653906121E-11</v>
      </c>
      <c r="BH190" s="59">
        <f t="shared" si="116"/>
        <v>293.33333333334434</v>
      </c>
      <c r="BI190" s="59">
        <f ca="1">AVERAGE(OFFSET($BH$3,0,0,'Données projet'!$E$11+1,1))-AVERAGE(OFFSET($H$3,0,0,'Données projet'!$E$11+1,1))</f>
        <v>436.0942819360734</v>
      </c>
      <c r="BJ190" s="59">
        <f t="shared" si="146"/>
        <v>198.03942180876311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183.7423282534273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183.7423282534273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>
        <f>BY190*VLOOKUP('Données projet'!$B$12,Paramètres!$A$1:$I$89,3,0)*VLOOKUP('Données projet'!$B$12,Paramètres!$A$1:$I$89,5,0)</f>
        <v>0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183.99578440773581</v>
      </c>
      <c r="CE190" s="59">
        <f t="shared" si="148"/>
        <v>258.43295338669657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2.2582626427336945</v>
      </c>
      <c r="CL190" s="21">
        <f>EXP(-LN(2)/25)*CL189+(1-EXP(-LN(2)/25))/(LN(2)/25)*Calculateur!CG190*Calculateur!CI190*VLOOKUP('Données projet'!$B$12,Paramètres!$A$1:$I$89,3,0)*0.475*44/12</f>
        <v>0.44707575510491132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2.7053383978386059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137.84159999999969</v>
      </c>
      <c r="D191" s="11">
        <f t="shared" si="140"/>
        <v>35.802100130711267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1340.4075097809266</v>
      </c>
      <c r="H191" s="67">
        <f t="shared" si="110"/>
        <v>595.76277772765491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4.8316906031686813E-13</v>
      </c>
      <c r="O191" s="13">
        <f>N191*VLOOKUP('Données projet'!$B$9,Paramètres!$A$1:$I$89,3,0)*VLOOKUP('Données projet'!$B$9,Paramètres!$A$1:$I$89,5,0)</f>
        <v>4.3717136577470225E-13</v>
      </c>
      <c r="P191" s="13">
        <f t="shared" si="141"/>
        <v>5.5313598682231701E-12</v>
      </c>
      <c r="Q191" s="20">
        <f t="shared" si="162"/>
        <v>1.039519189921296E-11</v>
      </c>
      <c r="R191" s="59">
        <f t="shared" si="109"/>
        <v>293.33333333334372</v>
      </c>
      <c r="S191" s="59">
        <f ca="1">AVERAGE(OFFSET($R$3,0,0,'Données projet'!$E$9+1,1))-AVERAGE(OFFSET($H$3,0,0,'Données projet'!$E$9+1,1))</f>
        <v>399.15057697410413</v>
      </c>
      <c r="T191" s="59">
        <f t="shared" si="142"/>
        <v>182.37700638847298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168.51736596051026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168.51736596051026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4.8316906031686813E-13</v>
      </c>
      <c r="AJ191" s="13">
        <f>AI191*VLOOKUP('Données projet'!$B$10,Paramètres!$A$1:$I$89,3,0)*VLOOKUP('Données projet'!$B$10,Paramètres!$A$1:$I$89,5,0)</f>
        <v>4.8993342716130437E-13</v>
      </c>
      <c r="AK191" s="13">
        <f t="shared" si="164"/>
        <v>6.1172634040517391E-12</v>
      </c>
      <c r="AL191" s="20">
        <f t="shared" si="165"/>
        <v>1.1507534481029384E-11</v>
      </c>
      <c r="AM191" s="59">
        <f t="shared" si="113"/>
        <v>293.3333333333448</v>
      </c>
      <c r="AN191" s="59">
        <f ca="1">AVERAGE(OFFSET($AM$3,0,0,'Données projet'!$E$10+1,1))-AVERAGE(OFFSET($H$3,0,0,'Données projet'!$E$10+1,1))</f>
        <v>463.77045964052894</v>
      </c>
      <c r="AO191" s="59">
        <f t="shared" si="144"/>
        <v>209.77146243694483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188.85566874884771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188.85566874884771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4.8316906031686813E-13</v>
      </c>
      <c r="BE191" s="13">
        <f>BD191*VLOOKUP('Données projet'!$B$11,Paramètres!$A$1:$I$89,3,0)*VLOOKUP('Données projet'!$B$11,Paramètres!$A$1:$I$89,5,0)</f>
        <v>4.6732111513847483E-13</v>
      </c>
      <c r="BF191" s="13">
        <f t="shared" si="167"/>
        <v>5.8671100737071438E-12</v>
      </c>
      <c r="BG191" s="20">
        <f t="shared" si="168"/>
        <v>1.1032467653906121E-11</v>
      </c>
      <c r="BH191" s="59">
        <f t="shared" si="116"/>
        <v>293.33333333334434</v>
      </c>
      <c r="BI191" s="59">
        <f ca="1">AVERAGE(OFFSET($BH$3,0,0,'Données projet'!$E$11+1,1))-AVERAGE(OFFSET($H$3,0,0,'Données projet'!$E$11+1,1))</f>
        <v>436.0942819360734</v>
      </c>
      <c r="BJ191" s="59">
        <f t="shared" si="146"/>
        <v>198.03942180876311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180.13925326813165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180.13925326813165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>
        <f>BY191*VLOOKUP('Données projet'!$B$12,Paramètres!$A$1:$I$89,3,0)*VLOOKUP('Données projet'!$B$12,Paramètres!$A$1:$I$89,5,0)</f>
        <v>0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183.99578440773581</v>
      </c>
      <c r="CE191" s="59">
        <f t="shared" si="148"/>
        <v>258.43295338669657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2.2139794897138914</v>
      </c>
      <c r="CL191" s="21">
        <f>EXP(-LN(2)/25)*CL190+(1-EXP(-LN(2)/25))/(LN(2)/25)*Calculateur!CG191*Calculateur!CI191*VLOOKUP('Données projet'!$B$12,Paramètres!$A$1:$I$89,3,0)*0.475*44/12</f>
        <v>0.43485044507087539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2.6488299347847666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138.5747999999997</v>
      </c>
      <c r="D192" s="11">
        <f t="shared" si="140"/>
        <v>35.970318012093358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1347.3658232512446</v>
      </c>
      <c r="H192" s="67">
        <f t="shared" si="110"/>
        <v>597.33274720439533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4.8316906031686813E-13</v>
      </c>
      <c r="O192" s="13">
        <f>N192*VLOOKUP('Données projet'!$B$9,Paramètres!$A$1:$I$89,3,0)*VLOOKUP('Données projet'!$B$9,Paramètres!$A$1:$I$89,5,0)</f>
        <v>4.3717136577470225E-13</v>
      </c>
      <c r="P192" s="13">
        <f t="shared" si="141"/>
        <v>5.5313598682231701E-12</v>
      </c>
      <c r="Q192" s="20">
        <f t="shared" si="162"/>
        <v>1.039519189921296E-11</v>
      </c>
      <c r="R192" s="59">
        <f t="shared" si="109"/>
        <v>293.33333333334372</v>
      </c>
      <c r="S192" s="59">
        <f ca="1">AVERAGE(OFFSET($R$3,0,0,'Données projet'!$E$9+1,1))-AVERAGE(OFFSET($H$3,0,0,'Données projet'!$E$9+1,1))</f>
        <v>399.15057697410413</v>
      </c>
      <c r="T192" s="59">
        <f t="shared" si="142"/>
        <v>182.37700638847298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165.21284319946867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165.21284319946867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4.8316906031686813E-13</v>
      </c>
      <c r="AJ192" s="13">
        <f>AI192*VLOOKUP('Données projet'!$B$10,Paramètres!$A$1:$I$89,3,0)*VLOOKUP('Données projet'!$B$10,Paramètres!$A$1:$I$89,5,0)</f>
        <v>4.8993342716130437E-13</v>
      </c>
      <c r="AK192" s="13">
        <f t="shared" si="164"/>
        <v>6.1172634040517391E-12</v>
      </c>
      <c r="AL192" s="20">
        <f t="shared" si="165"/>
        <v>1.1507534481029384E-11</v>
      </c>
      <c r="AM192" s="59">
        <f t="shared" si="113"/>
        <v>293.3333333333448</v>
      </c>
      <c r="AN192" s="59">
        <f ca="1">AVERAGE(OFFSET($AM$3,0,0,'Données projet'!$E$10+1,1))-AVERAGE(OFFSET($H$3,0,0,'Données projet'!$E$10+1,1))</f>
        <v>463.77045964052894</v>
      </c>
      <c r="AO192" s="59">
        <f t="shared" si="144"/>
        <v>209.77146243694483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185.15232427526661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185.15232427526661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4.8316906031686813E-13</v>
      </c>
      <c r="BE192" s="13">
        <f>BD192*VLOOKUP('Données projet'!$B$11,Paramètres!$A$1:$I$89,3,0)*VLOOKUP('Données projet'!$B$11,Paramètres!$A$1:$I$89,5,0)</f>
        <v>4.6732111513847483E-13</v>
      </c>
      <c r="BF192" s="13">
        <f t="shared" si="167"/>
        <v>5.8671100737071438E-12</v>
      </c>
      <c r="BG192" s="20">
        <f t="shared" si="168"/>
        <v>1.1032467653906121E-11</v>
      </c>
      <c r="BH192" s="59">
        <f t="shared" si="116"/>
        <v>293.33333333334434</v>
      </c>
      <c r="BI192" s="59">
        <f ca="1">AVERAGE(OFFSET($BH$3,0,0,'Données projet'!$E$11+1,1))-AVERAGE(OFFSET($H$3,0,0,'Données projet'!$E$11+1,1))</f>
        <v>436.0942819360734</v>
      </c>
      <c r="BJ192" s="59">
        <f t="shared" si="146"/>
        <v>198.03942180876311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176.60683238563891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176.60683238563891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>
        <f>BY192*VLOOKUP('Données projet'!$B$12,Paramètres!$A$1:$I$89,3,0)*VLOOKUP('Données projet'!$B$12,Paramètres!$A$1:$I$89,5,0)</f>
        <v>0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183.99578440773581</v>
      </c>
      <c r="CE192" s="59">
        <f t="shared" si="148"/>
        <v>258.43295338669657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2.1705647023147505</v>
      </c>
      <c r="CL192" s="21">
        <f>EXP(-LN(2)/25)*CL191+(1-EXP(-LN(2)/25))/(LN(2)/25)*Calculateur!CG192*Calculateur!CI192*VLOOKUP('Données projet'!$B$12,Paramètres!$A$1:$I$89,3,0)*0.475*44/12</f>
        <v>0.42295943678262127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2.5935241390973718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139.30799999999971</v>
      </c>
      <c r="D193" s="11">
        <f t="shared" si="140"/>
        <v>36.138432324006331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1354.3233372379414</v>
      </c>
      <c r="H193" s="67">
        <f t="shared" si="110"/>
        <v>598.90253629764379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4.8316906031686813E-13</v>
      </c>
      <c r="O193" s="13">
        <f>N193*VLOOKUP('Données projet'!$B$9,Paramètres!$A$1:$I$89,3,0)*VLOOKUP('Données projet'!$B$9,Paramètres!$A$1:$I$89,5,0)</f>
        <v>4.3717136577470225E-13</v>
      </c>
      <c r="P193" s="13">
        <f t="shared" si="141"/>
        <v>5.5313598682231701E-12</v>
      </c>
      <c r="Q193" s="20">
        <f t="shared" si="162"/>
        <v>1.039519189921296E-11</v>
      </c>
      <c r="R193" s="59">
        <f t="shared" si="109"/>
        <v>293.33333333334372</v>
      </c>
      <c r="S193" s="59">
        <f ca="1">AVERAGE(OFFSET($R$3,0,0,'Données projet'!$E$9+1,1))-AVERAGE(OFFSET($H$3,0,0,'Données projet'!$E$9+1,1))</f>
        <v>399.15057697410413</v>
      </c>
      <c r="T193" s="59">
        <f t="shared" si="142"/>
        <v>182.37700638847298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161.97312011421124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161.97312011421124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4.8316906031686813E-13</v>
      </c>
      <c r="AJ193" s="13">
        <f>AI193*VLOOKUP('Données projet'!$B$10,Paramètres!$A$1:$I$89,3,0)*VLOOKUP('Données projet'!$B$10,Paramètres!$A$1:$I$89,5,0)</f>
        <v>4.8993342716130437E-13</v>
      </c>
      <c r="AK193" s="13">
        <f t="shared" si="164"/>
        <v>6.1172634040517391E-12</v>
      </c>
      <c r="AL193" s="20">
        <f t="shared" si="165"/>
        <v>1.1507534481029384E-11</v>
      </c>
      <c r="AM193" s="59">
        <f t="shared" si="113"/>
        <v>293.3333333333448</v>
      </c>
      <c r="AN193" s="59">
        <f ca="1">AVERAGE(OFFSET($AM$3,0,0,'Données projet'!$E$10+1,1))-AVERAGE(OFFSET($H$3,0,0,'Données projet'!$E$10+1,1))</f>
        <v>463.77045964052894</v>
      </c>
      <c r="AO193" s="59">
        <f t="shared" si="144"/>
        <v>209.77146243694483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181.52160012799536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181.52160012799536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4.8316906031686813E-13</v>
      </c>
      <c r="BE193" s="13">
        <f>BD193*VLOOKUP('Données projet'!$B$11,Paramètres!$A$1:$I$89,3,0)*VLOOKUP('Données projet'!$B$11,Paramètres!$A$1:$I$89,5,0)</f>
        <v>4.6732111513847483E-13</v>
      </c>
      <c r="BF193" s="13">
        <f t="shared" si="167"/>
        <v>5.8671100737071438E-12</v>
      </c>
      <c r="BG193" s="20">
        <f t="shared" si="168"/>
        <v>1.1032467653906121E-11</v>
      </c>
      <c r="BH193" s="59">
        <f t="shared" si="116"/>
        <v>293.33333333334434</v>
      </c>
      <c r="BI193" s="59">
        <f ca="1">AVERAGE(OFFSET($BH$3,0,0,'Données projet'!$E$11+1,1))-AVERAGE(OFFSET($H$3,0,0,'Données projet'!$E$11+1,1))</f>
        <v>436.0942819360734</v>
      </c>
      <c r="BJ193" s="59">
        <f t="shared" si="146"/>
        <v>198.03942180876311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173.14368012208786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173.14368012208786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>
        <f>BY193*VLOOKUP('Données projet'!$B$12,Paramètres!$A$1:$I$89,3,0)*VLOOKUP('Données projet'!$B$12,Paramètres!$A$1:$I$89,5,0)</f>
        <v>0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183.99578440773581</v>
      </c>
      <c r="CE193" s="59">
        <f t="shared" si="148"/>
        <v>258.43295338669657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2.1280012524161012</v>
      </c>
      <c r="CL193" s="21">
        <f>EXP(-LN(2)/25)*CL192+(1-EXP(-LN(2)/25))/(LN(2)/25)*Calculateur!CG193*Calculateur!CI193*VLOOKUP('Données projet'!$B$12,Paramètres!$A$1:$I$89,3,0)*0.475*44/12</f>
        <v>0.41139358874133042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2.5393948411574314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140.04119999999972</v>
      </c>
      <c r="D194" s="11">
        <f t="shared" si="140"/>
        <v>36.306443674821708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1361.280056437218</v>
      </c>
      <c r="H194" s="67">
        <f t="shared" si="110"/>
        <v>600.4721460669806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4.8316906031686813E-13</v>
      </c>
      <c r="O194" s="13">
        <f>N194*VLOOKUP('Données projet'!$B$9,Paramètres!$A$1:$I$89,3,0)*VLOOKUP('Données projet'!$B$9,Paramètres!$A$1:$I$89,5,0)</f>
        <v>4.3717136577470225E-13</v>
      </c>
      <c r="P194" s="13">
        <f t="shared" si="141"/>
        <v>5.5313598682231701E-12</v>
      </c>
      <c r="Q194" s="20">
        <f t="shared" si="162"/>
        <v>1.039519189921296E-11</v>
      </c>
      <c r="R194" s="59">
        <f t="shared" si="109"/>
        <v>293.33333333334372</v>
      </c>
      <c r="S194" s="59">
        <f ca="1">AVERAGE(OFFSET($R$3,0,0,'Données projet'!$E$9+1,1))-AVERAGE(OFFSET($H$3,0,0,'Données projet'!$E$9+1,1))</f>
        <v>399.15057697410413</v>
      </c>
      <c r="T194" s="59">
        <f t="shared" si="142"/>
        <v>182.37700638847298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158.79692602261974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158.79692602261974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4.8316906031686813E-13</v>
      </c>
      <c r="AJ194" s="13">
        <f>AI194*VLOOKUP('Données projet'!$B$10,Paramètres!$A$1:$I$89,3,0)*VLOOKUP('Données projet'!$B$10,Paramètres!$A$1:$I$89,5,0)</f>
        <v>4.8993342716130437E-13</v>
      </c>
      <c r="AK194" s="13">
        <f t="shared" si="164"/>
        <v>6.1172634040517391E-12</v>
      </c>
      <c r="AL194" s="20">
        <f t="shared" si="165"/>
        <v>1.1507534481029384E-11</v>
      </c>
      <c r="AM194" s="59">
        <f t="shared" si="113"/>
        <v>293.3333333333448</v>
      </c>
      <c r="AN194" s="59">
        <f ca="1">AVERAGE(OFFSET($AM$3,0,0,'Données projet'!$E$10+1,1))-AVERAGE(OFFSET($H$3,0,0,'Données projet'!$E$10+1,1))</f>
        <v>463.77045964052894</v>
      </c>
      <c r="AO194" s="59">
        <f t="shared" si="144"/>
        <v>209.77146243694483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177.96207226672902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177.96207226672902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4.8316906031686813E-13</v>
      </c>
      <c r="BE194" s="13">
        <f>BD194*VLOOKUP('Données projet'!$B$11,Paramètres!$A$1:$I$89,3,0)*VLOOKUP('Données projet'!$B$11,Paramètres!$A$1:$I$89,5,0)</f>
        <v>4.6732111513847483E-13</v>
      </c>
      <c r="BF194" s="13">
        <f t="shared" si="167"/>
        <v>5.8671100737071438E-12</v>
      </c>
      <c r="BG194" s="20">
        <f t="shared" si="168"/>
        <v>1.1032467653906121E-11</v>
      </c>
      <c r="BH194" s="59">
        <f t="shared" si="116"/>
        <v>293.33333333334434</v>
      </c>
      <c r="BI194" s="59">
        <f ca="1">AVERAGE(OFFSET($BH$3,0,0,'Données projet'!$E$11+1,1))-AVERAGE(OFFSET($H$3,0,0,'Données projet'!$E$11+1,1))</f>
        <v>436.0942819360734</v>
      </c>
      <c r="BJ194" s="59">
        <f t="shared" si="146"/>
        <v>198.03942180876311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169.74843816211074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169.74843816211074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>
        <f>BY194*VLOOKUP('Données projet'!$B$12,Paramètres!$A$1:$I$89,3,0)*VLOOKUP('Données projet'!$B$12,Paramètres!$A$1:$I$89,5,0)</f>
        <v>0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183.99578440773581</v>
      </c>
      <c r="CE194" s="59">
        <f t="shared" si="148"/>
        <v>258.43295338669657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2.0862724458088233</v>
      </c>
      <c r="CL194" s="21">
        <f>EXP(-LN(2)/25)*CL193+(1-EXP(-LN(2)/25))/(LN(2)/25)*Calculateur!CG194*Calculateur!CI194*VLOOKUP('Données projet'!$B$12,Paramètres!$A$1:$I$89,3,0)*0.475*44/12</f>
        <v>0.40014400942295014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2.4864164552317733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140.77439999999973</v>
      </c>
      <c r="D195" s="11">
        <f t="shared" si="140"/>
        <v>36.474352666172038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1368.2359854932556</v>
      </c>
      <c r="H195" s="67">
        <f t="shared" si="110"/>
        <v>602.04157756024915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4.8316906031686813E-13</v>
      </c>
      <c r="O195" s="13">
        <f>N195*VLOOKUP('Données projet'!$B$9,Paramètres!$A$1:$I$89,3,0)*VLOOKUP('Données projet'!$B$9,Paramètres!$A$1:$I$89,5,0)</f>
        <v>4.3717136577470225E-13</v>
      </c>
      <c r="P195" s="13">
        <f t="shared" si="141"/>
        <v>5.5313598682231701E-12</v>
      </c>
      <c r="Q195" s="20">
        <f t="shared" si="162"/>
        <v>1.039519189921296E-11</v>
      </c>
      <c r="R195" s="59">
        <f t="shared" ref="R195:R203" si="191">Q195+(I195+J195)*44/12</f>
        <v>293.33333333334372</v>
      </c>
      <c r="S195" s="59">
        <f ca="1">AVERAGE(OFFSET($R$3,0,0,'Données projet'!$E$9+1,1))-AVERAGE(OFFSET($H$3,0,0,'Données projet'!$E$9+1,1))</f>
        <v>399.15057697410413</v>
      </c>
      <c r="T195" s="59">
        <f t="shared" si="142"/>
        <v>182.37700638847298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155.68301515987724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155.68301515987724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4.8316906031686813E-13</v>
      </c>
      <c r="AJ195" s="13">
        <f>AI195*VLOOKUP('Données projet'!$B$10,Paramètres!$A$1:$I$89,3,0)*VLOOKUP('Données projet'!$B$10,Paramètres!$A$1:$I$89,5,0)</f>
        <v>4.8993342716130437E-13</v>
      </c>
      <c r="AK195" s="13">
        <f t="shared" si="164"/>
        <v>6.1172634040517391E-12</v>
      </c>
      <c r="AL195" s="20">
        <f t="shared" si="165"/>
        <v>1.1507534481029384E-11</v>
      </c>
      <c r="AM195" s="59">
        <f t="shared" si="113"/>
        <v>293.3333333333448</v>
      </c>
      <c r="AN195" s="59">
        <f ca="1">AVERAGE(OFFSET($AM$3,0,0,'Données projet'!$E$10+1,1))-AVERAGE(OFFSET($H$3,0,0,'Données projet'!$E$10+1,1))</f>
        <v>463.77045964052894</v>
      </c>
      <c r="AO195" s="59">
        <f t="shared" si="144"/>
        <v>209.77146243694483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174.47234457572452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174.47234457572452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4.8316906031686813E-13</v>
      </c>
      <c r="BE195" s="13">
        <f>BD195*VLOOKUP('Données projet'!$B$11,Paramètres!$A$1:$I$89,3,0)*VLOOKUP('Données projet'!$B$11,Paramètres!$A$1:$I$89,5,0)</f>
        <v>4.6732111513847483E-13</v>
      </c>
      <c r="BF195" s="13">
        <f t="shared" si="167"/>
        <v>5.8671100737071438E-12</v>
      </c>
      <c r="BG195" s="20">
        <f t="shared" si="168"/>
        <v>1.1032467653906121E-11</v>
      </c>
      <c r="BH195" s="59">
        <f t="shared" si="116"/>
        <v>293.33333333334434</v>
      </c>
      <c r="BI195" s="59">
        <f ca="1">AVERAGE(OFFSET($BH$3,0,0,'Données projet'!$E$11+1,1))-AVERAGE(OFFSET($H$3,0,0,'Données projet'!$E$11+1,1))</f>
        <v>436.0942819360734</v>
      </c>
      <c r="BJ195" s="59">
        <f t="shared" si="146"/>
        <v>198.03942180876311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166.41977482607567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166.41977482607567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>
        <f>BY195*VLOOKUP('Données projet'!$B$12,Paramètres!$A$1:$I$89,3,0)*VLOOKUP('Données projet'!$B$12,Paramètres!$A$1:$I$89,5,0)</f>
        <v>0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183.99578440773581</v>
      </c>
      <c r="CE195" s="59">
        <f t="shared" si="148"/>
        <v>258.43295338669657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2.0453619156470553</v>
      </c>
      <c r="CL195" s="21">
        <f>EXP(-LN(2)/25)*CL194+(1-EXP(-LN(2)/25))/(LN(2)/25)*Calculateur!CG195*Calculateur!CI195*VLOOKUP('Données projet'!$B$12,Paramètres!$A$1:$I$89,3,0)*0.475*44/12</f>
        <v>0.38920205044262068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2.4345639660896761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141.50759999999974</v>
      </c>
      <c r="D196" s="11">
        <f t="shared" si="140"/>
        <v>36.642159893059954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1375.1911289990574</v>
      </c>
      <c r="H196" s="67">
        <f t="shared" ref="H196:H203" si="192">(B196+E196+F196)*44/12+(C196+D196)*0.475*44/12</f>
        <v>603.61083181374556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4.8316906031686813E-13</v>
      </c>
      <c r="O196" s="13">
        <f>N196*VLOOKUP('Données projet'!$B$9,Paramètres!$A$1:$I$89,3,0)*VLOOKUP('Données projet'!$B$9,Paramètres!$A$1:$I$89,5,0)</f>
        <v>4.3717136577470225E-13</v>
      </c>
      <c r="P196" s="13">
        <f t="shared" si="141"/>
        <v>5.5313598682231701E-12</v>
      </c>
      <c r="Q196" s="20">
        <f t="shared" si="162"/>
        <v>1.039519189921296E-11</v>
      </c>
      <c r="R196" s="59">
        <f t="shared" si="191"/>
        <v>293.33333333334372</v>
      </c>
      <c r="S196" s="59">
        <f ca="1">AVERAGE(OFFSET($R$3,0,0,'Données projet'!$E$9+1,1))-AVERAGE(OFFSET($H$3,0,0,'Données projet'!$E$9+1,1))</f>
        <v>399.15057697410413</v>
      </c>
      <c r="T196" s="59">
        <f t="shared" si="142"/>
        <v>182.37700638847298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152.63016618985506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152.63016618985506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4.8316906031686813E-13</v>
      </c>
      <c r="AJ196" s="13">
        <f>AI196*VLOOKUP('Données projet'!$B$10,Paramètres!$A$1:$I$89,3,0)*VLOOKUP('Données projet'!$B$10,Paramètres!$A$1:$I$89,5,0)</f>
        <v>4.8993342716130437E-13</v>
      </c>
      <c r="AK196" s="13">
        <f t="shared" si="164"/>
        <v>6.1172634040517391E-12</v>
      </c>
      <c r="AL196" s="20">
        <f t="shared" si="165"/>
        <v>1.1507534481029384E-11</v>
      </c>
      <c r="AM196" s="59">
        <f t="shared" ref="AM196:AM203" si="193">AL196+(AD196+AE196)*44/12</f>
        <v>293.3333333333448</v>
      </c>
      <c r="AN196" s="59">
        <f ca="1">AVERAGE(OFFSET($AM$3,0,0,'Données projet'!$E$10+1,1))-AVERAGE(OFFSET($H$3,0,0,'Données projet'!$E$10+1,1))</f>
        <v>463.77045964052894</v>
      </c>
      <c r="AO196" s="59">
        <f t="shared" si="144"/>
        <v>209.77146243694483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171.05104831621688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171.05104831621688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4.8316906031686813E-13</v>
      </c>
      <c r="BE196" s="13">
        <f>BD196*VLOOKUP('Données projet'!$B$11,Paramètres!$A$1:$I$89,3,0)*VLOOKUP('Données projet'!$B$11,Paramètres!$A$1:$I$89,5,0)</f>
        <v>4.6732111513847483E-13</v>
      </c>
      <c r="BF196" s="13">
        <f t="shared" si="167"/>
        <v>5.8671100737071438E-12</v>
      </c>
      <c r="BG196" s="20">
        <f t="shared" si="168"/>
        <v>1.1032467653906121E-11</v>
      </c>
      <c r="BH196" s="59">
        <f t="shared" ref="BH196:BH203" si="194">BG196+(AY196+AZ196)*44/12</f>
        <v>293.33333333334434</v>
      </c>
      <c r="BI196" s="59">
        <f ca="1">AVERAGE(OFFSET($BH$3,0,0,'Données projet'!$E$11+1,1))-AVERAGE(OFFSET($H$3,0,0,'Données projet'!$E$11+1,1))</f>
        <v>436.0942819360734</v>
      </c>
      <c r="BJ196" s="59">
        <f t="shared" si="146"/>
        <v>198.03942180876311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163.15638454777607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163.15638454777607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>
        <f>BY196*VLOOKUP('Données projet'!$B$12,Paramètres!$A$1:$I$89,3,0)*VLOOKUP('Données projet'!$B$12,Paramètres!$A$1:$I$89,5,0)</f>
        <v>0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183.99578440773581</v>
      </c>
      <c r="CE196" s="59">
        <f t="shared" si="148"/>
        <v>258.43295338669657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2.0052536160288001</v>
      </c>
      <c r="CL196" s="21">
        <f>EXP(-LN(2)/25)*CL195+(1-EXP(-LN(2)/25))/(LN(2)/25)*Calculateur!CG196*Calculateur!CI196*VLOOKUP('Données projet'!$B$12,Paramètres!$A$1:$I$89,3,0)*0.475*44/12</f>
        <v>0.37855929990602094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2.3838129159348211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142.24079999999975</v>
      </c>
      <c r="D197" s="11">
        <f t="shared" ref="D197:D203" si="202">IFERROR(EXP(-1.0587+0.8836*LN(C197)+0.284),0)</f>
        <v>36.80986594396532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1382.1454914972744</v>
      </c>
      <c r="H197" s="67">
        <f t="shared" si="192"/>
        <v>605.17990985240579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4.8316906031686813E-13</v>
      </c>
      <c r="O197" s="13">
        <f>N197*VLOOKUP('Données projet'!$B$9,Paramètres!$A$1:$I$89,3,0)*VLOOKUP('Données projet'!$B$9,Paramètres!$A$1:$I$89,5,0)</f>
        <v>4.3717136577470225E-13</v>
      </c>
      <c r="P197" s="13">
        <f t="shared" ref="P197:P203" si="203">EXP(-1.0587+0.8836*LN(O197)+0.284)</f>
        <v>5.5313598682231701E-12</v>
      </c>
      <c r="Q197" s="20">
        <f t="shared" si="162"/>
        <v>1.039519189921296E-11</v>
      </c>
      <c r="R197" s="59">
        <f t="shared" si="191"/>
        <v>293.33333333334372</v>
      </c>
      <c r="S197" s="59">
        <f ca="1">AVERAGE(OFFSET($R$3,0,0,'Données projet'!$E$9+1,1))-AVERAGE(OFFSET($H$3,0,0,'Données projet'!$E$9+1,1))</f>
        <v>399.15057697410413</v>
      </c>
      <c r="T197" s="59">
        <f t="shared" ref="T197:T203" si="204">$T$3</f>
        <v>182.37700638847298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149.637181726081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149.637181726081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4.8316906031686813E-13</v>
      </c>
      <c r="AJ197" s="13">
        <f>AI197*VLOOKUP('Données projet'!$B$10,Paramètres!$A$1:$I$89,3,0)*VLOOKUP('Données projet'!$B$10,Paramètres!$A$1:$I$89,5,0)</f>
        <v>4.8993342716130437E-13</v>
      </c>
      <c r="AK197" s="13">
        <f t="shared" si="164"/>
        <v>6.1172634040517391E-12</v>
      </c>
      <c r="AL197" s="20">
        <f t="shared" si="165"/>
        <v>1.1507534481029384E-11</v>
      </c>
      <c r="AM197" s="59">
        <f t="shared" si="193"/>
        <v>293.3333333333448</v>
      </c>
      <c r="AN197" s="59">
        <f ca="1">AVERAGE(OFFSET($AM$3,0,0,'Données projet'!$E$10+1,1))-AVERAGE(OFFSET($H$3,0,0,'Données projet'!$E$10+1,1))</f>
        <v>463.77045964052894</v>
      </c>
      <c r="AO197" s="59">
        <f t="shared" ref="AO197:AO203" si="205">$AO$3</f>
        <v>209.77146243694483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167.69684158957352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167.69684158957352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4.8316906031686813E-13</v>
      </c>
      <c r="BE197" s="13">
        <f>BD197*VLOOKUP('Données projet'!$B$11,Paramètres!$A$1:$I$89,3,0)*VLOOKUP('Données projet'!$B$11,Paramètres!$A$1:$I$89,5,0)</f>
        <v>4.6732111513847483E-13</v>
      </c>
      <c r="BF197" s="13">
        <f t="shared" si="167"/>
        <v>5.8671100737071438E-12</v>
      </c>
      <c r="BG197" s="20">
        <f t="shared" si="168"/>
        <v>1.1032467653906121E-11</v>
      </c>
      <c r="BH197" s="59">
        <f t="shared" si="194"/>
        <v>293.33333333334434</v>
      </c>
      <c r="BI197" s="59">
        <f ca="1">AVERAGE(OFFSET($BH$3,0,0,'Données projet'!$E$11+1,1))-AVERAGE(OFFSET($H$3,0,0,'Données projet'!$E$11+1,1))</f>
        <v>436.0942819360734</v>
      </c>
      <c r="BJ197" s="59">
        <f t="shared" ref="BJ197:BJ203" si="206">$BJ$3</f>
        <v>198.03942180876311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159.95698736236241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159.95698736236241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>
        <f>BY197*VLOOKUP('Données projet'!$B$12,Paramètres!$A$1:$I$89,3,0)*VLOOKUP('Données projet'!$B$12,Paramètres!$A$1:$I$89,5,0)</f>
        <v>0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183.99578440773581</v>
      </c>
      <c r="CE197" s="59">
        <f t="shared" ref="CE197:CE203" si="207">$CE$3</f>
        <v>258.43295338669657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1.9659318157024117</v>
      </c>
      <c r="CL197" s="21">
        <f>EXP(-LN(2)/25)*CL196+(1-EXP(-LN(2)/25))/(LN(2)/25)*Calculateur!CG197*Calculateur!CI197*VLOOKUP('Données projet'!$B$12,Paramètres!$A$1:$I$89,3,0)*0.475*44/12</f>
        <v>0.3682075759425224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2.3341393916449342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142.97399999999976</v>
      </c>
      <c r="D198" s="11">
        <f t="shared" si="202"/>
        <v>36.977471400949966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1389.0990774810155</v>
      </c>
      <c r="H198" s="67">
        <f t="shared" si="192"/>
        <v>606.7488126899874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4.8316906031686813E-13</v>
      </c>
      <c r="O198" s="13">
        <f>N198*VLOOKUP('Données projet'!$B$9,Paramètres!$A$1:$I$89,3,0)*VLOOKUP('Données projet'!$B$9,Paramètres!$A$1:$I$89,5,0)</f>
        <v>4.3717136577470225E-13</v>
      </c>
      <c r="P198" s="13">
        <f t="shared" si="203"/>
        <v>5.5313598682231701E-12</v>
      </c>
      <c r="Q198" s="20">
        <f t="shared" si="162"/>
        <v>1.039519189921296E-11</v>
      </c>
      <c r="R198" s="59">
        <f t="shared" si="191"/>
        <v>293.33333333334372</v>
      </c>
      <c r="S198" s="59">
        <f ca="1">AVERAGE(OFFSET($R$3,0,0,'Données projet'!$E$9+1,1))-AVERAGE(OFFSET($H$3,0,0,'Données projet'!$E$9+1,1))</f>
        <v>399.15057697410413</v>
      </c>
      <c r="T198" s="59">
        <f t="shared" si="204"/>
        <v>182.37700638847298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146.70288786210128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146.70288786210128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4.8316906031686813E-13</v>
      </c>
      <c r="AJ198" s="13">
        <f>AI198*VLOOKUP('Données projet'!$B$10,Paramètres!$A$1:$I$89,3,0)*VLOOKUP('Données projet'!$B$10,Paramètres!$A$1:$I$89,5,0)</f>
        <v>4.8993342716130437E-13</v>
      </c>
      <c r="AK198" s="13">
        <f t="shared" si="164"/>
        <v>6.1172634040517391E-12</v>
      </c>
      <c r="AL198" s="20">
        <f t="shared" si="165"/>
        <v>1.1507534481029384E-11</v>
      </c>
      <c r="AM198" s="59">
        <f t="shared" si="193"/>
        <v>293.3333333333448</v>
      </c>
      <c r="AN198" s="59">
        <f ca="1">AVERAGE(OFFSET($AM$3,0,0,'Données projet'!$E$10+1,1))-AVERAGE(OFFSET($H$3,0,0,'Données projet'!$E$10+1,1))</f>
        <v>463.77045964052894</v>
      </c>
      <c r="AO198" s="59">
        <f t="shared" si="205"/>
        <v>209.77146243694483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164.40840881097554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164.40840881097554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4.8316906031686813E-13</v>
      </c>
      <c r="BE198" s="13">
        <f>BD198*VLOOKUP('Données projet'!$B$11,Paramètres!$A$1:$I$89,3,0)*VLOOKUP('Données projet'!$B$11,Paramètres!$A$1:$I$89,5,0)</f>
        <v>4.6732111513847483E-13</v>
      </c>
      <c r="BF198" s="13">
        <f t="shared" si="167"/>
        <v>5.8671100737071438E-12</v>
      </c>
      <c r="BG198" s="20">
        <f t="shared" si="168"/>
        <v>1.1032467653906121E-11</v>
      </c>
      <c r="BH198" s="59">
        <f t="shared" si="194"/>
        <v>293.33333333334434</v>
      </c>
      <c r="BI198" s="59">
        <f ca="1">AVERAGE(OFFSET($BH$3,0,0,'Données projet'!$E$11+1,1))-AVERAGE(OFFSET($H$3,0,0,'Données projet'!$E$11+1,1))</f>
        <v>436.0942819360734</v>
      </c>
      <c r="BJ198" s="59">
        <f t="shared" si="206"/>
        <v>198.03942180876311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156.82032840431512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156.82032840431512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>
        <f>BY198*VLOOKUP('Données projet'!$B$12,Paramètres!$A$1:$I$89,3,0)*VLOOKUP('Données projet'!$B$12,Paramètres!$A$1:$I$89,5,0)</f>
        <v>0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183.99578440773581</v>
      </c>
      <c r="CE198" s="59">
        <f t="shared" si="207"/>
        <v>258.43295338669657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1.9273810918964938</v>
      </c>
      <c r="CL198" s="21">
        <f>EXP(-LN(2)/25)*CL197+(1-EXP(-LN(2)/25))/(LN(2)/25)*Calculateur!CG198*Calculateur!CI198*VLOOKUP('Données projet'!$B$12,Paramètres!$A$1:$I$89,3,0)*0.475*44/12</f>
        <v>0.35813892041517925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2.285520012311673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143.70719999999977</v>
      </c>
      <c r="D199" s="11">
        <f t="shared" si="202"/>
        <v>37.144976839760147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1396.051891394638</v>
      </c>
      <c r="H199" s="67">
        <f t="shared" si="192"/>
        <v>608.31754132924857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4.8316906031686813E-13</v>
      </c>
      <c r="O199" s="13">
        <f>N199*VLOOKUP('Données projet'!$B$9,Paramètres!$A$1:$I$89,3,0)*VLOOKUP('Données projet'!$B$9,Paramètres!$A$1:$I$89,5,0)</f>
        <v>4.3717136577470225E-13</v>
      </c>
      <c r="P199" s="13">
        <f t="shared" si="203"/>
        <v>5.5313598682231701E-12</v>
      </c>
      <c r="Q199" s="20">
        <f t="shared" si="162"/>
        <v>1.039519189921296E-11</v>
      </c>
      <c r="R199" s="59">
        <f t="shared" si="191"/>
        <v>293.33333333334372</v>
      </c>
      <c r="S199" s="59">
        <f ca="1">AVERAGE(OFFSET($R$3,0,0,'Données projet'!$E$9+1,1))-AVERAGE(OFFSET($H$3,0,0,'Données projet'!$E$9+1,1))</f>
        <v>399.15057697410413</v>
      </c>
      <c r="T199" s="59">
        <f t="shared" si="204"/>
        <v>182.37700638847298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143.82613371105165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143.82613371105165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4.8316906031686813E-13</v>
      </c>
      <c r="AJ199" s="13">
        <f>AI199*VLOOKUP('Données projet'!$B$10,Paramètres!$A$1:$I$89,3,0)*VLOOKUP('Données projet'!$B$10,Paramètres!$A$1:$I$89,5,0)</f>
        <v>4.8993342716130437E-13</v>
      </c>
      <c r="AK199" s="13">
        <f t="shared" si="164"/>
        <v>6.1172634040517391E-12</v>
      </c>
      <c r="AL199" s="20">
        <f t="shared" si="165"/>
        <v>1.1507534481029384E-11</v>
      </c>
      <c r="AM199" s="59">
        <f t="shared" si="193"/>
        <v>293.3333333333448</v>
      </c>
      <c r="AN199" s="59">
        <f ca="1">AVERAGE(OFFSET($AM$3,0,0,'Données projet'!$E$10+1,1))-AVERAGE(OFFSET($H$3,0,0,'Données projet'!$E$10+1,1))</f>
        <v>463.77045964052894</v>
      </c>
      <c r="AO199" s="59">
        <f t="shared" si="205"/>
        <v>209.77146243694483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161.18446019341994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161.18446019341994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4.8316906031686813E-13</v>
      </c>
      <c r="BE199" s="13">
        <f>BD199*VLOOKUP('Données projet'!$B$11,Paramètres!$A$1:$I$89,3,0)*VLOOKUP('Données projet'!$B$11,Paramètres!$A$1:$I$89,5,0)</f>
        <v>4.6732111513847483E-13</v>
      </c>
      <c r="BF199" s="13">
        <f t="shared" si="167"/>
        <v>5.8671100737071438E-12</v>
      </c>
      <c r="BG199" s="20">
        <f t="shared" si="168"/>
        <v>1.1032467653906121E-11</v>
      </c>
      <c r="BH199" s="59">
        <f t="shared" si="194"/>
        <v>293.33333333334434</v>
      </c>
      <c r="BI199" s="59">
        <f ca="1">AVERAGE(OFFSET($BH$3,0,0,'Données projet'!$E$11+1,1))-AVERAGE(OFFSET($H$3,0,0,'Données projet'!$E$11+1,1))</f>
        <v>436.0942819360734</v>
      </c>
      <c r="BJ199" s="59">
        <f t="shared" si="206"/>
        <v>198.03942180876311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153.74517741526208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153.74517741526208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>
        <f>BY199*VLOOKUP('Données projet'!$B$12,Paramètres!$A$1:$I$89,3,0)*VLOOKUP('Données projet'!$B$12,Paramètres!$A$1:$I$89,5,0)</f>
        <v>0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183.99578440773581</v>
      </c>
      <c r="CE199" s="59">
        <f t="shared" si="207"/>
        <v>258.43295338669657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1.88958632427079</v>
      </c>
      <c r="CL199" s="21">
        <f>EXP(-LN(2)/25)*CL198+(1-EXP(-LN(2)/25))/(LN(2)/25)*Calculateur!CG199*Calculateur!CI199*VLOOKUP('Données projet'!$B$12,Paramètres!$A$1:$I$89,3,0)*0.475*44/12</f>
        <v>0.34834559280271887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2.2379319170735088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144.44039999999978</v>
      </c>
      <c r="D200" s="11">
        <f t="shared" si="202"/>
        <v>37.312382829927017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1403.0039376345223</v>
      </c>
      <c r="H200" s="67">
        <f t="shared" si="192"/>
        <v>609.88609676212241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4.8316906031686813E-13</v>
      </c>
      <c r="O200" s="13">
        <f>N200*VLOOKUP('Données projet'!$B$9,Paramètres!$A$1:$I$89,3,0)*VLOOKUP('Données projet'!$B$9,Paramètres!$A$1:$I$89,5,0)</f>
        <v>4.3717136577470225E-13</v>
      </c>
      <c r="P200" s="13">
        <f t="shared" si="203"/>
        <v>5.5313598682231701E-12</v>
      </c>
      <c r="Q200" s="20">
        <f t="shared" si="162"/>
        <v>1.039519189921296E-11</v>
      </c>
      <c r="R200" s="59">
        <f t="shared" si="191"/>
        <v>293.33333333334372</v>
      </c>
      <c r="S200" s="59">
        <f ca="1">AVERAGE(OFFSET($R$3,0,0,'Données projet'!$E$9+1,1))-AVERAGE(OFFSET($H$3,0,0,'Données projet'!$E$9+1,1))</f>
        <v>399.15057697410413</v>
      </c>
      <c r="T200" s="59">
        <f t="shared" si="204"/>
        <v>182.37700638847298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141.00579095425735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141.00579095425735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4.8316906031686813E-13</v>
      </c>
      <c r="AJ200" s="13">
        <f>AI200*VLOOKUP('Données projet'!$B$10,Paramètres!$A$1:$I$89,3,0)*VLOOKUP('Données projet'!$B$10,Paramètres!$A$1:$I$89,5,0)</f>
        <v>4.8993342716130437E-13</v>
      </c>
      <c r="AK200" s="13">
        <f t="shared" si="164"/>
        <v>6.1172634040517391E-12</v>
      </c>
      <c r="AL200" s="20">
        <f t="shared" si="165"/>
        <v>1.1507534481029384E-11</v>
      </c>
      <c r="AM200" s="59">
        <f t="shared" si="193"/>
        <v>293.3333333333448</v>
      </c>
      <c r="AN200" s="59">
        <f ca="1">AVERAGE(OFFSET($AM$3,0,0,'Données projet'!$E$10+1,1))-AVERAGE(OFFSET($H$3,0,0,'Données projet'!$E$10+1,1))</f>
        <v>463.77045964052894</v>
      </c>
      <c r="AO200" s="59">
        <f t="shared" si="205"/>
        <v>209.77146243694483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158.0237312418401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158.0237312418401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4.8316906031686813E-13</v>
      </c>
      <c r="BE200" s="13">
        <f>BD200*VLOOKUP('Données projet'!$B$11,Paramètres!$A$1:$I$89,3,0)*VLOOKUP('Données projet'!$B$11,Paramètres!$A$1:$I$89,5,0)</f>
        <v>4.6732111513847483E-13</v>
      </c>
      <c r="BF200" s="13">
        <f t="shared" si="167"/>
        <v>5.8671100737071438E-12</v>
      </c>
      <c r="BG200" s="20">
        <f t="shared" si="168"/>
        <v>1.1032467653906121E-11</v>
      </c>
      <c r="BH200" s="59">
        <f t="shared" si="194"/>
        <v>293.33333333334434</v>
      </c>
      <c r="BI200" s="59">
        <f ca="1">AVERAGE(OFFSET($BH$3,0,0,'Données projet'!$E$11+1,1))-AVERAGE(OFFSET($H$3,0,0,'Données projet'!$E$11+1,1))</f>
        <v>436.0942819360734</v>
      </c>
      <c r="BJ200" s="59">
        <f t="shared" si="206"/>
        <v>198.03942180876311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150.73032826144748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150.73032826144748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>
        <f>BY200*VLOOKUP('Données projet'!$B$12,Paramètres!$A$1:$I$89,3,0)*VLOOKUP('Données projet'!$B$12,Paramètres!$A$1:$I$89,5,0)</f>
        <v>0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183.99578440773581</v>
      </c>
      <c r="CE200" s="59">
        <f t="shared" si="207"/>
        <v>258.43295338669657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1.8525326889856943</v>
      </c>
      <c r="CL200" s="21">
        <f>EXP(-LN(2)/25)*CL199+(1-EXP(-LN(2)/25))/(LN(2)/25)*Calculateur!CG200*Calculateur!CI200*VLOOKUP('Données projet'!$B$12,Paramètres!$A$1:$I$89,3,0)*0.475*44/12</f>
        <v>0.33882006424882993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2.1913527532345243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145.17359999999979</v>
      </c>
      <c r="D201" s="11">
        <f t="shared" si="202"/>
        <v>37.479689934865021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1409.9552205498337</v>
      </c>
      <c r="H201" s="67">
        <f t="shared" si="192"/>
        <v>611.45447996988946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4.8316906031686813E-13</v>
      </c>
      <c r="O201" s="13">
        <f>N201*VLOOKUP('Données projet'!$B$9,Paramètres!$A$1:$I$89,3,0)*VLOOKUP('Données projet'!$B$9,Paramètres!$A$1:$I$89,5,0)</f>
        <v>4.3717136577470225E-13</v>
      </c>
      <c r="P201" s="13">
        <f t="shared" si="203"/>
        <v>5.5313598682231701E-12</v>
      </c>
      <c r="Q201" s="20">
        <f t="shared" si="162"/>
        <v>1.039519189921296E-11</v>
      </c>
      <c r="R201" s="59">
        <f t="shared" si="191"/>
        <v>293.33333333334372</v>
      </c>
      <c r="S201" s="59">
        <f ca="1">AVERAGE(OFFSET($R$3,0,0,'Données projet'!$E$9+1,1))-AVERAGE(OFFSET($H$3,0,0,'Données projet'!$E$9+1,1))</f>
        <v>399.15057697410413</v>
      </c>
      <c r="T201" s="59">
        <f t="shared" si="204"/>
        <v>182.37700638847298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138.24075339868455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138.24075339868455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4.8316906031686813E-13</v>
      </c>
      <c r="AJ201" s="13">
        <f>AI201*VLOOKUP('Données projet'!$B$10,Paramètres!$A$1:$I$89,3,0)*VLOOKUP('Données projet'!$B$10,Paramètres!$A$1:$I$89,5,0)</f>
        <v>4.8993342716130437E-13</v>
      </c>
      <c r="AK201" s="13">
        <f t="shared" si="164"/>
        <v>6.1172634040517391E-12</v>
      </c>
      <c r="AL201" s="20">
        <f t="shared" si="165"/>
        <v>1.1507534481029384E-11</v>
      </c>
      <c r="AM201" s="59">
        <f t="shared" si="193"/>
        <v>293.3333333333448</v>
      </c>
      <c r="AN201" s="59">
        <f ca="1">AVERAGE(OFFSET($AM$3,0,0,'Données projet'!$E$10+1,1))-AVERAGE(OFFSET($H$3,0,0,'Données projet'!$E$10+1,1))</f>
        <v>463.77045964052894</v>
      </c>
      <c r="AO201" s="59">
        <f t="shared" si="205"/>
        <v>209.77146243694483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154.92498225714644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154.92498225714644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4.8316906031686813E-13</v>
      </c>
      <c r="BE201" s="13">
        <f>BD201*VLOOKUP('Données projet'!$B$11,Paramètres!$A$1:$I$89,3,0)*VLOOKUP('Données projet'!$B$11,Paramètres!$A$1:$I$89,5,0)</f>
        <v>4.6732111513847483E-13</v>
      </c>
      <c r="BF201" s="13">
        <f t="shared" si="167"/>
        <v>5.8671100737071438E-12</v>
      </c>
      <c r="BG201" s="20">
        <f t="shared" si="168"/>
        <v>1.1032467653906121E-11</v>
      </c>
      <c r="BH201" s="59">
        <f t="shared" si="194"/>
        <v>293.33333333334434</v>
      </c>
      <c r="BI201" s="59">
        <f ca="1">AVERAGE(OFFSET($BH$3,0,0,'Données projet'!$E$11+1,1))-AVERAGE(OFFSET($H$3,0,0,'Données projet'!$E$11+1,1))</f>
        <v>436.0942819360734</v>
      </c>
      <c r="BJ201" s="59">
        <f t="shared" si="206"/>
        <v>198.03942180876311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147.77459846066276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147.77459846066276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>
        <f>BY201*VLOOKUP('Données projet'!$B$12,Paramètres!$A$1:$I$89,3,0)*VLOOKUP('Données projet'!$B$12,Paramètres!$A$1:$I$89,5,0)</f>
        <v>0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183.99578440773581</v>
      </c>
      <c r="CE201" s="59">
        <f t="shared" si="207"/>
        <v>258.43295338669657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1.8162056528880535</v>
      </c>
      <c r="CL201" s="21">
        <f>EXP(-LN(2)/25)*CL200+(1-EXP(-LN(2)/25))/(LN(2)/25)*Calculateur!CG201*Calculateur!CI201*VLOOKUP('Données projet'!$B$12,Paramètres!$A$1:$I$89,3,0)*0.475*44/12</f>
        <v>0.3295550117741729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2.1457606646622263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145.90679999999981</v>
      </c>
      <c r="D202" s="11">
        <f t="shared" si="202"/>
        <v>37.646898711967857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1416.9057444432592</v>
      </c>
      <c r="H202" s="67">
        <f t="shared" si="192"/>
        <v>613.0226919233437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4.8316906031686813E-13</v>
      </c>
      <c r="O202" s="13">
        <f>N202*VLOOKUP('Données projet'!$B$9,Paramètres!$A$1:$I$89,3,0)*VLOOKUP('Données projet'!$B$9,Paramètres!$A$1:$I$89,5,0)</f>
        <v>4.3717136577470225E-13</v>
      </c>
      <c r="P202" s="13">
        <f t="shared" si="203"/>
        <v>5.5313598682231701E-12</v>
      </c>
      <c r="Q202" s="20">
        <f t="shared" si="162"/>
        <v>1.039519189921296E-11</v>
      </c>
      <c r="R202" s="59">
        <f t="shared" si="191"/>
        <v>293.33333333334372</v>
      </c>
      <c r="S202" s="59">
        <f ca="1">AVERAGE(OFFSET($R$3,0,0,'Données projet'!$E$9+1,1))-AVERAGE(OFFSET($H$3,0,0,'Données projet'!$E$9+1,1))</f>
        <v>399.15057697410413</v>
      </c>
      <c r="T202" s="59">
        <f t="shared" si="204"/>
        <v>182.37700638847298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135.52993654307016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135.52993654307016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4.8316906031686813E-13</v>
      </c>
      <c r="AJ202" s="13">
        <f>AI202*VLOOKUP('Données projet'!$B$10,Paramètres!$A$1:$I$89,3,0)*VLOOKUP('Données projet'!$B$10,Paramètres!$A$1:$I$89,5,0)</f>
        <v>4.8993342716130437E-13</v>
      </c>
      <c r="AK202" s="13">
        <f t="shared" si="164"/>
        <v>6.1172634040517391E-12</v>
      </c>
      <c r="AL202" s="20">
        <f t="shared" si="165"/>
        <v>1.1507534481029384E-11</v>
      </c>
      <c r="AM202" s="59">
        <f t="shared" si="193"/>
        <v>293.3333333333448</v>
      </c>
      <c r="AN202" s="59">
        <f ca="1">AVERAGE(OFFSET($AM$3,0,0,'Données projet'!$E$10+1,1))-AVERAGE(OFFSET($H$3,0,0,'Données projet'!$E$10+1,1))</f>
        <v>463.77045964052894</v>
      </c>
      <c r="AO202" s="59">
        <f t="shared" si="205"/>
        <v>209.77146243694483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151.88699784999238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151.88699784999238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4.8316906031686813E-13</v>
      </c>
      <c r="BE202" s="13">
        <f>BD202*VLOOKUP('Données projet'!$B$11,Paramètres!$A$1:$I$89,3,0)*VLOOKUP('Données projet'!$B$11,Paramètres!$A$1:$I$89,5,0)</f>
        <v>4.6732111513847483E-13</v>
      </c>
      <c r="BF202" s="13">
        <f t="shared" si="167"/>
        <v>5.8671100737071438E-12</v>
      </c>
      <c r="BG202" s="20">
        <f t="shared" si="168"/>
        <v>1.1032467653906121E-11</v>
      </c>
      <c r="BH202" s="59">
        <f t="shared" si="194"/>
        <v>293.33333333334434</v>
      </c>
      <c r="BI202" s="59">
        <f ca="1">AVERAGE(OFFSET($BH$3,0,0,'Données projet'!$E$11+1,1))-AVERAGE(OFFSET($H$3,0,0,'Données projet'!$E$11+1,1))</f>
        <v>436.0942819360734</v>
      </c>
      <c r="BJ202" s="59">
        <f t="shared" si="206"/>
        <v>198.03942180876311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144.87682871845428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144.87682871845428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>
        <f>BY202*VLOOKUP('Données projet'!$B$12,Paramètres!$A$1:$I$89,3,0)*VLOOKUP('Données projet'!$B$12,Paramètres!$A$1:$I$89,5,0)</f>
        <v>0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183.99578440773581</v>
      </c>
      <c r="CE202" s="59">
        <f t="shared" si="207"/>
        <v>258.43295338669657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1.7805909678109832</v>
      </c>
      <c r="CL202" s="21">
        <f>EXP(-LN(2)/25)*CL201+(1-EXP(-LN(2)/25))/(LN(2)/25)*Calculateur!CG202*Calculateur!CI202*VLOOKUP('Données projet'!$B$12,Paramètres!$A$1:$I$89,3,0)*0.475*44/12</f>
        <v>0.3205433126466633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2.1011342804576465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146.63999999999982</v>
      </c>
      <c r="D203" s="11">
        <f t="shared" si="202"/>
        <v>37.81400971270299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1423.8555135717409</v>
      </c>
      <c r="H203" s="67">
        <f t="shared" si="192"/>
        <v>614.59073358295734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4.8316906031686813E-13</v>
      </c>
      <c r="O203" s="13">
        <f>N203*VLOOKUP('Données projet'!$B$9,Paramètres!$A$1:$I$89,3,0)*VLOOKUP('Données projet'!$B$9,Paramètres!$A$1:$I$89,5,0)</f>
        <v>4.3717136577470225E-13</v>
      </c>
      <c r="P203" s="13">
        <f t="shared" si="203"/>
        <v>5.5313598682231701E-12</v>
      </c>
      <c r="Q203" s="20">
        <f t="shared" si="162"/>
        <v>1.039519189921296E-11</v>
      </c>
      <c r="R203" s="59">
        <f t="shared" si="191"/>
        <v>293.33333333334372</v>
      </c>
      <c r="S203" s="59">
        <f ca="1">AVERAGE(OFFSET($R$3,0,0,'Données projet'!$E$9+1,1))-AVERAGE(OFFSET($H$3,0,0,'Données projet'!$E$9+1,1))</f>
        <v>399.15057697410413</v>
      </c>
      <c r="T203" s="59">
        <f t="shared" si="204"/>
        <v>182.37700638847298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132.87227715255935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132.87227715255935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4.8316906031686813E-13</v>
      </c>
      <c r="AJ203" s="13">
        <f>AI203*VLOOKUP('Données projet'!$B$10,Paramètres!$A$1:$I$89,3,0)*VLOOKUP('Données projet'!$B$10,Paramètres!$A$1:$I$89,5,0)</f>
        <v>4.8993342716130437E-13</v>
      </c>
      <c r="AK203" s="13">
        <f t="shared" si="164"/>
        <v>6.1172634040517391E-12</v>
      </c>
      <c r="AL203" s="20">
        <f t="shared" si="165"/>
        <v>1.1507534481029384E-11</v>
      </c>
      <c r="AM203" s="59">
        <f t="shared" si="193"/>
        <v>293.3333333333448</v>
      </c>
      <c r="AN203" s="59">
        <f ca="1">AVERAGE(OFFSET($AM$3,0,0,'Données projet'!$E$10+1,1))-AVERAGE(OFFSET($H$3,0,0,'Données projet'!$E$10+1,1))</f>
        <v>463.77045964052894</v>
      </c>
      <c r="AO203" s="59">
        <f t="shared" si="205"/>
        <v>209.77146243694483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148.90858646407509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148.90858646407509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4.8316906031686813E-13</v>
      </c>
      <c r="BE203" s="13">
        <f>BD203*VLOOKUP('Données projet'!$B$11,Paramètres!$A$1:$I$89,3,0)*VLOOKUP('Données projet'!$B$11,Paramètres!$A$1:$I$89,5,0)</f>
        <v>4.6732111513847483E-13</v>
      </c>
      <c r="BF203" s="13">
        <f t="shared" si="167"/>
        <v>5.8671100737071438E-12</v>
      </c>
      <c r="BG203" s="20">
        <f t="shared" si="168"/>
        <v>1.1032467653906121E-11</v>
      </c>
      <c r="BH203" s="59">
        <f t="shared" si="194"/>
        <v>293.33333333334434</v>
      </c>
      <c r="BI203" s="59">
        <f ca="1">AVERAGE(OFFSET($BH$3,0,0,'Données projet'!$E$11+1,1))-AVERAGE(OFFSET($H$3,0,0,'Données projet'!$E$11+1,1))</f>
        <v>436.0942819360734</v>
      </c>
      <c r="BJ203" s="59">
        <f t="shared" si="206"/>
        <v>198.03942180876311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142.03588247342549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142.03588247342549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>
        <f>BY203*VLOOKUP('Données projet'!$B$12,Paramètres!$A$1:$I$89,3,0)*VLOOKUP('Données projet'!$B$12,Paramètres!$A$1:$I$89,5,0)</f>
        <v>0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183.99578440773581</v>
      </c>
      <c r="CE203" s="59">
        <f t="shared" si="207"/>
        <v>258.43295338669657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1.7456746649854613</v>
      </c>
      <c r="CL203" s="21">
        <f>EXP(-LN(2)/25)*CL202+(1-EXP(-LN(2)/25))/(LN(2)/25)*Calculateur!CG203*Calculateur!CI203*VLOOKUP('Données projet'!$B$12,Paramètres!$A$1:$I$89,3,0)*0.475*44/12</f>
        <v>0.31177803890570011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2.0574527038911614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98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98</v>
      </c>
      <c r="BA204" s="81" t="s">
        <v>98</v>
      </c>
      <c r="BV204" s="81" t="s">
        <v>98</v>
      </c>
      <c r="CQ204" s="81" t="s">
        <v>98</v>
      </c>
      <c r="DL204" s="81" t="s">
        <v>98</v>
      </c>
      <c r="EG204" s="81" t="s">
        <v>98</v>
      </c>
      <c r="FB204" s="81" t="s">
        <v>98</v>
      </c>
      <c r="FW204" s="81" t="s">
        <v>98</v>
      </c>
      <c r="GR204" s="81" t="s">
        <v>98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1.1289835501862808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1.1289835501862808</v>
      </c>
      <c r="BA205" s="82">
        <f>EXP(LN('Données projet'!B88)/'Données projet'!A88)</f>
        <v>1.1289835501862808</v>
      </c>
      <c r="BV205" s="82">
        <f>EXP(LN('Données projet'!B114)/'Données projet'!A114)</f>
        <v>1.8521274302195943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99</v>
      </c>
      <c r="B1" s="112" t="s">
        <v>100</v>
      </c>
      <c r="C1" s="113" t="s">
        <v>101</v>
      </c>
      <c r="D1" s="112" t="s">
        <v>102</v>
      </c>
      <c r="E1" s="113" t="s">
        <v>103</v>
      </c>
      <c r="F1" s="113" t="s">
        <v>102</v>
      </c>
      <c r="G1" s="113" t="s">
        <v>104</v>
      </c>
      <c r="H1" s="113" t="s">
        <v>102</v>
      </c>
      <c r="I1" s="114" t="s">
        <v>105</v>
      </c>
      <c r="J1" s="78"/>
      <c r="K1" s="78"/>
      <c r="L1" s="78"/>
      <c r="M1" s="78"/>
      <c r="N1" s="78"/>
    </row>
    <row r="2" spans="1:16" x14ac:dyDescent="0.3">
      <c r="A2" s="115" t="s">
        <v>106</v>
      </c>
      <c r="B2" s="116" t="s">
        <v>107</v>
      </c>
      <c r="C2" s="117">
        <v>0.62</v>
      </c>
      <c r="D2" s="117" t="s">
        <v>108</v>
      </c>
      <c r="E2" s="117">
        <v>1.56</v>
      </c>
      <c r="F2" s="117" t="s">
        <v>109</v>
      </c>
      <c r="G2" s="118">
        <v>0.43</v>
      </c>
      <c r="H2" s="119" t="s">
        <v>110</v>
      </c>
      <c r="I2" s="120">
        <v>0.25</v>
      </c>
      <c r="J2" s="78"/>
      <c r="K2" s="78"/>
      <c r="L2" s="78"/>
      <c r="M2" s="78"/>
      <c r="N2" s="78"/>
      <c r="O2" s="281" t="s">
        <v>111</v>
      </c>
      <c r="P2" s="121">
        <v>0</v>
      </c>
    </row>
    <row r="3" spans="1:16" ht="15" thickBot="1" x14ac:dyDescent="0.35">
      <c r="A3" s="122" t="s">
        <v>112</v>
      </c>
      <c r="B3" s="123" t="s">
        <v>113</v>
      </c>
      <c r="C3" s="124">
        <v>0.64</v>
      </c>
      <c r="D3" s="124" t="s">
        <v>108</v>
      </c>
      <c r="E3" s="124">
        <v>1.56</v>
      </c>
      <c r="F3" s="125" t="s">
        <v>109</v>
      </c>
      <c r="G3" s="126">
        <v>0.43</v>
      </c>
      <c r="H3" s="124" t="s">
        <v>110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35">
      <c r="A4" s="122" t="s">
        <v>114</v>
      </c>
      <c r="B4" s="123" t="s">
        <v>115</v>
      </c>
      <c r="C4" s="124">
        <v>0.42</v>
      </c>
      <c r="D4" s="124" t="s">
        <v>108</v>
      </c>
      <c r="E4" s="124">
        <v>1.56</v>
      </c>
      <c r="F4" s="125" t="s">
        <v>109</v>
      </c>
      <c r="G4" s="126">
        <v>0.43</v>
      </c>
      <c r="H4" s="124" t="s">
        <v>110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116</v>
      </c>
      <c r="B5" s="123" t="s">
        <v>117</v>
      </c>
      <c r="C5" s="124">
        <v>0.42</v>
      </c>
      <c r="D5" s="124" t="s">
        <v>108</v>
      </c>
      <c r="E5" s="124">
        <v>1.56</v>
      </c>
      <c r="F5" s="125" t="s">
        <v>109</v>
      </c>
      <c r="G5" s="126">
        <v>0.43</v>
      </c>
      <c r="H5" s="124" t="s">
        <v>110</v>
      </c>
      <c r="I5" s="127">
        <v>0.25</v>
      </c>
      <c r="J5" s="78"/>
      <c r="K5" s="78"/>
      <c r="L5" s="78"/>
      <c r="M5" s="78"/>
      <c r="N5" s="78"/>
      <c r="O5" s="281" t="s">
        <v>118</v>
      </c>
      <c r="P5" s="121">
        <v>0</v>
      </c>
    </row>
    <row r="6" spans="1:16" x14ac:dyDescent="0.3">
      <c r="A6" s="122" t="s">
        <v>119</v>
      </c>
      <c r="B6" s="123" t="s">
        <v>120</v>
      </c>
      <c r="C6" s="124">
        <v>0.42</v>
      </c>
      <c r="D6" s="124" t="s">
        <v>108</v>
      </c>
      <c r="E6" s="124">
        <v>1.56</v>
      </c>
      <c r="F6" s="125" t="s">
        <v>109</v>
      </c>
      <c r="G6" s="126">
        <v>0.43</v>
      </c>
      <c r="H6" s="124" t="s">
        <v>110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">
      <c r="A7" s="122" t="s">
        <v>121</v>
      </c>
      <c r="B7" s="123" t="s">
        <v>122</v>
      </c>
      <c r="C7" s="124">
        <v>0.52</v>
      </c>
      <c r="D7" s="124" t="s">
        <v>108</v>
      </c>
      <c r="E7" s="124">
        <v>1.56</v>
      </c>
      <c r="F7" s="125" t="s">
        <v>109</v>
      </c>
      <c r="G7" s="126">
        <v>0.43</v>
      </c>
      <c r="H7" s="124" t="s">
        <v>110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35">
      <c r="A8" s="122" t="s">
        <v>123</v>
      </c>
      <c r="B8" s="123" t="s">
        <v>124</v>
      </c>
      <c r="C8" s="124">
        <v>0.36</v>
      </c>
      <c r="D8" s="124" t="s">
        <v>108</v>
      </c>
      <c r="E8" s="124">
        <v>1.3</v>
      </c>
      <c r="F8" s="125" t="s">
        <v>109</v>
      </c>
      <c r="G8" s="126">
        <v>0.55000000000000004</v>
      </c>
      <c r="H8" s="124" t="s">
        <v>125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35">
      <c r="A9" s="122" t="s">
        <v>126</v>
      </c>
      <c r="B9" s="123" t="s">
        <v>127</v>
      </c>
      <c r="C9" s="124">
        <v>0.61</v>
      </c>
      <c r="D9" s="124" t="s">
        <v>108</v>
      </c>
      <c r="E9" s="124">
        <v>1.56</v>
      </c>
      <c r="F9" s="125" t="s">
        <v>109</v>
      </c>
      <c r="G9" s="126">
        <v>0.43</v>
      </c>
      <c r="H9" s="124" t="s">
        <v>110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128</v>
      </c>
      <c r="B10" s="123" t="s">
        <v>129</v>
      </c>
      <c r="C10" s="124">
        <v>0.66</v>
      </c>
      <c r="D10" s="124" t="s">
        <v>108</v>
      </c>
      <c r="E10" s="124">
        <v>1.56</v>
      </c>
      <c r="F10" s="125" t="s">
        <v>109</v>
      </c>
      <c r="G10" s="126">
        <v>0.43</v>
      </c>
      <c r="H10" s="124" t="s">
        <v>110</v>
      </c>
      <c r="I10" s="127">
        <v>0.25</v>
      </c>
      <c r="J10" s="78"/>
      <c r="K10" s="78"/>
      <c r="L10" s="78"/>
      <c r="M10" s="78"/>
      <c r="N10" s="78"/>
      <c r="O10" s="281" t="s">
        <v>130</v>
      </c>
      <c r="P10" s="121">
        <v>0</v>
      </c>
    </row>
    <row r="11" spans="1:16" ht="15" thickBot="1" x14ac:dyDescent="0.35">
      <c r="A11" s="122" t="s">
        <v>131</v>
      </c>
      <c r="B11" s="123" t="s">
        <v>132</v>
      </c>
      <c r="C11" s="124">
        <v>0.47</v>
      </c>
      <c r="D11" s="124" t="s">
        <v>108</v>
      </c>
      <c r="E11" s="124">
        <v>1.56</v>
      </c>
      <c r="F11" s="125" t="s">
        <v>109</v>
      </c>
      <c r="G11" s="126">
        <v>0.43</v>
      </c>
      <c r="H11" s="124" t="s">
        <v>110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">
      <c r="A12" s="122" t="s">
        <v>133</v>
      </c>
      <c r="B12" s="123" t="s">
        <v>134</v>
      </c>
      <c r="C12" s="124">
        <v>0.67</v>
      </c>
      <c r="D12" s="124" t="s">
        <v>108</v>
      </c>
      <c r="E12" s="124">
        <v>1.56</v>
      </c>
      <c r="F12" s="125" t="s">
        <v>109</v>
      </c>
      <c r="G12" s="126">
        <v>0.43</v>
      </c>
      <c r="H12" s="124" t="s">
        <v>135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136</v>
      </c>
      <c r="B13" s="123" t="s">
        <v>137</v>
      </c>
      <c r="C13" s="124">
        <v>0.7</v>
      </c>
      <c r="D13" s="124" t="s">
        <v>108</v>
      </c>
      <c r="E13" s="124">
        <v>1.56</v>
      </c>
      <c r="F13" s="125" t="s">
        <v>109</v>
      </c>
      <c r="G13" s="126">
        <v>0.43</v>
      </c>
      <c r="H13" s="124" t="s">
        <v>135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138</v>
      </c>
      <c r="B14" s="123" t="s">
        <v>139</v>
      </c>
      <c r="C14" s="124">
        <v>0.54</v>
      </c>
      <c r="D14" s="124" t="s">
        <v>108</v>
      </c>
      <c r="E14" s="124">
        <v>1.56</v>
      </c>
      <c r="F14" s="125" t="s">
        <v>109</v>
      </c>
      <c r="G14" s="126">
        <v>0.43</v>
      </c>
      <c r="H14" s="124" t="s">
        <v>135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140</v>
      </c>
      <c r="B15" s="123" t="s">
        <v>141</v>
      </c>
      <c r="C15" s="124">
        <v>0.65</v>
      </c>
      <c r="D15" s="124" t="s">
        <v>108</v>
      </c>
      <c r="E15" s="124">
        <v>1.56</v>
      </c>
      <c r="F15" s="125" t="s">
        <v>109</v>
      </c>
      <c r="G15" s="126">
        <v>0.43</v>
      </c>
      <c r="H15" s="124" t="s">
        <v>135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142</v>
      </c>
      <c r="B16" s="123" t="s">
        <v>143</v>
      </c>
      <c r="C16" s="124">
        <v>0.56000000000000005</v>
      </c>
      <c r="D16" s="124" t="s">
        <v>108</v>
      </c>
      <c r="E16" s="124">
        <v>1.56</v>
      </c>
      <c r="F16" s="125" t="s">
        <v>109</v>
      </c>
      <c r="G16" s="126">
        <v>0.43</v>
      </c>
      <c r="H16" s="124" t="s">
        <v>135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144</v>
      </c>
      <c r="B17" s="123" t="s">
        <v>145</v>
      </c>
      <c r="C17" s="124">
        <v>0.57999999999999996</v>
      </c>
      <c r="D17" s="124" t="s">
        <v>108</v>
      </c>
      <c r="E17" s="124">
        <v>1.56</v>
      </c>
      <c r="F17" s="125" t="s">
        <v>109</v>
      </c>
      <c r="G17" s="126">
        <v>0.43</v>
      </c>
      <c r="H17" s="124" t="s">
        <v>135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146</v>
      </c>
      <c r="B18" s="123" t="s">
        <v>147</v>
      </c>
      <c r="C18" s="124">
        <v>0.64</v>
      </c>
      <c r="D18" s="124" t="s">
        <v>108</v>
      </c>
      <c r="E18" s="124">
        <v>1.56</v>
      </c>
      <c r="F18" s="125" t="s">
        <v>109</v>
      </c>
      <c r="G18" s="126">
        <v>0.43</v>
      </c>
      <c r="H18" s="124" t="s">
        <v>135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148</v>
      </c>
      <c r="B19" s="123" t="s">
        <v>149</v>
      </c>
      <c r="C19" s="124">
        <v>0.73</v>
      </c>
      <c r="D19" s="124" t="s">
        <v>108</v>
      </c>
      <c r="E19" s="124">
        <v>1.56</v>
      </c>
      <c r="F19" s="125" t="s">
        <v>109</v>
      </c>
      <c r="G19" s="126">
        <v>0.43</v>
      </c>
      <c r="H19" s="124" t="s">
        <v>135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150</v>
      </c>
      <c r="B20" s="123" t="s">
        <v>151</v>
      </c>
      <c r="C20" s="124">
        <v>0.69</v>
      </c>
      <c r="D20" s="124" t="s">
        <v>152</v>
      </c>
      <c r="E20" s="124">
        <v>1.56</v>
      </c>
      <c r="F20" s="125" t="s">
        <v>109</v>
      </c>
      <c r="G20" s="126">
        <v>0.43</v>
      </c>
      <c r="H20" s="124" t="s">
        <v>153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108</v>
      </c>
      <c r="E21" s="124">
        <v>1.3</v>
      </c>
      <c r="F21" s="125" t="s">
        <v>109</v>
      </c>
      <c r="G21" s="126">
        <v>0.55000000000000004</v>
      </c>
      <c r="H21" s="124" t="s">
        <v>125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156</v>
      </c>
      <c r="B22" s="123" t="s">
        <v>157</v>
      </c>
      <c r="C22" s="124">
        <v>0.4</v>
      </c>
      <c r="D22" s="124" t="s">
        <v>108</v>
      </c>
      <c r="E22" s="124">
        <v>1.3</v>
      </c>
      <c r="F22" s="125" t="s">
        <v>109</v>
      </c>
      <c r="G22" s="126">
        <v>0.55000000000000004</v>
      </c>
      <c r="H22" s="124" t="s">
        <v>125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158</v>
      </c>
      <c r="B23" s="123" t="s">
        <v>159</v>
      </c>
      <c r="C23" s="124">
        <v>0.43</v>
      </c>
      <c r="D23" s="124" t="s">
        <v>108</v>
      </c>
      <c r="E23" s="124">
        <v>1.3</v>
      </c>
      <c r="F23" s="125" t="s">
        <v>109</v>
      </c>
      <c r="G23" s="126">
        <v>0.55000000000000004</v>
      </c>
      <c r="H23" s="124" t="s">
        <v>125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160</v>
      </c>
      <c r="B24" s="123" t="s">
        <v>161</v>
      </c>
      <c r="C24" s="124">
        <v>0.37</v>
      </c>
      <c r="D24" s="124" t="s">
        <v>108</v>
      </c>
      <c r="E24" s="124">
        <v>1.3</v>
      </c>
      <c r="F24" s="125" t="s">
        <v>109</v>
      </c>
      <c r="G24" s="126">
        <v>0.55000000000000004</v>
      </c>
      <c r="H24" s="124" t="s">
        <v>135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162</v>
      </c>
      <c r="B25" s="123" t="s">
        <v>163</v>
      </c>
      <c r="C25" s="124">
        <v>0.36</v>
      </c>
      <c r="D25" s="124" t="s">
        <v>108</v>
      </c>
      <c r="E25" s="124">
        <v>1.3</v>
      </c>
      <c r="F25" s="125" t="s">
        <v>109</v>
      </c>
      <c r="G25" s="126">
        <v>0.55000000000000004</v>
      </c>
      <c r="H25" s="124" t="s">
        <v>135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164</v>
      </c>
      <c r="B26" s="123" t="s">
        <v>165</v>
      </c>
      <c r="C26" s="124">
        <v>0.56000000000000005</v>
      </c>
      <c r="D26" s="124" t="s">
        <v>108</v>
      </c>
      <c r="E26" s="124">
        <v>1.56</v>
      </c>
      <c r="F26" s="125" t="s">
        <v>109</v>
      </c>
      <c r="G26" s="126">
        <v>0.53</v>
      </c>
      <c r="H26" s="124" t="s">
        <v>166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167</v>
      </c>
      <c r="B27" s="123" t="s">
        <v>168</v>
      </c>
      <c r="C27" s="124">
        <v>0.51</v>
      </c>
      <c r="D27" s="124" t="s">
        <v>108</v>
      </c>
      <c r="E27" s="124">
        <v>1.56</v>
      </c>
      <c r="F27" s="125" t="s">
        <v>109</v>
      </c>
      <c r="G27" s="126">
        <v>0.53</v>
      </c>
      <c r="H27" s="124" t="s">
        <v>166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169</v>
      </c>
      <c r="B28" s="123" t="s">
        <v>170</v>
      </c>
      <c r="C28" s="124">
        <v>0.51</v>
      </c>
      <c r="D28" s="124" t="s">
        <v>108</v>
      </c>
      <c r="E28" s="124">
        <v>1.56</v>
      </c>
      <c r="F28" s="125" t="s">
        <v>109</v>
      </c>
      <c r="G28" s="126">
        <v>0.53</v>
      </c>
      <c r="H28" s="124" t="s">
        <v>166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171</v>
      </c>
      <c r="B29" s="123" t="s">
        <v>171</v>
      </c>
      <c r="C29" s="124">
        <v>0.56000000000000005</v>
      </c>
      <c r="D29" s="124" t="s">
        <v>108</v>
      </c>
      <c r="E29" s="124">
        <v>1.56</v>
      </c>
      <c r="F29" s="125" t="s">
        <v>109</v>
      </c>
      <c r="G29" s="126">
        <v>0.53</v>
      </c>
      <c r="H29" s="124" t="s">
        <v>166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172</v>
      </c>
      <c r="B30" s="123" t="s">
        <v>173</v>
      </c>
      <c r="C30" s="124">
        <v>0.55000000000000004</v>
      </c>
      <c r="D30" s="124" t="s">
        <v>108</v>
      </c>
      <c r="E30" s="124">
        <v>1.56</v>
      </c>
      <c r="F30" s="125" t="s">
        <v>109</v>
      </c>
      <c r="G30" s="126">
        <v>0.53</v>
      </c>
      <c r="H30" s="124" t="s">
        <v>135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174</v>
      </c>
      <c r="B31" s="123" t="s">
        <v>175</v>
      </c>
      <c r="C31" s="124">
        <v>0.56000000000000005</v>
      </c>
      <c r="D31" s="124" t="s">
        <v>108</v>
      </c>
      <c r="E31" s="124">
        <v>1.56</v>
      </c>
      <c r="F31" s="125" t="s">
        <v>109</v>
      </c>
      <c r="G31" s="126">
        <v>0.43</v>
      </c>
      <c r="H31" s="124" t="s">
        <v>110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176</v>
      </c>
      <c r="B32" s="123" t="s">
        <v>177</v>
      </c>
      <c r="C32" s="124">
        <v>0.48</v>
      </c>
      <c r="D32" s="124" t="s">
        <v>108</v>
      </c>
      <c r="E32" s="124">
        <v>1.3</v>
      </c>
      <c r="F32" s="125" t="s">
        <v>109</v>
      </c>
      <c r="G32" s="126">
        <v>0.6</v>
      </c>
      <c r="H32" s="124" t="s">
        <v>178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179</v>
      </c>
      <c r="B33" s="123" t="s">
        <v>180</v>
      </c>
      <c r="C33" s="124">
        <v>0.42</v>
      </c>
      <c r="D33" s="124" t="s">
        <v>108</v>
      </c>
      <c r="E33" s="124">
        <v>1.3</v>
      </c>
      <c r="F33" s="125" t="s">
        <v>109</v>
      </c>
      <c r="G33" s="126">
        <v>0.6</v>
      </c>
      <c r="H33" s="124" t="s">
        <v>178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181</v>
      </c>
      <c r="B34" s="123" t="s">
        <v>182</v>
      </c>
      <c r="C34" s="124">
        <v>0.42</v>
      </c>
      <c r="D34" s="124" t="s">
        <v>183</v>
      </c>
      <c r="E34" s="124">
        <v>1.3</v>
      </c>
      <c r="F34" s="125" t="s">
        <v>109</v>
      </c>
      <c r="G34" s="126">
        <v>0.6</v>
      </c>
      <c r="H34" s="123" t="s">
        <v>184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185</v>
      </c>
      <c r="B35" s="123" t="s">
        <v>186</v>
      </c>
      <c r="C35" s="124">
        <v>0.5</v>
      </c>
      <c r="D35" s="124" t="s">
        <v>108</v>
      </c>
      <c r="E35" s="124">
        <v>1.56</v>
      </c>
      <c r="F35" s="125" t="s">
        <v>109</v>
      </c>
      <c r="G35" s="126">
        <v>0.43</v>
      </c>
      <c r="H35" s="124" t="s">
        <v>110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187</v>
      </c>
      <c r="B36" s="123" t="s">
        <v>188</v>
      </c>
      <c r="C36" s="124">
        <v>0.55000000000000004</v>
      </c>
      <c r="D36" s="124" t="s">
        <v>108</v>
      </c>
      <c r="E36" s="124">
        <v>1.56</v>
      </c>
      <c r="F36" s="125" t="s">
        <v>109</v>
      </c>
      <c r="G36" s="126">
        <v>0.53</v>
      </c>
      <c r="H36" s="124" t="s">
        <v>166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189</v>
      </c>
      <c r="B37" s="123" t="s">
        <v>190</v>
      </c>
      <c r="C37" s="124">
        <v>0.52</v>
      </c>
      <c r="D37" s="124" t="s">
        <v>108</v>
      </c>
      <c r="E37" s="124">
        <v>1.56</v>
      </c>
      <c r="F37" s="125" t="s">
        <v>109</v>
      </c>
      <c r="G37" s="126">
        <v>0.53</v>
      </c>
      <c r="H37" s="124" t="s">
        <v>166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191</v>
      </c>
      <c r="B38" s="123" t="s">
        <v>192</v>
      </c>
      <c r="C38" s="124">
        <v>0.52</v>
      </c>
      <c r="D38" s="124" t="s">
        <v>108</v>
      </c>
      <c r="E38" s="124">
        <v>1.56</v>
      </c>
      <c r="F38" s="125" t="s">
        <v>109</v>
      </c>
      <c r="G38" s="126">
        <v>0.43</v>
      </c>
      <c r="H38" s="124" t="s">
        <v>110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193</v>
      </c>
      <c r="B39" s="123" t="s">
        <v>194</v>
      </c>
      <c r="C39" s="124">
        <v>0.313</v>
      </c>
      <c r="D39" s="124" t="s">
        <v>195</v>
      </c>
      <c r="E39" s="124">
        <v>1.56</v>
      </c>
      <c r="F39" s="125" t="s">
        <v>109</v>
      </c>
      <c r="G39" s="126">
        <v>0.6</v>
      </c>
      <c r="H39" s="124" t="s">
        <v>196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197</v>
      </c>
      <c r="B40" s="123" t="s">
        <v>194</v>
      </c>
      <c r="C40" s="124">
        <v>0.35199999999999998</v>
      </c>
      <c r="D40" s="124" t="s">
        <v>195</v>
      </c>
      <c r="E40" s="124">
        <v>1.56</v>
      </c>
      <c r="F40" s="125" t="s">
        <v>109</v>
      </c>
      <c r="G40" s="126">
        <v>0.6</v>
      </c>
      <c r="H40" s="124" t="s">
        <v>196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198</v>
      </c>
      <c r="B41" s="123" t="s">
        <v>194</v>
      </c>
      <c r="C41" s="124">
        <v>0.32200000000000001</v>
      </c>
      <c r="D41" s="124" t="s">
        <v>195</v>
      </c>
      <c r="E41" s="124">
        <v>1.56</v>
      </c>
      <c r="F41" s="125" t="s">
        <v>109</v>
      </c>
      <c r="G41" s="126">
        <v>0.6</v>
      </c>
      <c r="H41" s="124" t="s">
        <v>196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199</v>
      </c>
      <c r="B42" s="123" t="s">
        <v>194</v>
      </c>
      <c r="C42" s="124">
        <v>0.311</v>
      </c>
      <c r="D42" s="124" t="s">
        <v>195</v>
      </c>
      <c r="E42" s="124">
        <v>1.56</v>
      </c>
      <c r="F42" s="125" t="s">
        <v>109</v>
      </c>
      <c r="G42" s="126">
        <v>0.6</v>
      </c>
      <c r="H42" s="124" t="s">
        <v>196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200</v>
      </c>
      <c r="B43" s="123" t="s">
        <v>194</v>
      </c>
      <c r="C43" s="124">
        <v>0.33900000000000002</v>
      </c>
      <c r="D43" s="124" t="s">
        <v>195</v>
      </c>
      <c r="E43" s="124">
        <v>1.56</v>
      </c>
      <c r="F43" s="125" t="s">
        <v>109</v>
      </c>
      <c r="G43" s="126">
        <v>0.6</v>
      </c>
      <c r="H43" s="124" t="s">
        <v>196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201</v>
      </c>
      <c r="B44" s="123" t="s">
        <v>194</v>
      </c>
      <c r="C44" s="124">
        <v>0.33600000000000002</v>
      </c>
      <c r="D44" s="124" t="s">
        <v>195</v>
      </c>
      <c r="E44" s="124">
        <v>1.56</v>
      </c>
      <c r="F44" s="125" t="s">
        <v>109</v>
      </c>
      <c r="G44" s="126">
        <v>0.6</v>
      </c>
      <c r="H44" s="124" t="s">
        <v>196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202</v>
      </c>
      <c r="B45" s="123" t="s">
        <v>194</v>
      </c>
      <c r="C45" s="124">
        <v>0.32900000000000001</v>
      </c>
      <c r="D45" s="124" t="s">
        <v>195</v>
      </c>
      <c r="E45" s="124">
        <v>1.56</v>
      </c>
      <c r="F45" s="125" t="s">
        <v>109</v>
      </c>
      <c r="G45" s="126">
        <v>0.6</v>
      </c>
      <c r="H45" s="124" t="s">
        <v>196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203</v>
      </c>
      <c r="B46" s="123" t="s">
        <v>194</v>
      </c>
      <c r="C46" s="124">
        <v>0.34300000000000003</v>
      </c>
      <c r="D46" s="124" t="s">
        <v>195</v>
      </c>
      <c r="E46" s="124">
        <v>1.56</v>
      </c>
      <c r="F46" s="125" t="s">
        <v>109</v>
      </c>
      <c r="G46" s="126">
        <v>0.6</v>
      </c>
      <c r="H46" s="124" t="s">
        <v>196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204</v>
      </c>
      <c r="B47" s="123" t="s">
        <v>194</v>
      </c>
      <c r="C47" s="124">
        <v>0.32500000000000001</v>
      </c>
      <c r="D47" s="124" t="s">
        <v>195</v>
      </c>
      <c r="E47" s="124">
        <v>1.56</v>
      </c>
      <c r="F47" s="125" t="s">
        <v>109</v>
      </c>
      <c r="G47" s="126">
        <v>0.6</v>
      </c>
      <c r="H47" s="124" t="s">
        <v>196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205</v>
      </c>
      <c r="B48" s="123" t="s">
        <v>194</v>
      </c>
      <c r="C48" s="124">
        <v>0.32</v>
      </c>
      <c r="D48" s="124" t="s">
        <v>195</v>
      </c>
      <c r="E48" s="124">
        <v>1.56</v>
      </c>
      <c r="F48" s="125" t="s">
        <v>109</v>
      </c>
      <c r="G48" s="126">
        <v>0.6</v>
      </c>
      <c r="H48" s="124" t="s">
        <v>196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206</v>
      </c>
      <c r="B49" s="123" t="s">
        <v>194</v>
      </c>
      <c r="C49" s="124">
        <v>0.28199999999999997</v>
      </c>
      <c r="D49" s="124" t="s">
        <v>195</v>
      </c>
      <c r="E49" s="124">
        <v>1.56</v>
      </c>
      <c r="F49" s="125" t="s">
        <v>109</v>
      </c>
      <c r="G49" s="126">
        <v>0.6</v>
      </c>
      <c r="H49" s="124" t="s">
        <v>196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207</v>
      </c>
      <c r="B50" s="123" t="s">
        <v>194</v>
      </c>
      <c r="C50" s="124">
        <v>0.32800000000000001</v>
      </c>
      <c r="D50" s="124" t="s">
        <v>195</v>
      </c>
      <c r="E50" s="124">
        <v>1.56</v>
      </c>
      <c r="F50" s="125" t="s">
        <v>109</v>
      </c>
      <c r="G50" s="126">
        <v>0.6</v>
      </c>
      <c r="H50" s="124" t="s">
        <v>196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208</v>
      </c>
      <c r="B51" s="123" t="s">
        <v>194</v>
      </c>
      <c r="C51" s="124">
        <v>0.32600000000000001</v>
      </c>
      <c r="D51" s="124" t="s">
        <v>195</v>
      </c>
      <c r="E51" s="124">
        <v>1.56</v>
      </c>
      <c r="F51" s="125" t="s">
        <v>109</v>
      </c>
      <c r="G51" s="126">
        <v>0.6</v>
      </c>
      <c r="H51" s="124" t="s">
        <v>196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209</v>
      </c>
      <c r="B52" s="123" t="s">
        <v>194</v>
      </c>
      <c r="C52" s="124">
        <v>0.35899999999999999</v>
      </c>
      <c r="D52" s="124" t="s">
        <v>195</v>
      </c>
      <c r="E52" s="124">
        <v>1.56</v>
      </c>
      <c r="F52" s="125" t="s">
        <v>109</v>
      </c>
      <c r="G52" s="126">
        <v>0.6</v>
      </c>
      <c r="H52" s="124" t="s">
        <v>196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210</v>
      </c>
      <c r="B53" s="123" t="s">
        <v>194</v>
      </c>
      <c r="C53" s="124">
        <v>0.34599999999999997</v>
      </c>
      <c r="D53" s="124" t="s">
        <v>195</v>
      </c>
      <c r="E53" s="124">
        <v>1.56</v>
      </c>
      <c r="F53" s="125" t="s">
        <v>109</v>
      </c>
      <c r="G53" s="126">
        <v>0.6</v>
      </c>
      <c r="H53" s="124" t="s">
        <v>196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211</v>
      </c>
      <c r="B54" s="123" t="s">
        <v>194</v>
      </c>
      <c r="C54" s="124">
        <v>0.32600000000000001</v>
      </c>
      <c r="D54" s="124" t="s">
        <v>195</v>
      </c>
      <c r="E54" s="124">
        <v>1.56</v>
      </c>
      <c r="F54" s="125" t="s">
        <v>109</v>
      </c>
      <c r="G54" s="126">
        <v>0.6</v>
      </c>
      <c r="H54" s="124" t="s">
        <v>196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212</v>
      </c>
      <c r="B55" s="123" t="s">
        <v>194</v>
      </c>
      <c r="C55" s="124">
        <v>0.30499999999999999</v>
      </c>
      <c r="D55" s="124" t="s">
        <v>195</v>
      </c>
      <c r="E55" s="124">
        <v>1.56</v>
      </c>
      <c r="F55" s="125" t="s">
        <v>109</v>
      </c>
      <c r="G55" s="126">
        <v>0.6</v>
      </c>
      <c r="H55" s="124" t="s">
        <v>196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213</v>
      </c>
      <c r="B56" s="123" t="s">
        <v>194</v>
      </c>
      <c r="C56" s="124">
        <v>0.32300000000000001</v>
      </c>
      <c r="D56" s="124" t="s">
        <v>195</v>
      </c>
      <c r="E56" s="124">
        <v>1.56</v>
      </c>
      <c r="F56" s="125" t="s">
        <v>109</v>
      </c>
      <c r="G56" s="126">
        <v>0.6</v>
      </c>
      <c r="H56" s="124" t="s">
        <v>196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214</v>
      </c>
      <c r="B57" s="123" t="s">
        <v>194</v>
      </c>
      <c r="C57" s="124">
        <v>0.36699999999999999</v>
      </c>
      <c r="D57" s="124" t="s">
        <v>195</v>
      </c>
      <c r="E57" s="124">
        <v>1.56</v>
      </c>
      <c r="F57" s="125" t="s">
        <v>109</v>
      </c>
      <c r="G57" s="126">
        <v>0.6</v>
      </c>
      <c r="H57" s="124" t="s">
        <v>196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215</v>
      </c>
      <c r="B58" s="123" t="s">
        <v>194</v>
      </c>
      <c r="C58" s="124">
        <v>0.36</v>
      </c>
      <c r="D58" s="124" t="s">
        <v>195</v>
      </c>
      <c r="E58" s="124">
        <v>1.56</v>
      </c>
      <c r="F58" s="125" t="s">
        <v>109</v>
      </c>
      <c r="G58" s="126">
        <v>0.6</v>
      </c>
      <c r="H58" s="124" t="s">
        <v>196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216</v>
      </c>
      <c r="B59" s="123" t="s">
        <v>194</v>
      </c>
      <c r="C59" s="124">
        <v>0.36799999999999999</v>
      </c>
      <c r="D59" s="124" t="s">
        <v>195</v>
      </c>
      <c r="E59" s="124">
        <v>1.56</v>
      </c>
      <c r="F59" s="125" t="s">
        <v>109</v>
      </c>
      <c r="G59" s="126">
        <v>0.6</v>
      </c>
      <c r="H59" s="124" t="s">
        <v>196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217</v>
      </c>
      <c r="B60" s="123" t="s">
        <v>194</v>
      </c>
      <c r="C60" s="124">
        <v>0.30599999999999999</v>
      </c>
      <c r="D60" s="124" t="s">
        <v>195</v>
      </c>
      <c r="E60" s="124">
        <v>1.56</v>
      </c>
      <c r="F60" s="125" t="s">
        <v>109</v>
      </c>
      <c r="G60" s="126">
        <v>0.6</v>
      </c>
      <c r="H60" s="124" t="s">
        <v>196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218</v>
      </c>
      <c r="B61" s="123" t="s">
        <v>194</v>
      </c>
      <c r="C61" s="124">
        <v>0.313</v>
      </c>
      <c r="D61" s="124" t="s">
        <v>195</v>
      </c>
      <c r="E61" s="124">
        <v>1.56</v>
      </c>
      <c r="F61" s="125" t="s">
        <v>109</v>
      </c>
      <c r="G61" s="126">
        <v>0.6</v>
      </c>
      <c r="H61" s="124" t="s">
        <v>196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219</v>
      </c>
      <c r="B62" s="123" t="s">
        <v>220</v>
      </c>
      <c r="C62" s="124">
        <v>0.37</v>
      </c>
      <c r="D62" s="124" t="s">
        <v>108</v>
      </c>
      <c r="E62" s="124">
        <v>1.56</v>
      </c>
      <c r="F62" s="125" t="s">
        <v>109</v>
      </c>
      <c r="G62" s="126">
        <v>0.6</v>
      </c>
      <c r="H62" s="124" t="s">
        <v>196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221</v>
      </c>
      <c r="B63" s="123" t="s">
        <v>222</v>
      </c>
      <c r="C63" s="124">
        <v>0.45</v>
      </c>
      <c r="D63" s="124" t="s">
        <v>108</v>
      </c>
      <c r="E63" s="124">
        <v>1.3</v>
      </c>
      <c r="F63" s="125" t="s">
        <v>109</v>
      </c>
      <c r="G63" s="126">
        <v>0.45</v>
      </c>
      <c r="H63" s="124" t="s">
        <v>223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224</v>
      </c>
      <c r="B64" s="123" t="s">
        <v>225</v>
      </c>
      <c r="C64" s="124">
        <v>0.39</v>
      </c>
      <c r="D64" s="124" t="s">
        <v>108</v>
      </c>
      <c r="E64" s="124">
        <v>1.3</v>
      </c>
      <c r="F64" s="125" t="s">
        <v>109</v>
      </c>
      <c r="G64" s="126">
        <v>0.45</v>
      </c>
      <c r="H64" s="124" t="s">
        <v>223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226</v>
      </c>
      <c r="B65" s="123" t="s">
        <v>227</v>
      </c>
      <c r="C65" s="124">
        <v>0.44</v>
      </c>
      <c r="D65" s="124" t="s">
        <v>108</v>
      </c>
      <c r="E65" s="124">
        <v>1.3</v>
      </c>
      <c r="F65" s="125" t="s">
        <v>109</v>
      </c>
      <c r="G65" s="126">
        <v>0.45</v>
      </c>
      <c r="H65" s="124" t="s">
        <v>223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228</v>
      </c>
      <c r="B66" s="123" t="s">
        <v>229</v>
      </c>
      <c r="C66" s="124">
        <v>0.46</v>
      </c>
      <c r="D66" s="124" t="s">
        <v>108</v>
      </c>
      <c r="E66" s="124">
        <v>1.3</v>
      </c>
      <c r="F66" s="125" t="s">
        <v>109</v>
      </c>
      <c r="G66" s="126">
        <v>0.45</v>
      </c>
      <c r="H66" s="124" t="s">
        <v>223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230</v>
      </c>
      <c r="B67" s="123" t="s">
        <v>231</v>
      </c>
      <c r="C67" s="124">
        <v>0.46</v>
      </c>
      <c r="D67" s="124" t="s">
        <v>108</v>
      </c>
      <c r="E67" s="124">
        <v>1.3</v>
      </c>
      <c r="F67" s="125" t="s">
        <v>109</v>
      </c>
      <c r="G67" s="126">
        <v>0.45</v>
      </c>
      <c r="H67" s="124" t="s">
        <v>135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232</v>
      </c>
      <c r="B68" s="123" t="s">
        <v>233</v>
      </c>
      <c r="C68" s="124">
        <v>0.44</v>
      </c>
      <c r="D68" s="124" t="s">
        <v>108</v>
      </c>
      <c r="E68" s="124">
        <v>1.3</v>
      </c>
      <c r="F68" s="125" t="s">
        <v>109</v>
      </c>
      <c r="G68" s="126">
        <v>0.45</v>
      </c>
      <c r="H68" s="124" t="s">
        <v>223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234</v>
      </c>
      <c r="B69" s="123" t="s">
        <v>235</v>
      </c>
      <c r="C69" s="124">
        <v>0.46</v>
      </c>
      <c r="D69" s="124" t="s">
        <v>108</v>
      </c>
      <c r="E69" s="124">
        <v>1.3</v>
      </c>
      <c r="F69" s="125" t="s">
        <v>109</v>
      </c>
      <c r="G69" s="126">
        <v>0.45</v>
      </c>
      <c r="H69" s="124" t="s">
        <v>223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236</v>
      </c>
      <c r="B70" s="123" t="s">
        <v>237</v>
      </c>
      <c r="C70" s="124">
        <v>0.48</v>
      </c>
      <c r="D70" s="124" t="s">
        <v>108</v>
      </c>
      <c r="E70" s="124">
        <v>2.4</v>
      </c>
      <c r="F70" s="124" t="s">
        <v>238</v>
      </c>
      <c r="G70" s="126">
        <v>0.45</v>
      </c>
      <c r="H70" s="124" t="s">
        <v>223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239</v>
      </c>
      <c r="B71" s="123" t="s">
        <v>240</v>
      </c>
      <c r="C71" s="124">
        <v>0.46</v>
      </c>
      <c r="D71" s="124" t="s">
        <v>241</v>
      </c>
      <c r="E71" s="124">
        <v>1.3</v>
      </c>
      <c r="F71" s="125" t="s">
        <v>109</v>
      </c>
      <c r="G71" s="126">
        <v>0.45</v>
      </c>
      <c r="H71" s="124" t="s">
        <v>223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242</v>
      </c>
      <c r="B72" s="123" t="s">
        <v>243</v>
      </c>
      <c r="C72" s="124">
        <v>0.44</v>
      </c>
      <c r="D72" s="124" t="s">
        <v>108</v>
      </c>
      <c r="E72" s="124">
        <v>1.3</v>
      </c>
      <c r="F72" s="125" t="s">
        <v>109</v>
      </c>
      <c r="G72" s="126">
        <v>0.45</v>
      </c>
      <c r="H72" s="124" t="s">
        <v>223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244</v>
      </c>
      <c r="B73" s="123" t="s">
        <v>245</v>
      </c>
      <c r="C73" s="124">
        <v>0.46</v>
      </c>
      <c r="D73" s="124" t="s">
        <v>246</v>
      </c>
      <c r="E73" s="124">
        <v>1.3</v>
      </c>
      <c r="F73" s="125" t="s">
        <v>109</v>
      </c>
      <c r="G73" s="126">
        <v>0.45</v>
      </c>
      <c r="H73" s="124" t="s">
        <v>223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247</v>
      </c>
      <c r="B74" s="123" t="s">
        <v>248</v>
      </c>
      <c r="C74" s="124">
        <v>0.34</v>
      </c>
      <c r="D74" s="124" t="s">
        <v>108</v>
      </c>
      <c r="E74" s="124">
        <v>1.3</v>
      </c>
      <c r="F74" s="125" t="s">
        <v>109</v>
      </c>
      <c r="G74" s="126">
        <v>0.45</v>
      </c>
      <c r="H74" s="124" t="s">
        <v>223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249</v>
      </c>
      <c r="B75" s="123" t="s">
        <v>250</v>
      </c>
      <c r="C75" s="124">
        <v>0.5</v>
      </c>
      <c r="D75" s="124" t="s">
        <v>108</v>
      </c>
      <c r="E75" s="124">
        <v>1.56</v>
      </c>
      <c r="F75" s="125" t="s">
        <v>109</v>
      </c>
      <c r="G75" s="126">
        <v>0.53</v>
      </c>
      <c r="H75" s="124" t="s">
        <v>166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251</v>
      </c>
      <c r="B76" s="123" t="s">
        <v>252</v>
      </c>
      <c r="C76" s="124">
        <v>0.57999999999999996</v>
      </c>
      <c r="D76" s="124" t="s">
        <v>108</v>
      </c>
      <c r="E76" s="124">
        <v>1.56</v>
      </c>
      <c r="F76" s="125" t="s">
        <v>109</v>
      </c>
      <c r="G76" s="126">
        <v>0.3</v>
      </c>
      <c r="H76" s="124" t="s">
        <v>253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254</v>
      </c>
      <c r="B77" s="123" t="s">
        <v>255</v>
      </c>
      <c r="C77" s="124">
        <v>0.37</v>
      </c>
      <c r="D77" s="124" t="s">
        <v>108</v>
      </c>
      <c r="E77" s="124">
        <v>1.3</v>
      </c>
      <c r="F77" s="125" t="s">
        <v>109</v>
      </c>
      <c r="G77" s="126">
        <v>0.55000000000000004</v>
      </c>
      <c r="H77" s="124" t="s">
        <v>135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256</v>
      </c>
      <c r="B78" s="123" t="s">
        <v>257</v>
      </c>
      <c r="C78" s="124">
        <v>0.37</v>
      </c>
      <c r="D78" s="124" t="s">
        <v>108</v>
      </c>
      <c r="E78" s="124">
        <v>1.3</v>
      </c>
      <c r="F78" s="125" t="s">
        <v>109</v>
      </c>
      <c r="G78" s="126">
        <v>0.55000000000000004</v>
      </c>
      <c r="H78" s="124" t="s">
        <v>135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258</v>
      </c>
      <c r="B79" s="123" t="s">
        <v>259</v>
      </c>
      <c r="C79" s="124">
        <v>0.38</v>
      </c>
      <c r="D79" s="124" t="s">
        <v>108</v>
      </c>
      <c r="E79" s="124">
        <v>1.3</v>
      </c>
      <c r="F79" s="125" t="s">
        <v>109</v>
      </c>
      <c r="G79" s="126">
        <v>0.55000000000000004</v>
      </c>
      <c r="H79" s="124" t="s">
        <v>125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260</v>
      </c>
      <c r="B80" s="123" t="s">
        <v>261</v>
      </c>
      <c r="C80" s="124">
        <v>0.36</v>
      </c>
      <c r="D80" s="124" t="s">
        <v>108</v>
      </c>
      <c r="E80" s="124">
        <v>1.3</v>
      </c>
      <c r="F80" s="125" t="s">
        <v>109</v>
      </c>
      <c r="G80" s="126">
        <v>0.55000000000000004</v>
      </c>
      <c r="H80" s="124" t="s">
        <v>125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262</v>
      </c>
      <c r="B81" s="123" t="s">
        <v>263</v>
      </c>
      <c r="C81" s="124">
        <v>0.37</v>
      </c>
      <c r="D81" s="124" t="s">
        <v>108</v>
      </c>
      <c r="E81" s="124">
        <v>1.56</v>
      </c>
      <c r="F81" s="125" t="s">
        <v>109</v>
      </c>
      <c r="G81" s="126">
        <v>0.43</v>
      </c>
      <c r="H81" s="124" t="s">
        <v>110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264</v>
      </c>
      <c r="B82" s="123" t="s">
        <v>265</v>
      </c>
      <c r="C82" s="124">
        <v>0.35</v>
      </c>
      <c r="D82" s="124" t="s">
        <v>266</v>
      </c>
      <c r="E82" s="124">
        <v>1.3</v>
      </c>
      <c r="F82" s="125" t="s">
        <v>109</v>
      </c>
      <c r="G82" s="126">
        <v>0.55000000000000004</v>
      </c>
      <c r="H82" s="124" t="s">
        <v>125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267</v>
      </c>
      <c r="B83" s="123" t="s">
        <v>268</v>
      </c>
      <c r="C83" s="124">
        <v>0.34</v>
      </c>
      <c r="D83" s="124" t="s">
        <v>108</v>
      </c>
      <c r="E83" s="124">
        <v>1.3</v>
      </c>
      <c r="F83" s="125" t="s">
        <v>109</v>
      </c>
      <c r="G83" s="126">
        <v>0.55000000000000004</v>
      </c>
      <c r="H83" s="124" t="s">
        <v>125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269</v>
      </c>
      <c r="B84" s="123" t="s">
        <v>270</v>
      </c>
      <c r="C84" s="124">
        <v>0.31</v>
      </c>
      <c r="D84" s="124" t="s">
        <v>108</v>
      </c>
      <c r="E84" s="124">
        <v>1.3</v>
      </c>
      <c r="F84" s="125" t="s">
        <v>109</v>
      </c>
      <c r="G84" s="126">
        <v>0.55000000000000004</v>
      </c>
      <c r="H84" s="124" t="s">
        <v>125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271</v>
      </c>
      <c r="B85" s="123" t="s">
        <v>272</v>
      </c>
      <c r="C85" s="124">
        <v>0.43</v>
      </c>
      <c r="D85" s="124" t="s">
        <v>108</v>
      </c>
      <c r="E85" s="124">
        <v>1.56</v>
      </c>
      <c r="F85" s="125" t="s">
        <v>109</v>
      </c>
      <c r="G85" s="126">
        <v>0.53</v>
      </c>
      <c r="H85" s="124" t="s">
        <v>166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273</v>
      </c>
      <c r="B86" s="123" t="s">
        <v>274</v>
      </c>
      <c r="C86" s="124">
        <v>0.38</v>
      </c>
      <c r="D86" s="124" t="s">
        <v>108</v>
      </c>
      <c r="E86" s="124">
        <v>1.56</v>
      </c>
      <c r="F86" s="125" t="s">
        <v>109</v>
      </c>
      <c r="G86" s="126">
        <v>0.6</v>
      </c>
      <c r="H86" s="124" t="s">
        <v>275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276</v>
      </c>
      <c r="B87" s="252" t="s">
        <v>277</v>
      </c>
      <c r="C87" s="253">
        <v>0.41</v>
      </c>
      <c r="D87" s="253" t="s">
        <v>278</v>
      </c>
      <c r="E87" s="253">
        <v>1.56</v>
      </c>
      <c r="F87" s="254" t="s">
        <v>109</v>
      </c>
      <c r="G87" s="255">
        <v>0.43</v>
      </c>
      <c r="H87" s="253" t="s">
        <v>110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68</v>
      </c>
      <c r="B88" s="130"/>
      <c r="C88" s="124">
        <v>0.42</v>
      </c>
      <c r="D88" s="124" t="s">
        <v>108</v>
      </c>
      <c r="E88" s="124">
        <v>1.3</v>
      </c>
      <c r="F88" s="125" t="s">
        <v>109</v>
      </c>
      <c r="G88" s="131"/>
      <c r="H88" s="130"/>
      <c r="I88" s="132"/>
    </row>
    <row r="89" spans="1:14" ht="15" thickBot="1" x14ac:dyDescent="0.35">
      <c r="A89" s="133" t="s">
        <v>279</v>
      </c>
      <c r="B89" s="134"/>
      <c r="C89" s="135">
        <v>0.56999999999999995</v>
      </c>
      <c r="D89" s="136" t="s">
        <v>108</v>
      </c>
      <c r="E89" s="135">
        <v>1.56</v>
      </c>
      <c r="F89" s="135" t="s">
        <v>109</v>
      </c>
      <c r="G89" s="134"/>
      <c r="H89" s="134"/>
      <c r="I89" s="137"/>
    </row>
    <row r="93" spans="1:14" x14ac:dyDescent="0.3">
      <c r="A93" s="122" t="s">
        <v>69</v>
      </c>
    </row>
    <row r="94" spans="1:14" x14ac:dyDescent="0.3">
      <c r="A94" s="122" t="s">
        <v>70</v>
      </c>
    </row>
    <row r="95" spans="1:14" x14ac:dyDescent="0.3">
      <c r="A95" s="122" t="s">
        <v>71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K16" sqref="H16:K1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2" t="s">
        <v>280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281</v>
      </c>
      <c r="B5" s="139" t="s">
        <v>282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283</v>
      </c>
      <c r="F5" s="140" t="s">
        <v>284</v>
      </c>
      <c r="G5" s="140" t="s">
        <v>285</v>
      </c>
      <c r="H5" s="141" t="s">
        <v>286</v>
      </c>
      <c r="I5" s="142" t="s">
        <v>287</v>
      </c>
      <c r="J5" s="143" t="s">
        <v>288</v>
      </c>
      <c r="K5" s="144" t="s">
        <v>289</v>
      </c>
      <c r="L5" s="84" t="s">
        <v>290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Chêne sessile</v>
      </c>
      <c r="B6" s="146">
        <f>'Données projet'!D9</f>
        <v>1.2555000000000001</v>
      </c>
      <c r="C6" s="147">
        <f ca="1">IF(OR('Données projet'!B9="",'Données projet'!C9="",'Données projet'!C9=0%),0,Calculateur!S3)</f>
        <v>399.15057697410413</v>
      </c>
      <c r="D6" s="147">
        <f>IF(OR('Données projet'!B9="",'Données projet'!C9="",'Données projet'!C9=0%),0,Calculateur!T3)</f>
        <v>182.37700638847298</v>
      </c>
      <c r="E6" s="147">
        <f ca="1">MIN(C6,D6)</f>
        <v>182.37700638847298</v>
      </c>
      <c r="F6" s="147">
        <f ca="1">E6*B6</f>
        <v>228.97433152072784</v>
      </c>
      <c r="G6" s="147">
        <f ca="1">F6*(100%-'Données projet'!$C$24)*(100%-'Données projet'!$C$25)*(100%-'Données projet'!$C$26)*(100%-'Données projet'!$C$27)</f>
        <v>175.16536361335679</v>
      </c>
      <c r="H6" s="148">
        <f>IF(OR('Données projet'!B9="",'Données projet'!C9="",'Données projet'!C9=0%),0,AVERAGE(Calculateur!$AC$3:$AC$33)*B6)</f>
        <v>0</v>
      </c>
      <c r="I6" s="149">
        <f>H6*(100%-'Données projet'!$C$24)*(100%-'Données projet'!$C$25)*(100%-'Données projet'!$C$26)*(100%-'Données projet'!$C$27)</f>
        <v>0</v>
      </c>
      <c r="J6" s="150">
        <f>IF(OR('Données projet'!B9="",'Données projet'!C9="",'Données projet'!C9=0%),0,SUM(Calculateur!$V$3:$V$33)*VLOOKUP('Données projet'!$B$9,Paramètres!$A$1:$I$89,9,0)*B6)</f>
        <v>0</v>
      </c>
      <c r="K6" s="151">
        <f>J6*(100%-'Données projet'!$C$24)*(100%-'Données projet'!$C$25)*(100%-'Données projet'!$C$26)*(100%-'Données projet'!$C$27)</f>
        <v>0</v>
      </c>
      <c r="L6" s="152">
        <f ca="1">G6+I6+K6</f>
        <v>175.16536361335679</v>
      </c>
      <c r="M6" s="23">
        <f t="shared" ref="M6:M10" ca="1" si="0">L6/B6</f>
        <v>139.51840988718183</v>
      </c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Chêne pubescent</v>
      </c>
      <c r="B7" s="154">
        <f>'Données projet'!D10</f>
        <v>3.384578997161778E-2</v>
      </c>
      <c r="C7" s="147">
        <f ca="1">IF(OR('Données projet'!B10="",'Données projet'!C10="",'Données projet'!C10=0%),0,Calculateur!AN3)</f>
        <v>463.77045964052894</v>
      </c>
      <c r="D7" s="147">
        <f>IF(OR('Données projet'!B10="",'Données projet'!C10="",'Données projet'!C10=0%),0,Calculateur!AO3)</f>
        <v>209.77146243694483</v>
      </c>
      <c r="E7" s="147">
        <f t="shared" ref="E7:E15" ca="1" si="1">MIN(C7,D7)</f>
        <v>209.77146243694483</v>
      </c>
      <c r="F7" s="147">
        <f t="shared" ref="F7:F15" ca="1" si="2">E7*B7</f>
        <v>7.099880859679943</v>
      </c>
      <c r="G7" s="147">
        <f ca="1">F7*(100%-'Données projet'!$C$24)*(100%-'Données projet'!$C$25)*(100%-'Données projet'!$C$26)*(100%-'Données projet'!$C$27)</f>
        <v>5.431408857655156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ca="1" si="3">G7+I7+K7</f>
        <v>5.431408857655156</v>
      </c>
      <c r="M7" s="23">
        <f t="shared" ca="1" si="0"/>
        <v>160.47516876426278</v>
      </c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Alisier torminal</v>
      </c>
      <c r="B8" s="154">
        <f>'Données projet'!D11</f>
        <v>2.7000000000000003E-2</v>
      </c>
      <c r="C8" s="147">
        <f ca="1">IF(OR('Données projet'!B11="",'Données projet'!C11="",'Données projet'!C11=0%),0,Calculateur!BI3)</f>
        <v>436.0942819360734</v>
      </c>
      <c r="D8" s="147">
        <f>IF(OR('Données projet'!B11="",'Données projet'!C11="",'Données projet'!C11=0%),0,Calculateur!BJ3)</f>
        <v>198.03942180876311</v>
      </c>
      <c r="E8" s="147">
        <f t="shared" ca="1" si="1"/>
        <v>198.03942180876311</v>
      </c>
      <c r="F8" s="147">
        <f t="shared" ca="1" si="2"/>
        <v>5.3470643888366043</v>
      </c>
      <c r="G8" s="147">
        <f ca="1">F8*(100%-'Données projet'!$C$24)*(100%-'Données projet'!$C$25)*(100%-'Données projet'!$C$26)*(100%-'Données projet'!$C$27)</f>
        <v>4.0905042574600028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ca="1" si="3"/>
        <v>4.0905042574600028</v>
      </c>
      <c r="M8" s="23">
        <f t="shared" ca="1" si="0"/>
        <v>151.50015768370378</v>
      </c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>Robinier faux-acacia</v>
      </c>
      <c r="B9" s="154">
        <f>'Données projet'!D12</f>
        <v>2.7000000000000003E-2</v>
      </c>
      <c r="C9" s="147">
        <f ca="1">IF(OR('Données projet'!B12="",'Données projet'!C12="",'Données projet'!C12=0%),0,Calculateur!CD3)</f>
        <v>183.99578440773581</v>
      </c>
      <c r="D9" s="147">
        <f>IF(OR('Données projet'!B12="",'Données projet'!C12="",'Données projet'!C12=0%),0,Calculateur!CE3)</f>
        <v>258.43295338669657</v>
      </c>
      <c r="E9" s="147">
        <f t="shared" ca="1" si="1"/>
        <v>183.99578440773581</v>
      </c>
      <c r="F9" s="147">
        <f t="shared" ca="1" si="2"/>
        <v>4.9678861790088673</v>
      </c>
      <c r="G9" s="147">
        <f ca="1">F9*(100%-'Données projet'!$C$24)*(100%-'Données projet'!$C$25)*(100%-'Données projet'!$C$26)*(100%-'Données projet'!$C$27)</f>
        <v>3.8004329269417836</v>
      </c>
      <c r="H9" s="155">
        <f>IF(OR('Données projet'!B12="",'Données projet'!C12="",'Données projet'!C12=0%),0,AVERAGE(Calculateur!$CN$3:$CN$33)*B9)</f>
        <v>9.4156847032482213E-2</v>
      </c>
      <c r="I9" s="149">
        <f>H9*(100%-'Données projet'!$C$24)*(100%-'Données projet'!$C$25)*(100%-'Données projet'!$C$26)*(100%-'Données projet'!$C$27)</f>
        <v>7.20299879798489E-2</v>
      </c>
      <c r="J9" s="150">
        <f>IF(OR('Données projet'!B12="",'Données projet'!C12="",'Données projet'!C12=0%),0,SUM(Calculateur!$CG$3:$CG$33)*VLOOKUP('Données projet'!$B$12,Paramètres!$A$1:$I$89,9,0)*B9)</f>
        <v>0.43269230769230782</v>
      </c>
      <c r="K9" s="151">
        <f>J9*(100%-'Données projet'!$C$24)*(100%-'Données projet'!$C$25)*(100%-'Données projet'!$C$26)*(100%-'Données projet'!$C$27)</f>
        <v>0.33100961538461549</v>
      </c>
      <c r="L9" s="152">
        <f t="shared" ca="1" si="3"/>
        <v>4.2034725303062475</v>
      </c>
      <c r="M9" s="23">
        <f t="shared" ca="1" si="0"/>
        <v>155.68416778912027</v>
      </c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1"/>
        <v>0</v>
      </c>
      <c r="F10" s="147">
        <f t="shared" si="2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3"/>
        <v>0</v>
      </c>
      <c r="M10" s="23" t="e">
        <f t="shared" si="0"/>
        <v>#DIV/0!</v>
      </c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1"/>
        <v>0</v>
      </c>
      <c r="F11" s="147">
        <f t="shared" si="2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3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1"/>
        <v>0</v>
      </c>
      <c r="F12" s="147">
        <f t="shared" si="2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3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1"/>
        <v>0</v>
      </c>
      <c r="F13" s="147">
        <f t="shared" si="2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3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1"/>
        <v>0</v>
      </c>
      <c r="F14" s="147">
        <f t="shared" si="2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3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1"/>
        <v>0</v>
      </c>
      <c r="F15" s="159">
        <f t="shared" si="2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3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4">SUM(F6:F15)</f>
        <v>246.38916294825327</v>
      </c>
      <c r="G16" s="166">
        <f t="shared" ca="1" si="4"/>
        <v>188.48770965541374</v>
      </c>
      <c r="H16" s="167">
        <f t="shared" si="4"/>
        <v>9.4156847032482213E-2</v>
      </c>
      <c r="I16" s="167">
        <f t="shared" si="4"/>
        <v>7.20299879798489E-2</v>
      </c>
      <c r="J16" s="168">
        <f t="shared" si="4"/>
        <v>0.43269230769230782</v>
      </c>
      <c r="K16" s="168">
        <f t="shared" si="4"/>
        <v>0.33100961538461549</v>
      </c>
      <c r="L16" s="169">
        <f t="shared" ca="1" si="4"/>
        <v>188.89074925877819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4" t="s">
        <v>291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Chêne sessile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Chêne pubescent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Alisier torminal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>Robinier faux-acacia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J6" zoomScale="80" zoomScaleNormal="80" workbookViewId="0">
      <selection activeCell="P15" sqref="P15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2" t="s">
        <v>292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2" t="s">
        <v>293</v>
      </c>
      <c r="I4" s="262"/>
      <c r="K4" s="286" t="s">
        <v>294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54</v>
      </c>
      <c r="O7" s="247"/>
      <c r="P7" s="248"/>
      <c r="Q7" s="249"/>
      <c r="R7" s="296" t="s">
        <v>295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296</v>
      </c>
      <c r="C9" s="23"/>
      <c r="D9" s="23"/>
      <c r="E9" s="23"/>
      <c r="F9" s="230"/>
      <c r="G9" s="93" t="s">
        <v>297</v>
      </c>
      <c r="J9" s="200"/>
      <c r="K9" s="208"/>
      <c r="O9" s="23"/>
      <c r="P9" s="23"/>
      <c r="Q9" s="234"/>
      <c r="R9" s="23"/>
      <c r="S9" s="4"/>
      <c r="T9" s="36" t="s">
        <v>298</v>
      </c>
      <c r="U9" s="176" t="s">
        <v>299</v>
      </c>
      <c r="V9" s="36" t="s">
        <v>300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301</v>
      </c>
      <c r="C10" s="23"/>
      <c r="D10" s="23"/>
      <c r="E10" s="23"/>
      <c r="F10" s="230"/>
      <c r="G10" s="93" t="s">
        <v>302</v>
      </c>
      <c r="J10" s="200"/>
      <c r="K10" s="208"/>
      <c r="O10" s="23"/>
      <c r="P10" s="23"/>
      <c r="Q10" s="234"/>
      <c r="R10" s="23"/>
      <c r="S10" s="36" t="str">
        <f>B14</f>
        <v>Chêne sessile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-6455.6018125757109</v>
      </c>
      <c r="U10" s="178">
        <f>'Données projet'!D9</f>
        <v>1.2555000000000001</v>
      </c>
      <c r="V10" s="177">
        <f>U10*T10</f>
        <v>-8105.0080756888055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303</v>
      </c>
      <c r="B11" s="23"/>
      <c r="C11" s="23"/>
      <c r="D11" s="23"/>
      <c r="E11" s="23"/>
      <c r="F11" s="230"/>
      <c r="G11" s="93" t="s">
        <v>304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pubescent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-6455.6018125757109</v>
      </c>
      <c r="U11" s="178">
        <f>'Données projet'!D10</f>
        <v>3.384578997161778E-2</v>
      </c>
      <c r="V11" s="177">
        <f t="shared" ref="V11" si="0">U11*T11</f>
        <v>-218.49494308883257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Alisier torminal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-7802.2354519154705</v>
      </c>
      <c r="U12" s="178">
        <f>'Données projet'!D11</f>
        <v>2.7000000000000003E-2</v>
      </c>
      <c r="V12" s="177">
        <f t="shared" ref="V12:V19" si="1">U12*T12</f>
        <v>-210.66035720171772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305</v>
      </c>
      <c r="M13" s="23"/>
      <c r="N13" s="23"/>
      <c r="O13" s="23"/>
      <c r="P13" s="23"/>
      <c r="Q13" s="234"/>
      <c r="R13" s="23"/>
      <c r="S13" s="36" t="str">
        <f>B107</f>
        <v>Robinier faux-acacia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-2248</v>
      </c>
      <c r="U13" s="178">
        <f>'Données projet'!D12</f>
        <v>2.7000000000000003E-2</v>
      </c>
      <c r="V13" s="177">
        <f t="shared" si="1"/>
        <v>-60.696000000000005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</v>
      </c>
      <c r="B14" s="174" t="str">
        <f>IF('Données projet'!$B$9="","",'Données projet'!$B$9)</f>
        <v>Chêne sessile</v>
      </c>
      <c r="C14" s="4"/>
      <c r="D14" s="4"/>
      <c r="E14" s="4"/>
      <c r="F14" s="230"/>
      <c r="G14" s="23"/>
      <c r="H14" s="36" t="s">
        <v>73</v>
      </c>
      <c r="I14" s="36" t="s">
        <v>306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289" t="s">
        <v>307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45</v>
      </c>
      <c r="B16" s="48" t="s">
        <v>308</v>
      </c>
      <c r="C16" s="48" t="s">
        <v>309</v>
      </c>
      <c r="D16" s="36" t="s">
        <v>310</v>
      </c>
      <c r="E16" s="36" t="s">
        <v>311</v>
      </c>
      <c r="F16" s="230"/>
      <c r="G16" s="289"/>
      <c r="H16" s="190"/>
      <c r="I16" s="191"/>
      <c r="J16" s="202"/>
      <c r="K16" s="208"/>
      <c r="L16" s="286" t="s">
        <v>312</v>
      </c>
      <c r="M16" s="287"/>
      <c r="N16" s="2">
        <v>60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194</v>
      </c>
      <c r="C17" s="198" t="s">
        <v>194</v>
      </c>
      <c r="D17" s="197" t="s">
        <v>194</v>
      </c>
      <c r="E17" s="193">
        <f>1600*(1.5+0.5+0.1)+600</f>
        <v>3960</v>
      </c>
      <c r="F17" s="230"/>
      <c r="G17" s="289"/>
      <c r="J17" s="202"/>
      <c r="K17" s="208"/>
      <c r="L17" s="259" t="s">
        <v>313</v>
      </c>
      <c r="M17" s="261"/>
      <c r="N17" s="175">
        <f>VLOOKUP(N16,Calculateur!$A$2:$H$153,3,0)/VLOOKUP('Scénario référence'!$G$15,Paramètres!A1:I89,3,0)/VLOOKUP('Scénario référence'!$G$15,Paramètres!A1:I89,5,0)</f>
        <v>59.999999999999922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194</v>
      </c>
      <c r="C18" s="198" t="s">
        <v>194</v>
      </c>
      <c r="D18" s="197" t="s">
        <v>194</v>
      </c>
      <c r="E18" s="193">
        <f>220+430</f>
        <v>650</v>
      </c>
      <c r="F18" s="230"/>
      <c r="G18" s="289"/>
      <c r="J18" s="202"/>
      <c r="K18" s="208"/>
      <c r="L18" s="259" t="s">
        <v>309</v>
      </c>
      <c r="M18" s="261"/>
      <c r="N18" s="192">
        <v>5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194</v>
      </c>
      <c r="C19" s="198" t="s">
        <v>194</v>
      </c>
      <c r="D19" s="197" t="s">
        <v>194</v>
      </c>
      <c r="E19" s="193">
        <f>400+430+15%*E17</f>
        <v>1424</v>
      </c>
      <c r="F19" s="230"/>
      <c r="G19" s="289"/>
      <c r="H19" s="212" t="s">
        <v>73</v>
      </c>
      <c r="I19" s="212" t="s">
        <v>314</v>
      </c>
      <c r="J19" s="93"/>
      <c r="K19" s="173"/>
      <c r="L19" s="286" t="s">
        <v>315</v>
      </c>
      <c r="M19" s="287"/>
      <c r="N19" s="179">
        <f>N17*N18</f>
        <v>299.9999999999996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194</v>
      </c>
      <c r="C20" s="198" t="s">
        <v>194</v>
      </c>
      <c r="D20" s="197" t="s">
        <v>194</v>
      </c>
      <c r="E20" s="193">
        <f>220+430</f>
        <v>650</v>
      </c>
      <c r="F20" s="230"/>
      <c r="G20" s="289"/>
      <c r="H20" s="190">
        <v>1</v>
      </c>
      <c r="I20" s="191">
        <f>20+(400/SUM(U10:U19)+20)+(200/SUM(U10:U19)+10)</f>
        <v>496.64598235177914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194</v>
      </c>
      <c r="C21" s="198" t="s">
        <v>194</v>
      </c>
      <c r="D21" s="197" t="s">
        <v>194</v>
      </c>
      <c r="E21" s="193"/>
      <c r="F21" s="230"/>
      <c r="H21" s="190">
        <v>2</v>
      </c>
      <c r="I21" s="191">
        <v>20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194</v>
      </c>
      <c r="C22" s="198" t="s">
        <v>194</v>
      </c>
      <c r="D22" s="197" t="s">
        <v>194</v>
      </c>
      <c r="E22" s="193"/>
      <c r="F22" s="230"/>
      <c r="H22" s="190">
        <v>3</v>
      </c>
      <c r="I22" s="191">
        <f>20+200/SUM(U10:U19)+10</f>
        <v>178.88199411725972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42</v>
      </c>
      <c r="B23" s="181">
        <f>'Données projet'!D36</f>
        <v>43.21</v>
      </c>
      <c r="C23" s="193"/>
      <c r="D23" s="182">
        <f>B23*C23</f>
        <v>0</v>
      </c>
      <c r="E23" s="193"/>
      <c r="F23" s="230"/>
      <c r="H23" s="190">
        <v>4</v>
      </c>
      <c r="I23" s="191">
        <v>20</v>
      </c>
      <c r="K23" s="208"/>
      <c r="L23" s="288" t="s">
        <v>316</v>
      </c>
      <c r="M23" s="288"/>
      <c r="N23" s="288"/>
      <c r="O23" s="23"/>
      <c r="P23" s="23"/>
      <c r="Q23" s="234"/>
      <c r="R23" s="23"/>
      <c r="S23" s="36" t="s">
        <v>317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-10476.972671995949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50</v>
      </c>
      <c r="B24" s="181">
        <f>'Données projet'!D37</f>
        <v>35.58</v>
      </c>
      <c r="C24" s="193"/>
      <c r="D24" s="182">
        <f t="shared" ref="D24:D42" si="2">B24*C24</f>
        <v>0</v>
      </c>
      <c r="E24" s="193"/>
      <c r="F24" s="233"/>
      <c r="H24" s="190">
        <v>5</v>
      </c>
      <c r="I24" s="2">
        <f>20+8%*(SUM(E17:E22)*U10+SUM(E$48:E53)*U11+SUM(E79:E84)*U12+SUM(E110:E115)*U13+SUM(E141:E146)*U14+SUM(E172:E177)*U15+SUM(E203:E208)*U16+SUM(E234:E239)*U17+SUM(E265:E270)*U18+SUM(E296:E301)*U19)/SUM(U10:U19)</f>
        <v>553.74366761425767</v>
      </c>
      <c r="K24" s="208"/>
      <c r="O24" s="23"/>
      <c r="P24" s="23"/>
      <c r="Q24" s="234"/>
      <c r="R24" s="23"/>
      <c r="S24" s="36" t="s">
        <v>318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28.872048353699604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58</v>
      </c>
      <c r="B25" s="181">
        <f>'Données projet'!D38</f>
        <v>44.93</v>
      </c>
      <c r="C25" s="193"/>
      <c r="D25" s="182">
        <f t="shared" si="2"/>
        <v>0</v>
      </c>
      <c r="E25" s="193"/>
      <c r="F25" s="233"/>
      <c r="H25" s="190">
        <v>6</v>
      </c>
      <c r="I25" s="191">
        <v>20</v>
      </c>
      <c r="K25" s="208"/>
      <c r="L25" s="130" t="s">
        <v>319</v>
      </c>
      <c r="M25" s="130"/>
      <c r="N25" s="130"/>
      <c r="O25" s="130"/>
      <c r="P25" s="192"/>
      <c r="Q25" s="234"/>
      <c r="R25" s="23"/>
      <c r="S25" s="186" t="s">
        <v>320</v>
      </c>
      <c r="T25" s="303">
        <f ca="1">T23-T24</f>
        <v>-10505.844720349649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66</v>
      </c>
      <c r="B26" s="181">
        <f>'Données projet'!D39</f>
        <v>49.91</v>
      </c>
      <c r="C26" s="193"/>
      <c r="D26" s="182">
        <f t="shared" si="2"/>
        <v>0</v>
      </c>
      <c r="E26" s="193"/>
      <c r="F26" s="233"/>
      <c r="G26" s="229"/>
      <c r="H26" s="190">
        <v>7</v>
      </c>
      <c r="I26" s="191">
        <v>20</v>
      </c>
      <c r="K26" s="208"/>
      <c r="L26" s="290" t="s">
        <v>321</v>
      </c>
      <c r="M26" s="291"/>
      <c r="N26" s="291"/>
      <c r="O26" s="291"/>
      <c r="P26" s="292"/>
      <c r="Q26" s="234"/>
      <c r="R26" s="23"/>
      <c r="S26" s="186" t="s">
        <v>322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74</v>
      </c>
      <c r="B27" s="181">
        <f>'Données projet'!D40</f>
        <v>47.4</v>
      </c>
      <c r="C27" s="193"/>
      <c r="D27" s="182">
        <f t="shared" si="2"/>
        <v>0</v>
      </c>
      <c r="E27" s="193"/>
      <c r="F27" s="233"/>
      <c r="G27" s="229"/>
      <c r="H27" s="190">
        <v>8</v>
      </c>
      <c r="I27" s="191">
        <v>20</v>
      </c>
      <c r="K27" s="208"/>
      <c r="L27" s="293"/>
      <c r="M27" s="294"/>
      <c r="N27" s="294"/>
      <c r="O27" s="294"/>
      <c r="P27" s="295"/>
      <c r="Q27" s="234"/>
      <c r="R27" s="23"/>
      <c r="S27" s="299" t="s">
        <v>323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84</v>
      </c>
      <c r="B28" s="181">
        <f>'Données projet'!D41</f>
        <v>61.47</v>
      </c>
      <c r="C28" s="193"/>
      <c r="D28" s="182">
        <f t="shared" si="2"/>
        <v>0</v>
      </c>
      <c r="E28" s="193"/>
      <c r="F28" s="233"/>
      <c r="G28" s="205"/>
      <c r="H28" s="190">
        <v>9</v>
      </c>
      <c r="I28" s="191">
        <v>20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94</v>
      </c>
      <c r="B29" s="181">
        <f>'Données projet'!D42</f>
        <v>61.85</v>
      </c>
      <c r="C29" s="193"/>
      <c r="D29" s="182">
        <f t="shared" si="2"/>
        <v>0</v>
      </c>
      <c r="E29" s="193"/>
      <c r="F29" s="233"/>
      <c r="G29" s="203"/>
      <c r="H29" s="190">
        <v>10</v>
      </c>
      <c r="I29" s="191">
        <v>20</v>
      </c>
      <c r="K29" s="208"/>
      <c r="O29" s="23"/>
      <c r="P29" s="23"/>
      <c r="Q29" s="234"/>
      <c r="R29" s="23"/>
      <c r="S29" s="1" t="s">
        <v>325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104</v>
      </c>
      <c r="B30" s="181">
        <f>'Données projet'!D43</f>
        <v>60.19</v>
      </c>
      <c r="C30" s="193"/>
      <c r="D30" s="182">
        <f t="shared" si="2"/>
        <v>0</v>
      </c>
      <c r="E30" s="193"/>
      <c r="F30" s="233"/>
      <c r="G30" s="203"/>
      <c r="H30" s="190">
        <v>11</v>
      </c>
      <c r="I30" s="191">
        <v>20</v>
      </c>
      <c r="K30" s="183"/>
      <c r="L30" s="36" t="s">
        <v>324</v>
      </c>
      <c r="M30" s="184">
        <f ca="1">SUM(OFFSET($P$33,0,0,MIN('Données projet'!$E$9:$E$18)+1,1))</f>
        <v>0</v>
      </c>
      <c r="O30" s="4"/>
      <c r="P30" s="4"/>
      <c r="Q30" s="235"/>
      <c r="R30" s="4"/>
      <c r="S30" s="1" t="s">
        <v>326</v>
      </c>
      <c r="U30" s="1">
        <f>SUM(E17:E22)*U10+SUM(E$48:E53)*U11+SUM(E79:E84)*U12+SUM(E110:E115)*U13+SUM(E141:E146)*U14+SUM(E172:E177)*U15+SUM(E203:E208)*U16+SUM(E234:E239)*U17+SUM(E265:E270)*U18+SUM(E296:E301)*U19</f>
        <v>8962.5288601702941</v>
      </c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114</v>
      </c>
      <c r="B31" s="181">
        <f>'Données projet'!D44</f>
        <v>56.07</v>
      </c>
      <c r="C31" s="193"/>
      <c r="D31" s="182">
        <f t="shared" si="2"/>
        <v>0</v>
      </c>
      <c r="E31" s="193"/>
      <c r="F31" s="233"/>
      <c r="G31" s="203"/>
      <c r="H31" s="190">
        <v>12</v>
      </c>
      <c r="I31" s="191">
        <v>20</v>
      </c>
      <c r="K31" s="173"/>
      <c r="Q31" s="234"/>
      <c r="R31" s="23"/>
      <c r="S31" s="1" t="s">
        <v>327</v>
      </c>
      <c r="U31" s="1">
        <f>SUM(I19:I23)*SUM(U10:U19)</f>
        <v>961.20149479659415</v>
      </c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124</v>
      </c>
      <c r="B32" s="181">
        <f>'Données projet'!D45</f>
        <v>52.53</v>
      </c>
      <c r="C32" s="193"/>
      <c r="D32" s="182">
        <f t="shared" si="2"/>
        <v>0</v>
      </c>
      <c r="E32" s="193"/>
      <c r="F32" s="233"/>
      <c r="G32" s="203"/>
      <c r="H32" s="190">
        <v>13</v>
      </c>
      <c r="I32" s="191">
        <v>20</v>
      </c>
      <c r="K32" s="173"/>
      <c r="N32" s="4"/>
      <c r="O32" s="85" t="s">
        <v>73</v>
      </c>
      <c r="P32" s="85" t="s">
        <v>310</v>
      </c>
      <c r="Q32" s="234"/>
      <c r="R32" s="23"/>
      <c r="S32" s="1" t="s">
        <v>328</v>
      </c>
      <c r="U32" s="1">
        <v>1500</v>
      </c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134</v>
      </c>
      <c r="B33" s="181">
        <f>'Données projet'!D46</f>
        <v>54.95</v>
      </c>
      <c r="C33" s="193"/>
      <c r="D33" s="182">
        <f t="shared" si="2"/>
        <v>0</v>
      </c>
      <c r="E33" s="193"/>
      <c r="F33" s="233"/>
      <c r="G33" s="203"/>
      <c r="H33" s="190">
        <v>14</v>
      </c>
      <c r="I33" s="191">
        <v>20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S33" s="1" t="s">
        <v>27</v>
      </c>
      <c r="U33" s="1">
        <f>SUM(U30:U32)</f>
        <v>11423.730354966889</v>
      </c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144</v>
      </c>
      <c r="B34" s="181">
        <f>'Données projet'!D47</f>
        <v>56.01</v>
      </c>
      <c r="C34" s="193"/>
      <c r="D34" s="182">
        <f t="shared" si="2"/>
        <v>0</v>
      </c>
      <c r="E34" s="193"/>
      <c r="F34" s="233"/>
      <c r="G34" s="203"/>
      <c r="H34" s="190">
        <v>15</v>
      </c>
      <c r="I34" s="191">
        <v>20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154</v>
      </c>
      <c r="B35" s="181">
        <f>'Données projet'!D48</f>
        <v>55.13</v>
      </c>
      <c r="C35" s="193"/>
      <c r="D35" s="182">
        <f t="shared" si="2"/>
        <v>0</v>
      </c>
      <c r="E35" s="193"/>
      <c r="F35" s="233"/>
      <c r="G35" s="203"/>
      <c r="H35" s="190">
        <v>16</v>
      </c>
      <c r="I35" s="191">
        <v>20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164</v>
      </c>
      <c r="B36" s="181">
        <f>'Données projet'!D49</f>
        <v>59.58</v>
      </c>
      <c r="C36" s="193"/>
      <c r="D36" s="182">
        <f t="shared" si="2"/>
        <v>0</v>
      </c>
      <c r="E36" s="193"/>
      <c r="F36" s="233"/>
      <c r="G36" s="203"/>
      <c r="H36" s="190">
        <v>17</v>
      </c>
      <c r="I36" s="191">
        <v>20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174</v>
      </c>
      <c r="B37" s="181">
        <f>'Données projet'!D50</f>
        <v>214.77</v>
      </c>
      <c r="C37" s="193"/>
      <c r="D37" s="182">
        <f t="shared" si="2"/>
        <v>0</v>
      </c>
      <c r="E37" s="193"/>
      <c r="F37" s="233"/>
      <c r="G37" s="203"/>
      <c r="H37" s="190">
        <v>18</v>
      </c>
      <c r="I37" s="191">
        <v>20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177</v>
      </c>
      <c r="B38" s="181">
        <f>'Données projet'!D51</f>
        <v>115.19</v>
      </c>
      <c r="C38" s="193"/>
      <c r="D38" s="182">
        <f t="shared" si="2"/>
        <v>0</v>
      </c>
      <c r="E38" s="193"/>
      <c r="F38" s="233"/>
      <c r="G38" s="203"/>
      <c r="H38" s="190">
        <v>19</v>
      </c>
      <c r="I38" s="191">
        <v>20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180</v>
      </c>
      <c r="B39" s="181">
        <f>'Données projet'!D52</f>
        <v>77.72</v>
      </c>
      <c r="C39" s="193"/>
      <c r="D39" s="182">
        <f t="shared" si="2"/>
        <v>0</v>
      </c>
      <c r="E39" s="193"/>
      <c r="F39" s="233"/>
      <c r="G39" s="203"/>
      <c r="H39" s="190">
        <v>20</v>
      </c>
      <c r="I39" s="191">
        <v>20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183</v>
      </c>
      <c r="B40" s="181">
        <f>'Données projet'!D53</f>
        <v>169.76</v>
      </c>
      <c r="C40" s="193"/>
      <c r="D40" s="182">
        <f t="shared" si="2"/>
        <v>0</v>
      </c>
      <c r="E40" s="193"/>
      <c r="F40" s="233"/>
      <c r="G40" s="203"/>
      <c r="H40" s="190">
        <v>21</v>
      </c>
      <c r="I40" s="191">
        <v>20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22</v>
      </c>
      <c r="I41" s="191">
        <v>20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23</v>
      </c>
      <c r="I42" s="191">
        <v>20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>
        <v>24</v>
      </c>
      <c r="I43" s="191">
        <v>20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>
        <v>25</v>
      </c>
      <c r="I44" s="191">
        <v>20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18</v>
      </c>
      <c r="B45" s="174" t="str">
        <f>IF('Données projet'!$B$10="","",'Données projet'!$B$10)</f>
        <v>Chêne pubescent</v>
      </c>
      <c r="C45" s="4"/>
      <c r="D45" s="4"/>
      <c r="E45" s="4"/>
      <c r="F45" s="230"/>
      <c r="G45" s="203"/>
      <c r="H45" s="190">
        <v>26</v>
      </c>
      <c r="I45" s="191">
        <v>20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>
        <v>27</v>
      </c>
      <c r="I46" s="191">
        <v>20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45</v>
      </c>
      <c r="B47" s="48" t="s">
        <v>308</v>
      </c>
      <c r="C47" s="48" t="s">
        <v>309</v>
      </c>
      <c r="D47" s="36" t="s">
        <v>310</v>
      </c>
      <c r="E47" s="36" t="s">
        <v>311</v>
      </c>
      <c r="F47" s="231"/>
      <c r="G47" s="203"/>
      <c r="H47" s="190">
        <v>28</v>
      </c>
      <c r="I47" s="191">
        <v>20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194</v>
      </c>
      <c r="C48" s="198" t="s">
        <v>194</v>
      </c>
      <c r="D48" s="197" t="s">
        <v>194</v>
      </c>
      <c r="E48" s="193">
        <f>1600*(1.5+0.5+0.1)+600</f>
        <v>3960</v>
      </c>
      <c r="F48" s="231"/>
      <c r="G48" s="203"/>
      <c r="H48" s="190">
        <v>29</v>
      </c>
      <c r="I48" s="191">
        <v>20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194</v>
      </c>
      <c r="C49" s="198" t="s">
        <v>194</v>
      </c>
      <c r="D49" s="197" t="s">
        <v>194</v>
      </c>
      <c r="E49" s="193">
        <f>220+430</f>
        <v>650</v>
      </c>
      <c r="F49" s="231"/>
      <c r="G49" s="204"/>
      <c r="H49" s="190">
        <v>30</v>
      </c>
      <c r="I49" s="191">
        <v>20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194</v>
      </c>
      <c r="C50" s="198" t="s">
        <v>194</v>
      </c>
      <c r="D50" s="197" t="s">
        <v>194</v>
      </c>
      <c r="E50" s="193">
        <f>400+430+15%*E48</f>
        <v>1424</v>
      </c>
      <c r="F50" s="231"/>
      <c r="G50" s="23"/>
      <c r="H50" s="190">
        <v>31</v>
      </c>
      <c r="I50" s="191">
        <v>20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194</v>
      </c>
      <c r="C51" s="198" t="s">
        <v>194</v>
      </c>
      <c r="D51" s="197" t="s">
        <v>194</v>
      </c>
      <c r="E51" s="193">
        <f>220+430</f>
        <v>650</v>
      </c>
      <c r="F51" s="231"/>
      <c r="G51" s="23"/>
      <c r="H51" s="190">
        <v>32</v>
      </c>
      <c r="I51" s="191">
        <v>20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194</v>
      </c>
      <c r="C52" s="198" t="s">
        <v>194</v>
      </c>
      <c r="D52" s="197" t="s">
        <v>194</v>
      </c>
      <c r="E52" s="193"/>
      <c r="F52" s="231"/>
      <c r="G52" s="23"/>
      <c r="H52" s="190">
        <v>33</v>
      </c>
      <c r="I52" s="191">
        <v>20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194</v>
      </c>
      <c r="C53" s="198" t="s">
        <v>194</v>
      </c>
      <c r="D53" s="197" t="s">
        <v>194</v>
      </c>
      <c r="E53" s="193"/>
      <c r="F53" s="231"/>
      <c r="G53" s="205"/>
      <c r="H53" s="190">
        <v>34</v>
      </c>
      <c r="I53" s="191">
        <v>20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42</v>
      </c>
      <c r="B54" s="181">
        <f>'Données projet'!D62</f>
        <v>43.21</v>
      </c>
      <c r="C54" s="191"/>
      <c r="D54" s="179">
        <f>B54*C54</f>
        <v>0</v>
      </c>
      <c r="E54" s="193"/>
      <c r="F54" s="232"/>
      <c r="G54" s="205"/>
      <c r="H54" s="190">
        <v>35</v>
      </c>
      <c r="I54" s="191">
        <v>20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50</v>
      </c>
      <c r="B55" s="181">
        <f>'Données projet'!D63</f>
        <v>35.58</v>
      </c>
      <c r="C55" s="191"/>
      <c r="D55" s="179">
        <f t="shared" ref="D55:D73" si="4">B55*C55</f>
        <v>0</v>
      </c>
      <c r="E55" s="193"/>
      <c r="F55" s="232"/>
      <c r="G55" s="205"/>
      <c r="H55" s="190">
        <v>36</v>
      </c>
      <c r="I55" s="191">
        <v>20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58</v>
      </c>
      <c r="B56" s="181">
        <f>'Données projet'!D64</f>
        <v>44.93</v>
      </c>
      <c r="C56" s="191"/>
      <c r="D56" s="179">
        <f t="shared" si="4"/>
        <v>0</v>
      </c>
      <c r="E56" s="193"/>
      <c r="F56" s="232"/>
      <c r="G56" s="205"/>
      <c r="H56" s="190">
        <v>37</v>
      </c>
      <c r="I56" s="191">
        <v>20</v>
      </c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66</v>
      </c>
      <c r="B57" s="181">
        <f>'Données projet'!D65</f>
        <v>49.91</v>
      </c>
      <c r="C57" s="191"/>
      <c r="D57" s="179">
        <f t="shared" si="4"/>
        <v>0</v>
      </c>
      <c r="E57" s="193"/>
      <c r="F57" s="232"/>
      <c r="G57" s="205"/>
      <c r="H57" s="190">
        <v>38</v>
      </c>
      <c r="I57" s="191">
        <v>20</v>
      </c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74</v>
      </c>
      <c r="B58" s="181">
        <f>'Données projet'!D66</f>
        <v>47.4</v>
      </c>
      <c r="C58" s="191"/>
      <c r="D58" s="179">
        <f t="shared" si="4"/>
        <v>0</v>
      </c>
      <c r="E58" s="193"/>
      <c r="F58" s="232"/>
      <c r="G58" s="205"/>
      <c r="H58" s="190">
        <v>39</v>
      </c>
      <c r="I58" s="191">
        <v>20</v>
      </c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84</v>
      </c>
      <c r="B59" s="181">
        <f>'Données projet'!D67</f>
        <v>61.47</v>
      </c>
      <c r="C59" s="191"/>
      <c r="D59" s="179">
        <f t="shared" si="4"/>
        <v>0</v>
      </c>
      <c r="E59" s="193"/>
      <c r="F59" s="232"/>
      <c r="G59" s="205"/>
      <c r="H59" s="190">
        <v>40</v>
      </c>
      <c r="I59" s="191">
        <v>20</v>
      </c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94</v>
      </c>
      <c r="B60" s="181">
        <f>'Données projet'!D68</f>
        <v>61.85</v>
      </c>
      <c r="C60" s="191"/>
      <c r="D60" s="179">
        <f t="shared" si="4"/>
        <v>0</v>
      </c>
      <c r="E60" s="193"/>
      <c r="F60" s="232"/>
      <c r="G60" s="206"/>
      <c r="H60" s="190">
        <v>41</v>
      </c>
      <c r="I60" s="191">
        <v>20</v>
      </c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104</v>
      </c>
      <c r="B61" s="181">
        <f>'Données projet'!D69</f>
        <v>60.19</v>
      </c>
      <c r="C61" s="191"/>
      <c r="D61" s="179">
        <f t="shared" si="4"/>
        <v>0</v>
      </c>
      <c r="E61" s="193"/>
      <c r="F61" s="232"/>
      <c r="G61" s="206"/>
      <c r="H61" s="190">
        <v>42</v>
      </c>
      <c r="I61" s="191">
        <v>20</v>
      </c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114</v>
      </c>
      <c r="B62" s="181">
        <f>'Données projet'!D70</f>
        <v>56.07</v>
      </c>
      <c r="C62" s="191"/>
      <c r="D62" s="179">
        <f t="shared" si="4"/>
        <v>0</v>
      </c>
      <c r="E62" s="193"/>
      <c r="F62" s="232"/>
      <c r="G62" s="206"/>
      <c r="H62" s="190">
        <v>43</v>
      </c>
      <c r="I62" s="191">
        <v>20</v>
      </c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124</v>
      </c>
      <c r="B63" s="181">
        <f>'Données projet'!D71</f>
        <v>52.53</v>
      </c>
      <c r="C63" s="191"/>
      <c r="D63" s="179">
        <f t="shared" si="4"/>
        <v>0</v>
      </c>
      <c r="E63" s="193"/>
      <c r="F63" s="232"/>
      <c r="G63" s="206"/>
      <c r="H63" s="190">
        <v>44</v>
      </c>
      <c r="I63" s="191">
        <v>20</v>
      </c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134</v>
      </c>
      <c r="B64" s="181">
        <f>'Données projet'!D72</f>
        <v>54.95</v>
      </c>
      <c r="C64" s="191"/>
      <c r="D64" s="179">
        <f t="shared" si="4"/>
        <v>0</v>
      </c>
      <c r="E64" s="193"/>
      <c r="F64" s="232"/>
      <c r="G64" s="206"/>
      <c r="H64" s="190">
        <v>45</v>
      </c>
      <c r="I64" s="191">
        <v>20</v>
      </c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144</v>
      </c>
      <c r="B65" s="181">
        <f>'Données projet'!D73</f>
        <v>56.01</v>
      </c>
      <c r="C65" s="191"/>
      <c r="D65" s="179">
        <f t="shared" si="4"/>
        <v>0</v>
      </c>
      <c r="E65" s="193"/>
      <c r="F65" s="232"/>
      <c r="G65" s="206"/>
      <c r="H65" s="190">
        <v>46</v>
      </c>
      <c r="I65" s="191">
        <v>20</v>
      </c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154</v>
      </c>
      <c r="B66" s="181">
        <f>'Données projet'!D74</f>
        <v>55.13</v>
      </c>
      <c r="C66" s="191"/>
      <c r="D66" s="179">
        <f t="shared" si="4"/>
        <v>0</v>
      </c>
      <c r="E66" s="193"/>
      <c r="F66" s="232"/>
      <c r="G66" s="206"/>
      <c r="H66" s="190">
        <v>47</v>
      </c>
      <c r="I66" s="191">
        <v>20</v>
      </c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164</v>
      </c>
      <c r="B67" s="181">
        <f>'Données projet'!D75</f>
        <v>59.58</v>
      </c>
      <c r="C67" s="191"/>
      <c r="D67" s="179">
        <f t="shared" si="4"/>
        <v>0</v>
      </c>
      <c r="E67" s="193"/>
      <c r="F67" s="232"/>
      <c r="G67" s="206"/>
      <c r="H67" s="190">
        <v>48</v>
      </c>
      <c r="I67" s="191">
        <v>20</v>
      </c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174</v>
      </c>
      <c r="B68" s="181">
        <f>'Données projet'!D76</f>
        <v>214.77</v>
      </c>
      <c r="C68" s="191"/>
      <c r="D68" s="179">
        <f t="shared" si="4"/>
        <v>0</v>
      </c>
      <c r="E68" s="193"/>
      <c r="F68" s="232"/>
      <c r="G68" s="206"/>
      <c r="H68" s="190">
        <v>49</v>
      </c>
      <c r="I68" s="191">
        <v>20</v>
      </c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177</v>
      </c>
      <c r="B69" s="181">
        <f>'Données projet'!D77</f>
        <v>115.19</v>
      </c>
      <c r="C69" s="191"/>
      <c r="D69" s="179">
        <f t="shared" si="4"/>
        <v>0</v>
      </c>
      <c r="E69" s="193"/>
      <c r="F69" s="232"/>
      <c r="G69" s="206"/>
      <c r="H69" s="190">
        <v>50</v>
      </c>
      <c r="I69" s="191">
        <v>20</v>
      </c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180</v>
      </c>
      <c r="B70" s="181">
        <f>'Données projet'!D78</f>
        <v>77.72</v>
      </c>
      <c r="C70" s="191"/>
      <c r="D70" s="179">
        <f t="shared" si="4"/>
        <v>0</v>
      </c>
      <c r="E70" s="193"/>
      <c r="F70" s="232"/>
      <c r="G70" s="206"/>
      <c r="H70" s="190">
        <v>51</v>
      </c>
      <c r="I70" s="191">
        <v>20</v>
      </c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183</v>
      </c>
      <c r="B71" s="181">
        <f>'Données projet'!D79</f>
        <v>169.76</v>
      </c>
      <c r="C71" s="191"/>
      <c r="D71" s="179">
        <f t="shared" si="4"/>
        <v>0</v>
      </c>
      <c r="E71" s="193"/>
      <c r="F71" s="232"/>
      <c r="G71" s="206"/>
      <c r="H71" s="190">
        <v>52</v>
      </c>
      <c r="I71" s="191">
        <v>20</v>
      </c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>
        <v>53</v>
      </c>
      <c r="I72" s="191">
        <v>20</v>
      </c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>
        <v>54</v>
      </c>
      <c r="I73" s="191">
        <v>20</v>
      </c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>
        <v>55</v>
      </c>
      <c r="I74" s="191">
        <v>20</v>
      </c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>
        <v>56</v>
      </c>
      <c r="I75" s="191">
        <v>20</v>
      </c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19</v>
      </c>
      <c r="B76" s="174" t="str">
        <f>IF('Données projet'!B11="","",'Données projet'!B11)</f>
        <v>Alisier torminal</v>
      </c>
      <c r="C76" s="4"/>
      <c r="D76" s="4"/>
      <c r="E76" s="4"/>
      <c r="F76" s="230"/>
      <c r="G76" s="206"/>
      <c r="H76" s="190">
        <v>57</v>
      </c>
      <c r="I76" s="191">
        <v>20</v>
      </c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>
        <v>58</v>
      </c>
      <c r="I77" s="191">
        <v>20</v>
      </c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45</v>
      </c>
      <c r="B78" s="48" t="s">
        <v>308</v>
      </c>
      <c r="C78" s="48" t="s">
        <v>309</v>
      </c>
      <c r="D78" s="36" t="s">
        <v>310</v>
      </c>
      <c r="E78" s="36" t="s">
        <v>311</v>
      </c>
      <c r="F78" s="231"/>
      <c r="G78" s="206"/>
      <c r="H78" s="190">
        <v>59</v>
      </c>
      <c r="I78" s="191">
        <v>20</v>
      </c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194</v>
      </c>
      <c r="C79" s="198" t="s">
        <v>194</v>
      </c>
      <c r="D79" s="197" t="s">
        <v>194</v>
      </c>
      <c r="E79" s="193">
        <f>1600*(2.24+0.5+0.1)+600</f>
        <v>5144.0000000000009</v>
      </c>
      <c r="F79" s="231"/>
      <c r="G79" s="206"/>
      <c r="H79" s="190">
        <v>60</v>
      </c>
      <c r="I79" s="191">
        <v>20</v>
      </c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194</v>
      </c>
      <c r="C80" s="198" t="s">
        <v>194</v>
      </c>
      <c r="D80" s="197" t="s">
        <v>194</v>
      </c>
      <c r="E80" s="193">
        <f>220+430</f>
        <v>650</v>
      </c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194</v>
      </c>
      <c r="C81" s="198" t="s">
        <v>194</v>
      </c>
      <c r="D81" s="197" t="s">
        <v>194</v>
      </c>
      <c r="E81" s="193">
        <f>400+430+15%*E79</f>
        <v>1601.6000000000001</v>
      </c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194</v>
      </c>
      <c r="C82" s="198" t="s">
        <v>194</v>
      </c>
      <c r="D82" s="197" t="s">
        <v>194</v>
      </c>
      <c r="E82" s="193">
        <f>220+430</f>
        <v>650</v>
      </c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194</v>
      </c>
      <c r="C83" s="198" t="s">
        <v>194</v>
      </c>
      <c r="D83" s="197" t="s">
        <v>194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194</v>
      </c>
      <c r="C84" s="198" t="s">
        <v>194</v>
      </c>
      <c r="D84" s="197" t="s">
        <v>194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42</v>
      </c>
      <c r="B85" s="181">
        <f>'Données projet'!D88</f>
        <v>43.21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50</v>
      </c>
      <c r="B86" s="181">
        <f>'Données projet'!D89</f>
        <v>35.58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58</v>
      </c>
      <c r="B87" s="181">
        <f>'Données projet'!D90</f>
        <v>44.93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66</v>
      </c>
      <c r="B88" s="181">
        <f>'Données projet'!D91</f>
        <v>49.91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74</v>
      </c>
      <c r="B89" s="181">
        <f>'Données projet'!D92</f>
        <v>47.4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84</v>
      </c>
      <c r="B90" s="181">
        <f>'Données projet'!D93</f>
        <v>61.47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94</v>
      </c>
      <c r="B91" s="181">
        <f>'Données projet'!D94</f>
        <v>61.85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104</v>
      </c>
      <c r="B92" s="181">
        <f>'Données projet'!D95</f>
        <v>60.19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114</v>
      </c>
      <c r="B93" s="181">
        <f>'Données projet'!D96</f>
        <v>56.07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124</v>
      </c>
      <c r="B94" s="181">
        <f>'Données projet'!D97</f>
        <v>52.53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134</v>
      </c>
      <c r="B95" s="181">
        <f>'Données projet'!D98</f>
        <v>54.95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144</v>
      </c>
      <c r="B96" s="181">
        <f>'Données projet'!D99</f>
        <v>56.01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154</v>
      </c>
      <c r="B97" s="181">
        <f>'Données projet'!D100</f>
        <v>55.13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164</v>
      </c>
      <c r="B98" s="181">
        <f>'Données projet'!D101</f>
        <v>59.58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174</v>
      </c>
      <c r="B99" s="181">
        <f>'Données projet'!D102</f>
        <v>214.77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177</v>
      </c>
      <c r="B100" s="181">
        <f>'Données projet'!D103</f>
        <v>115.19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180</v>
      </c>
      <c r="B101" s="181">
        <f>'Données projet'!D104</f>
        <v>77.72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183</v>
      </c>
      <c r="B102" s="181">
        <f>'Données projet'!D105</f>
        <v>169.76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20</v>
      </c>
      <c r="B107" s="174" t="str">
        <f>IF('Données projet'!B12="","",'Données projet'!B12)</f>
        <v>Robinier faux-acacia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45</v>
      </c>
      <c r="B109" s="48" t="s">
        <v>308</v>
      </c>
      <c r="C109" s="48" t="s">
        <v>309</v>
      </c>
      <c r="D109" s="36" t="s">
        <v>310</v>
      </c>
      <c r="E109" s="36" t="s">
        <v>311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194</v>
      </c>
      <c r="C110" s="198" t="s">
        <v>194</v>
      </c>
      <c r="D110" s="197" t="s">
        <v>194</v>
      </c>
      <c r="E110" s="193">
        <f>1600*(0.43+0.5+0.1)+600</f>
        <v>2248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194</v>
      </c>
      <c r="C111" s="198" t="s">
        <v>194</v>
      </c>
      <c r="D111" s="197" t="s">
        <v>194</v>
      </c>
      <c r="E111" s="193">
        <f>220+430</f>
        <v>650</v>
      </c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194</v>
      </c>
      <c r="C112" s="198" t="s">
        <v>194</v>
      </c>
      <c r="D112" s="197" t="s">
        <v>194</v>
      </c>
      <c r="E112" s="193">
        <f>400+430+15%*E110</f>
        <v>1167.2</v>
      </c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194</v>
      </c>
      <c r="C113" s="198" t="s">
        <v>194</v>
      </c>
      <c r="D113" s="197" t="s">
        <v>194</v>
      </c>
      <c r="E113" s="193">
        <f>220+430</f>
        <v>650</v>
      </c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194</v>
      </c>
      <c r="C114" s="198" t="s">
        <v>194</v>
      </c>
      <c r="D114" s="197" t="s">
        <v>194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194</v>
      </c>
      <c r="C115" s="198" t="s">
        <v>194</v>
      </c>
      <c r="D115" s="197" t="s">
        <v>194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5</v>
      </c>
      <c r="B116" s="181">
        <f>'Données projet'!D114</f>
        <v>3.8461538461538458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10</v>
      </c>
      <c r="B117" s="181">
        <f>'Données projet'!D115</f>
        <v>17.948717948717949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15</v>
      </c>
      <c r="B118" s="181">
        <f>'Données projet'!D116</f>
        <v>14.743589743589743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20</v>
      </c>
      <c r="B119" s="181">
        <f>'Données projet'!D117</f>
        <v>11.538461538461538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25</v>
      </c>
      <c r="B120" s="181">
        <f>'Données projet'!D118</f>
        <v>8.9743589743589745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30</v>
      </c>
      <c r="B121" s="181">
        <f>'Données projet'!D119</f>
        <v>7.0512820512820511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35</v>
      </c>
      <c r="B122" s="181">
        <f>'Données projet'!D120</f>
        <v>5.7692307692307692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40</v>
      </c>
      <c r="B123" s="181">
        <f>'Données projet'!D121</f>
        <v>4.4871794871794872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45</v>
      </c>
      <c r="B124" s="181">
        <f>'Données projet'!D122</f>
        <v>200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21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45</v>
      </c>
      <c r="B140" s="48" t="s">
        <v>308</v>
      </c>
      <c r="C140" s="48" t="s">
        <v>309</v>
      </c>
      <c r="D140" s="36" t="s">
        <v>310</v>
      </c>
      <c r="E140" s="36" t="s">
        <v>311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194</v>
      </c>
      <c r="C141" s="198" t="s">
        <v>194</v>
      </c>
      <c r="D141" s="197" t="s">
        <v>194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194</v>
      </c>
      <c r="C142" s="198" t="s">
        <v>194</v>
      </c>
      <c r="D142" s="197" t="s">
        <v>194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194</v>
      </c>
      <c r="C143" s="198" t="s">
        <v>194</v>
      </c>
      <c r="D143" s="197" t="s">
        <v>194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194</v>
      </c>
      <c r="C144" s="198" t="s">
        <v>194</v>
      </c>
      <c r="D144" s="197" t="s">
        <v>194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194</v>
      </c>
      <c r="C145" s="198" t="s">
        <v>194</v>
      </c>
      <c r="D145" s="197" t="s">
        <v>194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194</v>
      </c>
      <c r="C146" s="198" t="s">
        <v>194</v>
      </c>
      <c r="D146" s="197" t="s">
        <v>194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22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45</v>
      </c>
      <c r="B171" s="48" t="s">
        <v>308</v>
      </c>
      <c r="C171" s="48" t="s">
        <v>309</v>
      </c>
      <c r="D171" s="36" t="s">
        <v>310</v>
      </c>
      <c r="E171" s="36" t="s">
        <v>311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194</v>
      </c>
      <c r="C172" s="198" t="s">
        <v>194</v>
      </c>
      <c r="D172" s="197" t="s">
        <v>194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194</v>
      </c>
      <c r="C173" s="198" t="s">
        <v>194</v>
      </c>
      <c r="D173" s="197" t="s">
        <v>194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194</v>
      </c>
      <c r="C174" s="198" t="s">
        <v>194</v>
      </c>
      <c r="D174" s="197" t="s">
        <v>194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194</v>
      </c>
      <c r="C175" s="198" t="s">
        <v>194</v>
      </c>
      <c r="D175" s="197" t="s">
        <v>194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194</v>
      </c>
      <c r="C176" s="198" t="s">
        <v>194</v>
      </c>
      <c r="D176" s="197" t="s">
        <v>194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194</v>
      </c>
      <c r="C177" s="198" t="s">
        <v>194</v>
      </c>
      <c r="D177" s="197" t="s">
        <v>194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23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45</v>
      </c>
      <c r="B202" s="48" t="s">
        <v>308</v>
      </c>
      <c r="C202" s="48" t="s">
        <v>309</v>
      </c>
      <c r="D202" s="36" t="s">
        <v>310</v>
      </c>
      <c r="E202" s="36" t="s">
        <v>311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194</v>
      </c>
      <c r="C203" s="198" t="s">
        <v>194</v>
      </c>
      <c r="D203" s="197" t="s">
        <v>194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194</v>
      </c>
      <c r="C204" s="198" t="s">
        <v>194</v>
      </c>
      <c r="D204" s="197" t="s">
        <v>194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194</v>
      </c>
      <c r="C205" s="198" t="s">
        <v>194</v>
      </c>
      <c r="D205" s="197" t="s">
        <v>194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194</v>
      </c>
      <c r="C206" s="198" t="s">
        <v>194</v>
      </c>
      <c r="D206" s="197" t="s">
        <v>194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194</v>
      </c>
      <c r="C207" s="198" t="s">
        <v>194</v>
      </c>
      <c r="D207" s="197" t="s">
        <v>194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194</v>
      </c>
      <c r="C208" s="198" t="s">
        <v>194</v>
      </c>
      <c r="D208" s="197" t="s">
        <v>194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24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45</v>
      </c>
      <c r="B233" s="48" t="s">
        <v>308</v>
      </c>
      <c r="C233" s="48" t="s">
        <v>309</v>
      </c>
      <c r="D233" s="36" t="s">
        <v>310</v>
      </c>
      <c r="E233" s="36" t="s">
        <v>311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194</v>
      </c>
      <c r="C234" s="198" t="s">
        <v>194</v>
      </c>
      <c r="D234" s="197" t="s">
        <v>194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194</v>
      </c>
      <c r="C235" s="198" t="s">
        <v>194</v>
      </c>
      <c r="D235" s="197" t="s">
        <v>194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194</v>
      </c>
      <c r="C236" s="198" t="s">
        <v>194</v>
      </c>
      <c r="D236" s="197" t="s">
        <v>194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194</v>
      </c>
      <c r="C237" s="198" t="s">
        <v>194</v>
      </c>
      <c r="D237" s="197" t="s">
        <v>194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194</v>
      </c>
      <c r="C238" s="198" t="s">
        <v>194</v>
      </c>
      <c r="D238" s="197" t="s">
        <v>194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194</v>
      </c>
      <c r="C239" s="198" t="s">
        <v>194</v>
      </c>
      <c r="D239" s="197" t="s">
        <v>194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25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45</v>
      </c>
      <c r="B264" s="48" t="s">
        <v>308</v>
      </c>
      <c r="C264" s="48" t="s">
        <v>309</v>
      </c>
      <c r="D264" s="36" t="s">
        <v>310</v>
      </c>
      <c r="E264" s="36" t="s">
        <v>311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194</v>
      </c>
      <c r="C265" s="198" t="s">
        <v>194</v>
      </c>
      <c r="D265" s="197" t="s">
        <v>194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194</v>
      </c>
      <c r="C266" s="198" t="s">
        <v>194</v>
      </c>
      <c r="D266" s="197" t="s">
        <v>194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194</v>
      </c>
      <c r="C267" s="198" t="s">
        <v>194</v>
      </c>
      <c r="D267" s="197" t="s">
        <v>194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194</v>
      </c>
      <c r="C268" s="198" t="s">
        <v>194</v>
      </c>
      <c r="D268" s="197" t="s">
        <v>194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194</v>
      </c>
      <c r="C269" s="198" t="s">
        <v>194</v>
      </c>
      <c r="D269" s="197" t="s">
        <v>194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194</v>
      </c>
      <c r="C270" s="198" t="s">
        <v>194</v>
      </c>
      <c r="D270" s="197" t="s">
        <v>194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26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45</v>
      </c>
      <c r="B295" s="48" t="s">
        <v>308</v>
      </c>
      <c r="C295" s="48" t="s">
        <v>309</v>
      </c>
      <c r="D295" s="36" t="s">
        <v>310</v>
      </c>
      <c r="E295" s="36" t="s">
        <v>311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194</v>
      </c>
      <c r="C296" s="198" t="s">
        <v>194</v>
      </c>
      <c r="D296" s="197" t="s">
        <v>194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194</v>
      </c>
      <c r="C297" s="198" t="s">
        <v>194</v>
      </c>
      <c r="D297" s="197" t="s">
        <v>194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194</v>
      </c>
      <c r="C298" s="198" t="s">
        <v>194</v>
      </c>
      <c r="D298" s="197" t="s">
        <v>194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194</v>
      </c>
      <c r="C299" s="198" t="s">
        <v>194</v>
      </c>
      <c r="D299" s="197" t="s">
        <v>194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194</v>
      </c>
      <c r="C300" s="198" t="s">
        <v>194</v>
      </c>
      <c r="D300" s="197" t="s">
        <v>194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194</v>
      </c>
      <c r="C301" s="198" t="s">
        <v>194</v>
      </c>
      <c r="D301" s="197" t="s">
        <v>194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d24cdf-bbc6-4946-8747-982d14624cd4" xsi:nil="true"/>
    <lcf76f155ced4ddcb4097134ff3c332f xmlns="4a0a9159-faee-4929-bc18-6e0874945fe3">
      <Terms xmlns="http://schemas.microsoft.com/office/infopath/2007/PartnerControls"/>
    </lcf76f155ced4ddcb4097134ff3c332f>
    <Typedecontrat xmlns="4a0a9159-faee-4929-bc18-6e0874945fe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32D577F764384C9CF62BBF77A2DD5E" ma:contentTypeVersion="19" ma:contentTypeDescription="Crée un document." ma:contentTypeScope="" ma:versionID="da778f651e2b9172a0668a57e5259e37">
  <xsd:schema xmlns:xsd="http://www.w3.org/2001/XMLSchema" xmlns:xs="http://www.w3.org/2001/XMLSchema" xmlns:p="http://schemas.microsoft.com/office/2006/metadata/properties" xmlns:ns2="4a0a9159-faee-4929-bc18-6e0874945fe3" xmlns:ns3="37d24cdf-bbc6-4946-8747-982d14624cd4" targetNamespace="http://schemas.microsoft.com/office/2006/metadata/properties" ma:root="true" ma:fieldsID="21723ea34ef7bb0ee75fd50087f5b91c" ns2:_="" ns3:_="">
    <xsd:import namespace="4a0a9159-faee-4929-bc18-6e0874945fe3"/>
    <xsd:import namespace="37d24cdf-bbc6-4946-8747-982d14624c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Typedecontra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9159-faee-4929-bc18-6e0874945f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9e1dfad2-4076-4263-af11-b79681bead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ypedecontrat" ma:index="26" nillable="true" ma:displayName="Type de contrat" ma:format="Dropdown" ma:internalName="Typedecontrat">
      <xsd:simpleType>
        <xsd:union memberTypes="dms:Text">
          <xsd:simpleType>
            <xsd:restriction base="dms:Choice">
              <xsd:enumeration value="Obligation de moyens"/>
              <xsd:enumeration value="Obligation de résultats"/>
              <xsd:enumeration value="Client final"/>
              <xsd:enumeration value="Intermédiaire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d24cdf-bbc6-4946-8747-982d14624cd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9e3389e-b7fc-4128-8a2b-a49d0477bdc5}" ma:internalName="TaxCatchAll" ma:showField="CatchAllData" ma:web="37d24cdf-bbc6-4946-8747-982d14624c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E27AED-16A6-4CF6-90FC-252DCE755E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8F28AA-24C9-4D1A-B276-45CFB6B287CF}">
  <ds:schemaRefs>
    <ds:schemaRef ds:uri="http://schemas.microsoft.com/office/2006/metadata/properties"/>
    <ds:schemaRef ds:uri="http://schemas.microsoft.com/office/infopath/2007/PartnerControls"/>
    <ds:schemaRef ds:uri="37d24cdf-bbc6-4946-8747-982d14624cd4"/>
    <ds:schemaRef ds:uri="4a0a9159-faee-4929-bc18-6e0874945fe3"/>
  </ds:schemaRefs>
</ds:datastoreItem>
</file>

<file path=customXml/itemProps3.xml><?xml version="1.0" encoding="utf-8"?>
<ds:datastoreItem xmlns:ds="http://schemas.openxmlformats.org/officeDocument/2006/customXml" ds:itemID="{DA71DECC-2C87-43B3-BB0B-F0304E1E1D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0a9159-faee-4929-bc18-6e0874945fe3"/>
    <ds:schemaRef ds:uri="37d24cdf-bbc6-4946-8747-982d14624c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>CNPF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Aurélien Blond</cp:lastModifiedBy>
  <cp:revision/>
  <dcterms:created xsi:type="dcterms:W3CDTF">2021-02-01T08:22:39Z</dcterms:created>
  <dcterms:modified xsi:type="dcterms:W3CDTF">2025-08-28T16:35:11Z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0x0101009032D577F764384C9CF62BBF77A2DD5E</vt:lpwstr>
  </property>
  <property fmtid="{D5CDD505-2E9C-101B-9397-08002B2CF9AE}" pid="3" name="MediaServiceImageTags">
    <vt:lpwstr/>
  </property>
</Properties>
</file>