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Bazas\dossier LBC\77 - LOUCHATS (33) - GALAN Isabelle\Docs remplis par BAZAS\doc fin\"/>
    </mc:Choice>
  </mc:AlternateContent>
  <xr:revisionPtr revIDLastSave="0" documentId="13_ncr:1_{F2BD5B8F-3F74-47A6-A364-85C88DB3DB12}" xr6:coauthVersionLast="36" xr6:coauthVersionMax="36" xr10:uidLastSave="{00000000-0000-0000-0000-000000000000}"/>
  <bookViews>
    <workbookView xWindow="0" yWindow="0" windowWidth="28800" windowHeight="1330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AH90" i="2" l="1" a="1"/>
  <c r="AH90" i="2" s="1"/>
  <c r="BC7" i="2" a="1"/>
  <c r="BC7" i="2" s="1"/>
  <c r="BC18" i="2" a="1"/>
  <c r="BC18" i="2" s="1"/>
  <c r="BC84" i="2" a="1"/>
  <c r="BC84" i="2" s="1"/>
  <c r="BC32" i="2" a="1"/>
  <c r="BC32" i="2" s="1"/>
  <c r="BC192" i="2" a="1"/>
  <c r="BC192" i="2" s="1"/>
  <c r="BC65" i="2" a="1"/>
  <c r="BC65" i="2" s="1"/>
  <c r="BC83" i="2" a="1"/>
  <c r="BC83" i="2" s="1"/>
  <c r="BC151" i="2" a="1"/>
  <c r="BC151" i="2" s="1"/>
  <c r="AH166" i="2" a="1"/>
  <c r="AH166" i="2" s="1"/>
  <c r="AH19" i="2" a="1"/>
  <c r="AH19" i="2" s="1"/>
  <c r="BC47" i="2" a="1"/>
  <c r="BC47" i="2" s="1"/>
  <c r="BX107" i="2" a="1"/>
  <c r="BX107" i="2" s="1"/>
  <c r="BC117" i="2" a="1"/>
  <c r="BC117" i="2" s="1"/>
  <c r="BC164" i="2" a="1"/>
  <c r="BC164" i="2" s="1"/>
  <c r="BC181" i="2" a="1"/>
  <c r="BC181" i="2" s="1"/>
  <c r="BC55" i="2" a="1"/>
  <c r="BC55" i="2" s="1"/>
  <c r="BC114" i="2" a="1"/>
  <c r="BC114" i="2" s="1"/>
  <c r="BC38" i="2" a="1"/>
  <c r="BC38" i="2" s="1"/>
  <c r="BC130" i="2" a="1"/>
  <c r="BC130" i="2" s="1"/>
  <c r="BC126" i="2" a="1"/>
  <c r="BC126" i="2" s="1"/>
  <c r="BC82" i="2" a="1"/>
  <c r="BC82" i="2" s="1"/>
  <c r="BC68" i="2" a="1"/>
  <c r="BC68" i="2" s="1"/>
  <c r="BC185" i="2" a="1"/>
  <c r="BC185" i="2" s="1"/>
  <c r="BC58" i="2" a="1"/>
  <c r="BC58" i="2" s="1"/>
  <c r="BC143" i="2" a="1"/>
  <c r="BC143" i="2" s="1"/>
  <c r="BC31" i="2" a="1"/>
  <c r="BC31" i="2" s="1"/>
  <c r="BC34" i="2" a="1"/>
  <c r="BC34" i="2" s="1"/>
  <c r="AH151" i="2" a="1"/>
  <c r="AH151" i="2" s="1"/>
  <c r="AH199" i="2" a="1"/>
  <c r="AH199" i="2" s="1"/>
  <c r="AH163" i="2" a="1"/>
  <c r="AH163" i="2" s="1"/>
  <c r="AH62" i="2" a="1"/>
  <c r="AH62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N203" i="2" s="1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CD134" i="2" l="1"/>
  <c r="CD53" i="2"/>
  <c r="CD185" i="2"/>
  <c r="CD60" i="2"/>
  <c r="CD111" i="2"/>
  <c r="CD46" i="2"/>
  <c r="CD146" i="2"/>
  <c r="CD17" i="2"/>
  <c r="CD138" i="2"/>
  <c r="CD86" i="2"/>
  <c r="CD112" i="2"/>
  <c r="CD65" i="2"/>
  <c r="CD166" i="2"/>
  <c r="CD132" i="2"/>
  <c r="CD69" i="2"/>
  <c r="CD201" i="2"/>
  <c r="CD169" i="2"/>
  <c r="CD170" i="2"/>
  <c r="CD186" i="2"/>
  <c r="CD84" i="2"/>
  <c r="CD20" i="2"/>
  <c r="CD127" i="2"/>
  <c r="CD51" i="2"/>
  <c r="CD200" i="2"/>
  <c r="CD44" i="2"/>
  <c r="CD42" i="2"/>
  <c r="CD3" i="2"/>
  <c r="C9" i="4" s="1"/>
  <c r="E9" i="4" s="1"/>
  <c r="F9" i="4" s="1"/>
  <c r="G9" i="4" s="1"/>
  <c r="L9" i="4" s="1"/>
  <c r="CD13" i="2"/>
  <c r="CD101" i="2"/>
  <c r="CD114" i="2"/>
  <c r="CD68" i="2"/>
  <c r="CD80" i="2"/>
  <c r="CD30" i="2"/>
  <c r="CD168" i="2"/>
  <c r="CD95" i="2"/>
  <c r="CD100" i="2"/>
  <c r="CD103" i="2"/>
  <c r="CD150" i="2"/>
  <c r="CD165" i="2"/>
  <c r="CD157" i="2"/>
  <c r="CD7" i="2"/>
  <c r="CD124" i="2"/>
  <c r="CD119" i="2"/>
  <c r="CD102" i="2"/>
  <c r="CD118" i="2"/>
  <c r="CD147" i="2"/>
  <c r="CD31" i="2"/>
  <c r="CD39" i="2"/>
  <c r="CD197" i="2"/>
  <c r="CD130" i="2"/>
  <c r="CD189" i="2"/>
  <c r="CD57" i="2"/>
  <c r="CD120" i="2"/>
  <c r="CD181" i="2"/>
  <c r="CD203" i="2"/>
  <c r="CD192" i="2"/>
  <c r="CD164" i="2"/>
  <c r="CD177" i="2"/>
  <c r="CD76" i="2"/>
  <c r="CD9" i="2"/>
  <c r="CD187" i="2"/>
  <c r="CD97" i="2"/>
  <c r="CD38" i="2"/>
  <c r="CD184" i="2"/>
  <c r="CD173" i="2"/>
  <c r="CD123" i="2"/>
  <c r="CD91" i="2"/>
  <c r="CD155" i="2"/>
  <c r="CD140" i="2"/>
  <c r="CD70" i="2"/>
  <c r="CD94" i="2"/>
  <c r="CD48" i="2"/>
  <c r="CD75" i="2"/>
  <c r="CD106" i="2"/>
  <c r="CD180" i="2"/>
  <c r="CD78" i="2"/>
  <c r="CD193" i="2"/>
  <c r="CD104" i="2"/>
  <c r="CD18" i="2"/>
  <c r="CD93" i="2"/>
  <c r="CD196" i="2"/>
  <c r="CD92" i="2"/>
  <c r="CD26" i="2"/>
  <c r="CD62" i="2"/>
  <c r="CD160" i="2"/>
  <c r="CD99" i="2"/>
  <c r="CD161" i="2"/>
  <c r="CD136" i="2"/>
  <c r="CD61" i="2"/>
  <c r="CD190" i="2"/>
  <c r="CD194" i="2"/>
  <c r="CD79" i="2"/>
  <c r="CD24" i="2"/>
  <c r="CD77" i="2"/>
  <c r="CD82" i="2"/>
  <c r="CD63" i="2"/>
  <c r="CD15" i="2"/>
  <c r="CD116" i="2"/>
  <c r="CD142" i="2"/>
  <c r="CD110" i="2"/>
  <c r="CD175" i="2"/>
  <c r="CD19" i="2"/>
  <c r="CD32" i="2"/>
  <c r="CD151" i="2"/>
  <c r="CD89" i="2"/>
  <c r="CD145" i="2"/>
  <c r="CD71" i="2"/>
  <c r="CD188" i="2"/>
  <c r="CD121" i="2"/>
  <c r="CD37" i="2"/>
  <c r="CD88" i="2"/>
  <c r="CD174" i="2"/>
  <c r="CD59" i="2"/>
  <c r="CD14" i="2"/>
  <c r="CD81" i="2"/>
  <c r="CD72" i="2"/>
  <c r="CD117" i="2"/>
  <c r="CD109" i="2"/>
  <c r="CD122" i="2"/>
  <c r="CD45" i="2"/>
  <c r="CD139" i="2"/>
  <c r="CD43" i="2"/>
  <c r="CD191" i="2"/>
  <c r="CD35" i="2"/>
  <c r="CD96" i="2"/>
  <c r="CD153" i="2"/>
  <c r="CD6" i="2"/>
  <c r="CD178" i="2"/>
  <c r="CD182" i="2"/>
  <c r="CD87" i="2"/>
  <c r="CD158" i="2"/>
  <c r="CD107" i="2"/>
  <c r="CD98" i="2"/>
  <c r="CD10" i="2"/>
  <c r="CD27" i="2"/>
  <c r="CD83" i="2"/>
  <c r="CD167" i="2"/>
  <c r="CD202" i="2"/>
  <c r="CD12" i="2"/>
  <c r="CD85" i="2"/>
  <c r="CD21" i="2"/>
  <c r="CD52" i="2"/>
  <c r="CD149" i="2"/>
  <c r="CD162" i="2"/>
  <c r="CD28" i="2"/>
  <c r="CD163" i="2"/>
  <c r="CD73" i="2"/>
  <c r="CD171" i="2"/>
  <c r="CD8" i="2"/>
  <c r="CD66" i="2"/>
  <c r="CD4" i="2"/>
  <c r="CD126" i="2"/>
  <c r="CD41" i="2"/>
  <c r="CD172" i="2"/>
  <c r="CD33" i="2"/>
  <c r="CD40" i="2"/>
  <c r="CD34" i="2"/>
  <c r="CD198" i="2"/>
  <c r="CD128" i="2"/>
  <c r="CD5" i="2"/>
  <c r="CD199" i="2"/>
  <c r="CD154" i="2"/>
  <c r="CD183" i="2"/>
  <c r="CD105" i="2"/>
  <c r="CD159" i="2"/>
  <c r="CD108" i="2"/>
  <c r="CD49" i="2"/>
  <c r="CD22" i="2"/>
  <c r="CD115" i="2"/>
  <c r="CD47" i="2"/>
  <c r="CD135" i="2"/>
  <c r="CD125" i="2"/>
  <c r="CD16" i="2"/>
  <c r="CD176" i="2"/>
  <c r="CD67" i="2"/>
  <c r="CD55" i="2"/>
  <c r="CD56" i="2"/>
  <c r="CD144" i="2"/>
  <c r="CD137" i="2"/>
  <c r="CD179" i="2"/>
  <c r="CD36" i="2"/>
  <c r="CD11" i="2"/>
  <c r="CD143" i="2"/>
  <c r="CD74" i="2"/>
  <c r="CD90" i="2"/>
  <c r="CD64" i="2"/>
  <c r="CD141" i="2"/>
  <c r="CD23" i="2"/>
  <c r="CD148" i="2"/>
  <c r="CD156" i="2"/>
  <c r="CD133" i="2"/>
  <c r="CD54" i="2"/>
  <c r="CD113" i="2"/>
  <c r="CD131" i="2"/>
  <c r="CD195" i="2"/>
  <c r="CD29" i="2"/>
  <c r="CD50" i="2"/>
  <c r="CD152" i="2"/>
  <c r="CD25" i="2"/>
  <c r="CD58" i="2"/>
  <c r="CD129" i="2"/>
  <c r="FE125" i="2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I153" i="2" l="1"/>
  <c r="BI5" i="2"/>
  <c r="BI170" i="2"/>
  <c r="BI53" i="2"/>
  <c r="BI146" i="2"/>
  <c r="BI42" i="2"/>
  <c r="BI104" i="2"/>
  <c r="BI36" i="2"/>
  <c r="BI30" i="2"/>
  <c r="BI193" i="2"/>
  <c r="BI102" i="2"/>
  <c r="BI6" i="2"/>
  <c r="BI33" i="2"/>
  <c r="BI60" i="2"/>
  <c r="BI89" i="2"/>
  <c r="BI19" i="2"/>
  <c r="BI92" i="2"/>
  <c r="BI96" i="2"/>
  <c r="BI176" i="2"/>
  <c r="BI113" i="2"/>
  <c r="BI185" i="2"/>
  <c r="BI178" i="2"/>
  <c r="BI88" i="2"/>
  <c r="BI112" i="2"/>
  <c r="BI195" i="2"/>
  <c r="BI38" i="2"/>
  <c r="BI158" i="2"/>
  <c r="BI149" i="2"/>
  <c r="BI173" i="2"/>
  <c r="BI110" i="2"/>
  <c r="BI25" i="2"/>
  <c r="BI140" i="2"/>
  <c r="BI72" i="2"/>
  <c r="BI17" i="2"/>
  <c r="BI191" i="2"/>
  <c r="BI45" i="2"/>
  <c r="BI142" i="2"/>
  <c r="BI27" i="2"/>
  <c r="BI131" i="2"/>
  <c r="BI66" i="2"/>
  <c r="BI152" i="2"/>
  <c r="BI83" i="2"/>
  <c r="BI197" i="2"/>
  <c r="BI137" i="2"/>
  <c r="BI52" i="2"/>
  <c r="BI99" i="2"/>
  <c r="BI44" i="2"/>
  <c r="BI8" i="2"/>
  <c r="BI125" i="2"/>
  <c r="BI190" i="2"/>
  <c r="BI183" i="2"/>
  <c r="BI156" i="2"/>
  <c r="BI118" i="2"/>
  <c r="BI98" i="2"/>
  <c r="BI47" i="2"/>
  <c r="BI122" i="2"/>
  <c r="BI55" i="2"/>
  <c r="BI115" i="2"/>
  <c r="BI164" i="2"/>
  <c r="BI116" i="2"/>
  <c r="BI157" i="2"/>
  <c r="BI123" i="2"/>
  <c r="BI203" i="2"/>
  <c r="BI117" i="2"/>
  <c r="BI91" i="2"/>
  <c r="BI32" i="2"/>
  <c r="BI161" i="2"/>
  <c r="BI194" i="2"/>
  <c r="BI9" i="2"/>
  <c r="BI11" i="2"/>
  <c r="BI94" i="2"/>
  <c r="BI126" i="2"/>
  <c r="BI62" i="2"/>
  <c r="BI143" i="2"/>
  <c r="BI144" i="2"/>
  <c r="BI192" i="2"/>
  <c r="BI184" i="2"/>
  <c r="BI107" i="2"/>
  <c r="BI181" i="2"/>
  <c r="BI130" i="2"/>
  <c r="BI56" i="2"/>
  <c r="BI61" i="2"/>
  <c r="BI87" i="2"/>
  <c r="BI4" i="2"/>
  <c r="BI202" i="2"/>
  <c r="BI71" i="2"/>
  <c r="BI34" i="2"/>
  <c r="BI14" i="2"/>
  <c r="BI22" i="2"/>
  <c r="BI76" i="2"/>
  <c r="BI198" i="2"/>
  <c r="BI182" i="2"/>
  <c r="BI37" i="2"/>
  <c r="BI39" i="2"/>
  <c r="BI86" i="2"/>
  <c r="BI132" i="2"/>
  <c r="BI111" i="2"/>
  <c r="BI177" i="2"/>
  <c r="BI150" i="2"/>
  <c r="BI49" i="2"/>
  <c r="BI85" i="2"/>
  <c r="BI159" i="2"/>
  <c r="BI135" i="2"/>
  <c r="BI29" i="2"/>
  <c r="BI103" i="2"/>
  <c r="BI18" i="2"/>
  <c r="BI136" i="2"/>
  <c r="BI84" i="2"/>
  <c r="BI145" i="2"/>
  <c r="BI78" i="2"/>
  <c r="BI166" i="2"/>
  <c r="BI141" i="2"/>
  <c r="BI74" i="2"/>
  <c r="BI189" i="2"/>
  <c r="BI12" i="2"/>
  <c r="BI57" i="2"/>
  <c r="BI68" i="2"/>
  <c r="BI127" i="2"/>
  <c r="BI169" i="2"/>
  <c r="BI20" i="2"/>
  <c r="BI75" i="2"/>
  <c r="BI23" i="2"/>
  <c r="BI121" i="2"/>
  <c r="BI108" i="2"/>
  <c r="BI40" i="2"/>
  <c r="BI171" i="2"/>
  <c r="BI200" i="2"/>
  <c r="BI154" i="2"/>
  <c r="BI174" i="2"/>
  <c r="BI167" i="2"/>
  <c r="BI15" i="2"/>
  <c r="BI101" i="2"/>
  <c r="BI93" i="2"/>
  <c r="BI65" i="2"/>
  <c r="BI162" i="2"/>
  <c r="BI172" i="2"/>
  <c r="BI175" i="2"/>
  <c r="BI139" i="2"/>
  <c r="BI129" i="2"/>
  <c r="BI196" i="2"/>
  <c r="BI28" i="2"/>
  <c r="BI106" i="2"/>
  <c r="BI128" i="2"/>
  <c r="BI168" i="2"/>
  <c r="BI3" i="2"/>
  <c r="C8" i="4" s="1"/>
  <c r="E8" i="4" s="1"/>
  <c r="F8" i="4" s="1"/>
  <c r="G8" i="4" s="1"/>
  <c r="L8" i="4" s="1"/>
  <c r="BI10" i="2"/>
  <c r="BI48" i="2"/>
  <c r="BI133" i="2"/>
  <c r="BI58" i="2"/>
  <c r="BI199" i="2"/>
  <c r="BI41" i="2"/>
  <c r="BI187" i="2"/>
  <c r="BI82" i="2"/>
  <c r="BI95" i="2"/>
  <c r="BI188" i="2"/>
  <c r="BI7" i="2"/>
  <c r="BI26" i="2"/>
  <c r="BI151" i="2"/>
  <c r="BI35" i="2"/>
  <c r="BI81" i="2"/>
  <c r="BI43" i="2"/>
  <c r="BI124" i="2"/>
  <c r="BI160" i="2"/>
  <c r="BI165" i="2"/>
  <c r="BI21" i="2"/>
  <c r="BI186" i="2"/>
  <c r="BI63" i="2"/>
  <c r="BI179" i="2"/>
  <c r="BI77" i="2"/>
  <c r="BI109" i="2"/>
  <c r="BI97" i="2"/>
  <c r="BI90" i="2"/>
  <c r="BI24" i="2"/>
  <c r="BI163" i="2"/>
  <c r="BI16" i="2"/>
  <c r="BI138" i="2"/>
  <c r="BI69" i="2"/>
  <c r="BI120" i="2"/>
  <c r="BI147" i="2"/>
  <c r="BI148" i="2"/>
  <c r="BI100" i="2"/>
  <c r="BI54" i="2"/>
  <c r="BI79" i="2"/>
  <c r="BI80" i="2"/>
  <c r="BI105" i="2"/>
  <c r="BI73" i="2"/>
  <c r="BI180" i="2"/>
  <c r="BI51" i="2"/>
  <c r="BI114" i="2"/>
  <c r="BI46" i="2"/>
  <c r="BI155" i="2"/>
  <c r="BI201" i="2"/>
  <c r="BI59" i="2"/>
  <c r="BI70" i="2"/>
  <c r="BI134" i="2"/>
  <c r="BI31" i="2"/>
  <c r="BI67" i="2"/>
  <c r="BI50" i="2"/>
  <c r="BI119" i="2"/>
  <c r="BI64" i="2"/>
  <c r="BI13" i="2"/>
  <c r="BF124" i="2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<sst xmlns="http://schemas.openxmlformats.org/spreadsheetml/2006/main" count="1171" uniqueCount="324">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</sst>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1" applyNumberFormat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2.1827412805591249</c:v>
                </c:pt>
                <c:pt idx="2">
                  <c:v>3.072752466359074</c:v>
                </c:pt>
                <c:pt idx="3">
                  <c:v>4.3272468407963478</c:v>
                </c:pt>
                <c:pt idx="4">
                  <c:v>6.0960991203634167</c:v>
                </c:pt>
                <c:pt idx="5">
                  <c:v>8.5910457829428761</c:v>
                </c:pt>
                <c:pt idx="6">
                  <c:v>12.111308120410888</c:v>
                </c:pt>
                <c:pt idx="7">
                  <c:v>17.079862262962827</c:v>
                </c:pt>
                <c:pt idx="8">
                  <c:v>24.094793106242644</c:v>
                </c:pt>
                <c:pt idx="9">
                  <c:v>34.002022945399325</c:v>
                </c:pt>
                <c:pt idx="10">
                  <c:v>47.998335925397946</c:v>
                </c:pt>
                <c:pt idx="11">
                  <c:v>67.777352025416505</c:v>
                </c:pt>
                <c:pt idx="12">
                  <c:v>95.736402105530317</c:v>
                </c:pt>
                <c:pt idx="13">
                  <c:v>135.26977619819337</c:v>
                </c:pt>
                <c:pt idx="14">
                  <c:v>122.99225398355058</c:v>
                </c:pt>
                <c:pt idx="15">
                  <c:v>147.26006612469442</c:v>
                </c:pt>
                <c:pt idx="16">
                  <c:v>171.43215609711328</c:v>
                </c:pt>
                <c:pt idx="17">
                  <c:v>195.52394332084884</c:v>
                </c:pt>
                <c:pt idx="18">
                  <c:v>219.54672196983498</c:v>
                </c:pt>
                <c:pt idx="19">
                  <c:v>190.86670891760676</c:v>
                </c:pt>
                <c:pt idx="20">
                  <c:v>213.86965334974411</c:v>
                </c:pt>
                <c:pt idx="21">
                  <c:v>236.81560804160597</c:v>
                </c:pt>
                <c:pt idx="22">
                  <c:v>259.71087111615634</c:v>
                </c:pt>
                <c:pt idx="23">
                  <c:v>282.56053853494797</c:v>
                </c:pt>
                <c:pt idx="24">
                  <c:v>235.19675671623455</c:v>
                </c:pt>
                <c:pt idx="25">
                  <c:v>254.68019125492972</c:v>
                </c:pt>
                <c:pt idx="26">
                  <c:v>274.129893403339</c:v>
                </c:pt>
                <c:pt idx="27">
                  <c:v>293.54859261186851</c:v>
                </c:pt>
                <c:pt idx="28">
                  <c:v>312.93862766627666</c:v>
                </c:pt>
                <c:pt idx="29">
                  <c:v>332.30202385642195</c:v>
                </c:pt>
                <c:pt idx="30">
                  <c:v>351.64055120002314</c:v>
                </c:pt>
                <c:pt idx="31">
                  <c:v>369.4987981688775</c:v>
                </c:pt>
                <c:pt idx="32">
                  <c:v>387.33822121677053</c:v>
                </c:pt>
                <c:pt idx="33">
                  <c:v>405.15980898705612</c:v>
                </c:pt>
                <c:pt idx="34">
                  <c:v>422.96445608157745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2.254535549090765</c:v>
                </c:pt>
                <c:pt idx="2">
                  <c:v>3.2784527239430776</c:v>
                </c:pt>
                <c:pt idx="3">
                  <c:v>4.7694737635358404</c:v>
                </c:pt>
                <c:pt idx="4">
                  <c:v>6.9415806155700679</c:v>
                </c:pt>
                <c:pt idx="5">
                  <c:v>10.107161787280178</c:v>
                </c:pt>
                <c:pt idx="6">
                  <c:v>14.722429499116073</c:v>
                </c:pt>
                <c:pt idx="7">
                  <c:v>21.45386643917448</c:v>
                </c:pt>
                <c:pt idx="8">
                  <c:v>31.275468345598899</c:v>
                </c:pt>
                <c:pt idx="9">
                  <c:v>45.61109624038076</c:v>
                </c:pt>
                <c:pt idx="10">
                  <c:v>66.542922379858922</c:v>
                </c:pt>
                <c:pt idx="11">
                  <c:v>97.116739768036425</c:v>
                </c:pt>
                <c:pt idx="12">
                  <c:v>141.78926461478019</c:v>
                </c:pt>
                <c:pt idx="13">
                  <c:v>124.5611931900976</c:v>
                </c:pt>
                <c:pt idx="14">
                  <c:v>151.68524513992836</c:v>
                </c:pt>
                <c:pt idx="15">
                  <c:v>178.69346731764236</c:v>
                </c:pt>
                <c:pt idx="16">
                  <c:v>205.60586751976882</c:v>
                </c:pt>
                <c:pt idx="17">
                  <c:v>232.43676367300134</c:v>
                </c:pt>
                <c:pt idx="18">
                  <c:v>202.50498404059022</c:v>
                </c:pt>
                <c:pt idx="19">
                  <c:v>228.05603340567458</c:v>
                </c:pt>
                <c:pt idx="20">
                  <c:v>253.54155170818649</c:v>
                </c:pt>
                <c:pt idx="21">
                  <c:v>278.96905083089689</c:v>
                </c:pt>
                <c:pt idx="22">
                  <c:v>304.34456023906222</c:v>
                </c:pt>
                <c:pt idx="23">
                  <c:v>253.83081383722325</c:v>
                </c:pt>
                <c:pt idx="24">
                  <c:v>275.18403886927132</c:v>
                </c:pt>
                <c:pt idx="25">
                  <c:v>296.50005111063956</c:v>
                </c:pt>
                <c:pt idx="26">
                  <c:v>317.78190098794829</c:v>
                </c:pt>
                <c:pt idx="27">
                  <c:v>339.03219699741027</c:v>
                </c:pt>
                <c:pt idx="28">
                  <c:v>360.25319399788003</c:v>
                </c:pt>
                <c:pt idx="29">
                  <c:v>381.44685959482405</c:v>
                </c:pt>
                <c:pt idx="30">
                  <c:v>402.61492499148613</c:v>
                </c:pt>
                <c:pt idx="31">
                  <c:v>1.978932943548152E-12</c:v>
                </c:pt>
                <c:pt idx="32">
                  <c:v>1.978932943548152E-12</c:v>
                </c:pt>
                <c:pt idx="33">
                  <c:v>1.978932943548152E-12</c:v>
                </c:pt>
                <c:pt idx="34">
                  <c:v>1.978932943548152E-12</c:v>
                </c:pt>
                <c:pt idx="35">
                  <c:v>1.978932943548152E-12</c:v>
                </c:pt>
                <c:pt idx="36">
                  <c:v>1.978932943548152E-12</c:v>
                </c:pt>
                <c:pt idx="37">
                  <c:v>1.978932943548152E-12</c:v>
                </c:pt>
                <c:pt idx="38">
                  <c:v>1.978932943548152E-12</c:v>
                </c:pt>
                <c:pt idx="39">
                  <c:v>1.978932943548152E-12</c:v>
                </c:pt>
                <c:pt idx="40">
                  <c:v>1.978932943548152E-12</c:v>
                </c:pt>
                <c:pt idx="41">
                  <c:v>1.978932943548152E-12</c:v>
                </c:pt>
                <c:pt idx="42">
                  <c:v>1.978932943548152E-12</c:v>
                </c:pt>
                <c:pt idx="43">
                  <c:v>1.978932943548152E-12</c:v>
                </c:pt>
                <c:pt idx="44">
                  <c:v>1.978932943548152E-12</c:v>
                </c:pt>
                <c:pt idx="45">
                  <c:v>1.978932943548152E-12</c:v>
                </c:pt>
                <c:pt idx="46">
                  <c:v>1.978932943548152E-12</c:v>
                </c:pt>
                <c:pt idx="47">
                  <c:v>1.978932943548152E-12</c:v>
                </c:pt>
                <c:pt idx="48">
                  <c:v>1.978932943548152E-12</c:v>
                </c:pt>
                <c:pt idx="49">
                  <c:v>1.978932943548152E-12</c:v>
                </c:pt>
                <c:pt idx="50">
                  <c:v>1.978932943548152E-12</c:v>
                </c:pt>
                <c:pt idx="51">
                  <c:v>1.978932943548152E-12</c:v>
                </c:pt>
                <c:pt idx="52">
                  <c:v>1.978932943548152E-12</c:v>
                </c:pt>
                <c:pt idx="53">
                  <c:v>1.978932943548152E-12</c:v>
                </c:pt>
                <c:pt idx="54">
                  <c:v>1.978932943548152E-12</c:v>
                </c:pt>
                <c:pt idx="55">
                  <c:v>1.978932943548152E-12</c:v>
                </c:pt>
                <c:pt idx="56">
                  <c:v>1.978932943548152E-12</c:v>
                </c:pt>
                <c:pt idx="57">
                  <c:v>1.978932943548152E-12</c:v>
                </c:pt>
                <c:pt idx="58">
                  <c:v>1.978932943548152E-12</c:v>
                </c:pt>
                <c:pt idx="59">
                  <c:v>1.978932943548152E-12</c:v>
                </c:pt>
                <c:pt idx="60">
                  <c:v>1.978932943548152E-12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2.8260430950859945</c:v>
                </c:pt>
                <c:pt idx="2">
                  <c:v>3.5759003231497637</c:v>
                </c:pt>
                <c:pt idx="3">
                  <c:v>4.5255002995239044</c:v>
                </c:pt>
                <c:pt idx="4">
                  <c:v>5.7282443202658717</c:v>
                </c:pt>
                <c:pt idx="5">
                  <c:v>7.2518592604219156</c:v>
                </c:pt>
                <c:pt idx="6">
                  <c:v>9.1822527263091143</c:v>
                </c:pt>
                <c:pt idx="7">
                  <c:v>11.628408677722552</c:v>
                </c:pt>
                <c:pt idx="8">
                  <c:v>14.728605078174702</c:v>
                </c:pt>
                <c:pt idx="9">
                  <c:v>18.658311506525539</c:v>
                </c:pt>
                <c:pt idx="10">
                  <c:v>23.640221801315761</c:v>
                </c:pt>
                <c:pt idx="11">
                  <c:v>29.957000365231504</c:v>
                </c:pt>
                <c:pt idx="12">
                  <c:v>37.967477930050322</c:v>
                </c:pt>
                <c:pt idx="13">
                  <c:v>48.127232535715684</c:v>
                </c:pt>
                <c:pt idx="14">
                  <c:v>61.014745876532061</c:v>
                </c:pt>
                <c:pt idx="15">
                  <c:v>77.364648864854644</c:v>
                </c:pt>
                <c:pt idx="16">
                  <c:v>98.109982167961064</c:v>
                </c:pt>
                <c:pt idx="17">
                  <c:v>124.4359216651272</c:v>
                </c:pt>
                <c:pt idx="18">
                  <c:v>157.84808591007513</c:v>
                </c:pt>
                <c:pt idx="19">
                  <c:v>200.25939181447754</c:v>
                </c:pt>
                <c:pt idx="20">
                  <c:v>254.10050561748861</c:v>
                </c:pt>
                <c:pt idx="21">
                  <c:v>182.85768498984825</c:v>
                </c:pt>
                <c:pt idx="22">
                  <c:v>205.9114029973158</c:v>
                </c:pt>
                <c:pt idx="23">
                  <c:v>228.90543935922889</c:v>
                </c:pt>
                <c:pt idx="24">
                  <c:v>251.84663251620748</c:v>
                </c:pt>
                <c:pt idx="25">
                  <c:v>274.74047191396772</c:v>
                </c:pt>
                <c:pt idx="26">
                  <c:v>226.64617327952342</c:v>
                </c:pt>
                <c:pt idx="27">
                  <c:v>248.08915865906408</c:v>
                </c:pt>
                <c:pt idx="28">
                  <c:v>269.49008678800777</c:v>
                </c:pt>
                <c:pt idx="29">
                  <c:v>290.85276623666175</c:v>
                </c:pt>
                <c:pt idx="30">
                  <c:v>312.18040027213078</c:v>
                </c:pt>
                <c:pt idx="31">
                  <c:v>262.7361980255701</c:v>
                </c:pt>
                <c:pt idx="32">
                  <c:v>282.61183805625041</c:v>
                </c:pt>
                <c:pt idx="33">
                  <c:v>302.45616879398887</c:v>
                </c:pt>
                <c:pt idx="34">
                  <c:v>322.27153269112591</c:v>
                </c:pt>
                <c:pt idx="35">
                  <c:v>342.05996063814399</c:v>
                </c:pt>
                <c:pt idx="36">
                  <c:v>292.72497100977256</c:v>
                </c:pt>
                <c:pt idx="37">
                  <c:v>310.68480797043964</c:v>
                </c:pt>
                <c:pt idx="38">
                  <c:v>328.62160871118186</c:v>
                </c:pt>
                <c:pt idx="39">
                  <c:v>346.53680717558655</c:v>
                </c:pt>
                <c:pt idx="40">
                  <c:v>364.43167696167421</c:v>
                </c:pt>
                <c:pt idx="41">
                  <c:v>318.90861058050911</c:v>
                </c:pt>
                <c:pt idx="42">
                  <c:v>334.96897652893739</c:v>
                </c:pt>
                <c:pt idx="43">
                  <c:v>351.01238382795628</c:v>
                </c:pt>
                <c:pt idx="44">
                  <c:v>367.03971658708974</c:v>
                </c:pt>
                <c:pt idx="45">
                  <c:v>383.05177541071203</c:v>
                </c:pt>
                <c:pt idx="46">
                  <c:v>339.82105523856922</c:v>
                </c:pt>
                <c:pt idx="47">
                  <c:v>354.36824410252279</c:v>
                </c:pt>
                <c:pt idx="48">
                  <c:v>368.90235411823818</c:v>
                </c:pt>
                <c:pt idx="49">
                  <c:v>383.42397311131032</c:v>
                </c:pt>
                <c:pt idx="50">
                  <c:v>397.93364074958498</c:v>
                </c:pt>
                <c:pt idx="51">
                  <c:v>358.46890629665108</c:v>
                </c:pt>
                <c:pt idx="52">
                  <c:v>371.1372483365563</c:v>
                </c:pt>
                <c:pt idx="53">
                  <c:v>383.79616295666915</c:v>
                </c:pt>
                <c:pt idx="54">
                  <c:v>396.44600495131112</c:v>
                </c:pt>
                <c:pt idx="55">
                  <c:v>409.08710462349336</c:v>
                </c:pt>
                <c:pt idx="56">
                  <c:v>373.74425409046017</c:v>
                </c:pt>
                <c:pt idx="57">
                  <c:v>384.91268544829819</c:v>
                </c:pt>
                <c:pt idx="58">
                  <c:v>396.07407711953482</c:v>
                </c:pt>
                <c:pt idx="59">
                  <c:v>407.22865549260922</c:v>
                </c:pt>
                <c:pt idx="60">
                  <c:v>418.37663353903241</c:v>
                </c:pt>
                <c:pt idx="61">
                  <c:v>387.145519509954</c:v>
                </c:pt>
                <c:pt idx="62">
                  <c:v>396.81792522211191</c:v>
                </c:pt>
                <c:pt idx="63">
                  <c:v>406.48522456571504</c:v>
                </c:pt>
                <c:pt idx="64">
                  <c:v>416.14755615430454</c:v>
                </c:pt>
                <c:pt idx="65">
                  <c:v>425.80505163704908</c:v>
                </c:pt>
                <c:pt idx="66">
                  <c:v>397.18983794003793</c:v>
                </c:pt>
                <c:pt idx="67">
                  <c:v>405.74176424723129</c:v>
                </c:pt>
                <c:pt idx="68">
                  <c:v>414.28979501974965</c:v>
                </c:pt>
                <c:pt idx="69">
                  <c:v>422.83402201018413</c:v>
                </c:pt>
                <c:pt idx="70">
                  <c:v>431.37453295867726</c:v>
                </c:pt>
                <c:pt idx="71">
                  <c:v>407.22865549260905</c:v>
                </c:pt>
                <c:pt idx="72">
                  <c:v>414.66136159701688</c:v>
                </c:pt>
                <c:pt idx="73">
                  <c:v>422.091194503304</c:v>
                </c:pt>
                <c:pt idx="74">
                  <c:v>429.51821195249204</c:v>
                </c:pt>
                <c:pt idx="75">
                  <c:v>436.94246952460418</c:v>
                </c:pt>
                <c:pt idx="76">
                  <c:v>415.77601826307938</c:v>
                </c:pt>
                <c:pt idx="77">
                  <c:v>422.46261177230502</c:v>
                </c:pt>
                <c:pt idx="78">
                  <c:v>429.14692708065189</c:v>
                </c:pt>
                <c:pt idx="79">
                  <c:v>435.82900470393224</c:v>
                </c:pt>
                <c:pt idx="80">
                  <c:v>442.5088838133741</c:v>
                </c:pt>
                <c:pt idx="81">
                  <c:v>423.9482106076087</c:v>
                </c:pt>
                <c:pt idx="82">
                  <c:v>429.51821195249204</c:v>
                </c:pt>
                <c:pt idx="83">
                  <c:v>435.0866609084182</c:v>
                </c:pt>
                <c:pt idx="84">
                  <c:v>440.65358016358778</c:v>
                </c:pt>
                <c:pt idx="85">
                  <c:v>446.21899178570357</c:v>
                </c:pt>
                <c:pt idx="86">
                  <c:v>428.77563530272073</c:v>
                </c:pt>
                <c:pt idx="87">
                  <c:v>433.60189168293056</c:v>
                </c:pt>
                <c:pt idx="88">
                  <c:v>438.42699459967213</c:v>
                </c:pt>
                <c:pt idx="89">
                  <c:v>443.25095855050739</c:v>
                </c:pt>
                <c:pt idx="90">
                  <c:v>448.07379769140431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3" t="s">
        <v>291</v>
      </c>
      <c r="C12" s="293"/>
      <c r="D12" s="293"/>
      <c r="E12" s="293"/>
      <c r="F12" s="293"/>
      <c r="G12" s="293"/>
      <c r="H12" s="293"/>
      <c r="I12" s="293"/>
      <c r="J12" s="293"/>
      <c r="K12" s="293"/>
      <c r="L12" s="293"/>
      <c r="M12" s="293"/>
    </row>
    <row r="13" spans="2:13" ht="15" customHeight="1" x14ac:dyDescent="0.25">
      <c r="B13" s="293"/>
      <c r="C13" s="293"/>
      <c r="D13" s="293"/>
      <c r="E13" s="293"/>
      <c r="F13" s="293"/>
      <c r="G13" s="293"/>
      <c r="H13" s="293"/>
      <c r="I13" s="293"/>
      <c r="J13" s="293"/>
      <c r="K13" s="293"/>
      <c r="L13" s="293"/>
      <c r="M13" s="293"/>
    </row>
    <row r="14" spans="2:13" ht="15" customHeight="1" x14ac:dyDescent="0.25">
      <c r="B14" s="293"/>
      <c r="C14" s="293"/>
      <c r="D14" s="293"/>
      <c r="E14" s="293"/>
      <c r="F14" s="293"/>
      <c r="G14" s="293"/>
      <c r="H14" s="293"/>
      <c r="I14" s="293"/>
      <c r="J14" s="293"/>
      <c r="K14" s="293"/>
      <c r="L14" s="293"/>
      <c r="M14" s="293"/>
    </row>
    <row r="15" spans="2:13" ht="18.75" customHeight="1" x14ac:dyDescent="0.25">
      <c r="B15" s="293"/>
      <c r="C15" s="293"/>
      <c r="D15" s="293"/>
      <c r="E15" s="293"/>
      <c r="F15" s="293"/>
      <c r="G15" s="293"/>
      <c r="H15" s="293"/>
      <c r="I15" s="293"/>
      <c r="J15" s="293"/>
      <c r="K15" s="293"/>
      <c r="L15" s="293"/>
      <c r="M15" s="293"/>
    </row>
    <row r="16" spans="2:13" ht="18.75" customHeight="1" x14ac:dyDescent="0.25">
      <c r="B16" s="293"/>
      <c r="C16" s="293"/>
      <c r="D16" s="293"/>
      <c r="E16" s="293"/>
      <c r="F16" s="293"/>
      <c r="G16" s="293"/>
      <c r="H16" s="293"/>
      <c r="I16" s="293"/>
      <c r="J16" s="293"/>
      <c r="K16" s="293"/>
      <c r="L16" s="293"/>
      <c r="M16" s="293"/>
    </row>
    <row r="18" spans="2:13" ht="12" customHeight="1" x14ac:dyDescent="0.25">
      <c r="B18" s="293" t="s">
        <v>292</v>
      </c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</row>
    <row r="19" spans="2:13" ht="12" customHeight="1" x14ac:dyDescent="0.25">
      <c r="B19" s="293"/>
      <c r="C19" s="293"/>
      <c r="D19" s="293"/>
      <c r="E19" s="293"/>
      <c r="F19" s="293"/>
      <c r="G19" s="293"/>
      <c r="H19" s="293"/>
      <c r="I19" s="293"/>
      <c r="J19" s="293"/>
      <c r="K19" s="293"/>
      <c r="L19" s="293"/>
      <c r="M19" s="293"/>
    </row>
    <row r="20" spans="2:13" ht="12" customHeight="1" x14ac:dyDescent="0.25">
      <c r="B20" s="293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</row>
    <row r="21" spans="2:13" ht="12" customHeight="1" x14ac:dyDescent="0.25">
      <c r="B21" s="293"/>
      <c r="C21" s="293"/>
      <c r="D21" s="293"/>
      <c r="E21" s="293"/>
      <c r="F21" s="293"/>
      <c r="G21" s="293"/>
      <c r="H21" s="293"/>
      <c r="I21" s="293"/>
      <c r="J21" s="293"/>
      <c r="K21" s="293"/>
      <c r="L21" s="293"/>
      <c r="M21" s="293"/>
    </row>
    <row r="22" spans="2:13" ht="12" customHeight="1" x14ac:dyDescent="0.25">
      <c r="B22" s="293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</row>
    <row r="23" spans="2:13" ht="12" customHeight="1" x14ac:dyDescent="0.25">
      <c r="B23" s="293"/>
      <c r="C23" s="293"/>
      <c r="D23" s="293"/>
      <c r="E23" s="293"/>
      <c r="F23" s="293"/>
      <c r="G23" s="293"/>
      <c r="H23" s="293"/>
      <c r="I23" s="293"/>
      <c r="J23" s="293"/>
      <c r="K23" s="293"/>
      <c r="L23" s="293"/>
      <c r="M23" s="293"/>
    </row>
    <row r="24" spans="2:13" ht="12" customHeight="1" x14ac:dyDescent="0.25">
      <c r="B24" s="293"/>
      <c r="C24" s="293"/>
      <c r="D24" s="293"/>
      <c r="E24" s="293"/>
      <c r="F24" s="293"/>
      <c r="G24" s="293"/>
      <c r="H24" s="293"/>
      <c r="I24" s="293"/>
      <c r="J24" s="293"/>
      <c r="K24" s="293"/>
      <c r="L24" s="293"/>
      <c r="M24" s="293"/>
    </row>
    <row r="25" spans="2:13" ht="12" customHeight="1" x14ac:dyDescent="0.25">
      <c r="B25" s="293"/>
      <c r="C25" s="293"/>
      <c r="D25" s="293"/>
      <c r="E25" s="293"/>
      <c r="F25" s="293"/>
      <c r="G25" s="293"/>
      <c r="H25" s="293"/>
      <c r="I25" s="293"/>
      <c r="J25" s="293"/>
      <c r="K25" s="293"/>
      <c r="L25" s="293"/>
      <c r="M25" s="293"/>
    </row>
    <row r="26" spans="2:13" ht="12" customHeight="1" x14ac:dyDescent="0.25">
      <c r="B26" s="293"/>
      <c r="C26" s="293"/>
      <c r="D26" s="293"/>
      <c r="E26" s="293"/>
      <c r="F26" s="293"/>
      <c r="G26" s="293"/>
      <c r="H26" s="293"/>
      <c r="I26" s="293"/>
      <c r="J26" s="293"/>
      <c r="K26" s="293"/>
      <c r="L26" s="293"/>
      <c r="M26" s="293"/>
    </row>
    <row r="27" spans="2:13" ht="12" customHeight="1" x14ac:dyDescent="0.25">
      <c r="B27" s="293"/>
      <c r="C27" s="293"/>
      <c r="D27" s="293"/>
      <c r="E27" s="293"/>
      <c r="F27" s="293"/>
      <c r="G27" s="293"/>
      <c r="H27" s="293"/>
      <c r="I27" s="293"/>
      <c r="J27" s="293"/>
      <c r="K27" s="293"/>
      <c r="L27" s="293"/>
      <c r="M27" s="293"/>
    </row>
    <row r="28" spans="2:13" ht="12" customHeight="1" x14ac:dyDescent="0.25"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</row>
    <row r="29" spans="2:13" ht="12" customHeight="1" x14ac:dyDescent="0.25">
      <c r="B29" s="293"/>
      <c r="C29" s="293"/>
      <c r="D29" s="293"/>
      <c r="E29" s="293"/>
      <c r="F29" s="293"/>
      <c r="G29" s="293"/>
      <c r="H29" s="293"/>
      <c r="I29" s="293"/>
      <c r="J29" s="293"/>
      <c r="K29" s="293"/>
      <c r="L29" s="293"/>
      <c r="M29" s="293"/>
    </row>
    <row r="30" spans="2:13" ht="12" customHeight="1" x14ac:dyDescent="0.25">
      <c r="B30" s="293"/>
      <c r="C30" s="293"/>
      <c r="D30" s="293"/>
      <c r="E30" s="293"/>
      <c r="F30" s="293"/>
      <c r="G30" s="293"/>
      <c r="H30" s="293"/>
      <c r="I30" s="293"/>
      <c r="J30" s="293"/>
      <c r="K30" s="293"/>
      <c r="L30" s="293"/>
      <c r="M30" s="293"/>
    </row>
    <row r="31" spans="2:13" ht="12" customHeight="1" x14ac:dyDescent="0.25">
      <c r="B31" s="293"/>
      <c r="C31" s="293"/>
      <c r="D31" s="293"/>
      <c r="E31" s="293"/>
      <c r="F31" s="293"/>
      <c r="G31" s="293"/>
      <c r="H31" s="293"/>
      <c r="I31" s="293"/>
      <c r="J31" s="293"/>
      <c r="K31" s="293"/>
      <c r="L31" s="293"/>
      <c r="M31" s="293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4" zoomScale="90" zoomScaleNormal="90" workbookViewId="0">
      <selection activeCell="H27" sqref="H26:H27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8" t="s">
        <v>190</v>
      </c>
      <c r="D1" s="298"/>
      <c r="E1" s="298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9" t="s">
        <v>192</v>
      </c>
      <c r="C3" s="300"/>
      <c r="D3" s="300"/>
      <c r="E3" s="300"/>
      <c r="F3" s="301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5" t="s">
        <v>231</v>
      </c>
      <c r="B5" s="305"/>
      <c r="C5" s="26">
        <v>30</v>
      </c>
      <c r="D5" s="306" t="s">
        <v>229</v>
      </c>
      <c r="E5" s="307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3" t="s">
        <v>226</v>
      </c>
      <c r="B7" s="303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0.75</v>
      </c>
      <c r="D9" s="36">
        <f t="shared" ref="D9:D18" si="0">C9*$C$5</f>
        <v>22.5</v>
      </c>
      <c r="E9" s="37">
        <v>34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138</v>
      </c>
      <c r="C10" s="35">
        <v>0.23</v>
      </c>
      <c r="D10" s="36">
        <f t="shared" si="0"/>
        <v>6.9</v>
      </c>
      <c r="E10" s="37">
        <v>30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13</v>
      </c>
      <c r="C11" s="35">
        <v>0.02</v>
      </c>
      <c r="D11" s="36">
        <f t="shared" si="0"/>
        <v>0.6</v>
      </c>
      <c r="E11" s="37">
        <v>90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30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2" t="s">
        <v>232</v>
      </c>
      <c r="B22" s="302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4" t="s">
        <v>227</v>
      </c>
      <c r="B30" s="304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13</v>
      </c>
      <c r="B36" s="63">
        <v>101</v>
      </c>
      <c r="C36" s="63">
        <v>1</v>
      </c>
      <c r="D36" s="63">
        <v>28</v>
      </c>
      <c r="E36" s="54"/>
      <c r="F36" s="54"/>
      <c r="G36" s="54">
        <v>1</v>
      </c>
      <c r="H36" s="54"/>
      <c r="I36" s="52">
        <f>IFERROR(B36/A36,"")</f>
        <v>7.7692307692307692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18</v>
      </c>
      <c r="B37" s="63">
        <v>166</v>
      </c>
      <c r="C37" s="63">
        <v>2</v>
      </c>
      <c r="D37" s="63">
        <v>40</v>
      </c>
      <c r="E37" s="54">
        <v>0.25</v>
      </c>
      <c r="F37" s="54"/>
      <c r="G37" s="54">
        <v>0.75</v>
      </c>
      <c r="H37" s="54"/>
      <c r="I37" s="56">
        <f t="shared" ref="I37:I55" si="1">IF(A37&lt;&gt;0,(B37-(B36-D36))/(A37-A36),"")</f>
        <v>18.600000000000001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23</v>
      </c>
      <c r="B38" s="63">
        <v>215</v>
      </c>
      <c r="C38" s="63">
        <v>3</v>
      </c>
      <c r="D38" s="63">
        <v>52</v>
      </c>
      <c r="E38" s="54">
        <v>0.5</v>
      </c>
      <c r="F38" s="54"/>
      <c r="G38" s="54">
        <v>0.5</v>
      </c>
      <c r="H38" s="54"/>
      <c r="I38" s="56">
        <f t="shared" si="1"/>
        <v>17.8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269</v>
      </c>
      <c r="C39" s="63">
        <v>4</v>
      </c>
      <c r="D39" s="63">
        <v>0</v>
      </c>
      <c r="E39" s="54"/>
      <c r="F39" s="54"/>
      <c r="G39" s="54"/>
      <c r="H39" s="54"/>
      <c r="I39" s="52">
        <f t="shared" si="1"/>
        <v>15.142857142857142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34</v>
      </c>
      <c r="B40" s="63">
        <v>325</v>
      </c>
      <c r="C40" s="63">
        <v>5</v>
      </c>
      <c r="D40" s="63">
        <v>325</v>
      </c>
      <c r="E40" s="54">
        <v>0.7</v>
      </c>
      <c r="F40" s="54"/>
      <c r="G40" s="54">
        <v>0.3</v>
      </c>
      <c r="H40" s="54"/>
      <c r="I40" s="52">
        <f t="shared" si="1"/>
        <v>14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Pin taeda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12</v>
      </c>
      <c r="B62" s="63">
        <v>106</v>
      </c>
      <c r="C62" s="63">
        <v>1</v>
      </c>
      <c r="D62" s="63">
        <v>34</v>
      </c>
      <c r="E62" s="54"/>
      <c r="F62" s="54"/>
      <c r="G62" s="54">
        <v>1</v>
      </c>
      <c r="H62" s="54"/>
      <c r="I62" s="56">
        <f>IFERROR(B62/A62,"")</f>
        <v>8.8333333333333339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17</v>
      </c>
      <c r="B63" s="63">
        <v>176</v>
      </c>
      <c r="C63" s="63">
        <v>2</v>
      </c>
      <c r="D63" s="63">
        <v>43</v>
      </c>
      <c r="E63" s="54">
        <v>0.2</v>
      </c>
      <c r="F63" s="54"/>
      <c r="G63" s="54">
        <v>0.8</v>
      </c>
      <c r="H63" s="54"/>
      <c r="I63" s="52">
        <f>IF(A63&lt;&gt;0,(B63-(B62-D62))/(A63-A62),"")</f>
        <v>20.8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22</v>
      </c>
      <c r="B64" s="63">
        <v>232</v>
      </c>
      <c r="C64" s="63">
        <v>3</v>
      </c>
      <c r="D64" s="63">
        <v>56</v>
      </c>
      <c r="E64" s="54">
        <v>0.4</v>
      </c>
      <c r="F64" s="54"/>
      <c r="G64" s="54">
        <v>0.6</v>
      </c>
      <c r="H64" s="54"/>
      <c r="I64" s="52">
        <f>IF(A64&lt;&gt;0,(B64-(B63-D63))/(A64-A63),"")</f>
        <v>19.8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30</v>
      </c>
      <c r="B65" s="63">
        <v>309</v>
      </c>
      <c r="C65" s="63">
        <v>4</v>
      </c>
      <c r="D65" s="63">
        <v>309</v>
      </c>
      <c r="E65" s="54">
        <v>0.4</v>
      </c>
      <c r="F65" s="54">
        <v>0.4</v>
      </c>
      <c r="G65" s="54">
        <v>0.2</v>
      </c>
      <c r="H65" s="54"/>
      <c r="I65" s="52">
        <f>IF(A65&lt;&gt;0,(B65-(B64-D64))/(A65-A64),"")</f>
        <v>16.625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Chêne rouge d'Amérique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20</v>
      </c>
      <c r="B88" s="63">
        <v>132</v>
      </c>
      <c r="C88" s="63">
        <v>1</v>
      </c>
      <c r="D88" s="63">
        <v>50</v>
      </c>
      <c r="E88" s="54"/>
      <c r="F88" s="54"/>
      <c r="G88" s="54"/>
      <c r="H88" s="54">
        <v>1</v>
      </c>
      <c r="I88" s="56">
        <f>IFERROR(B88/A88,"")</f>
        <v>6.6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25</v>
      </c>
      <c r="B89" s="63">
        <v>143</v>
      </c>
      <c r="C89" s="63">
        <v>2</v>
      </c>
      <c r="D89" s="63">
        <v>37</v>
      </c>
      <c r="E89" s="54"/>
      <c r="F89" s="54"/>
      <c r="G89" s="54"/>
      <c r="H89" s="54">
        <v>1</v>
      </c>
      <c r="I89" s="56">
        <f t="shared" ref="I89:I107" si="3">IF(A89&lt;&gt;0,(B89-(B88-D88))/(A89-A88),"")</f>
        <v>12.2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30</v>
      </c>
      <c r="B90" s="63">
        <v>163</v>
      </c>
      <c r="C90" s="63">
        <v>3</v>
      </c>
      <c r="D90" s="63">
        <v>37</v>
      </c>
      <c r="E90" s="93"/>
      <c r="F90" s="93"/>
      <c r="G90" s="93"/>
      <c r="H90" s="93">
        <v>1</v>
      </c>
      <c r="I90" s="56">
        <f t="shared" si="3"/>
        <v>11.4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35</v>
      </c>
      <c r="B91" s="63">
        <v>179</v>
      </c>
      <c r="C91" s="63">
        <v>4</v>
      </c>
      <c r="D91" s="63">
        <v>36</v>
      </c>
      <c r="E91" s="93"/>
      <c r="F91" s="93"/>
      <c r="G91" s="93"/>
      <c r="H91" s="93"/>
      <c r="I91" s="56">
        <f t="shared" si="3"/>
        <v>10.6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40</v>
      </c>
      <c r="B92" s="63">
        <v>191</v>
      </c>
      <c r="C92" s="63">
        <v>5</v>
      </c>
      <c r="D92" s="63">
        <v>33</v>
      </c>
      <c r="E92" s="93"/>
      <c r="F92" s="93"/>
      <c r="G92" s="93"/>
      <c r="H92" s="93"/>
      <c r="I92" s="56">
        <f t="shared" si="3"/>
        <v>9.6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45</v>
      </c>
      <c r="B93" s="63">
        <v>201</v>
      </c>
      <c r="C93" s="63">
        <v>6</v>
      </c>
      <c r="D93" s="63">
        <v>31</v>
      </c>
      <c r="E93" s="93"/>
      <c r="F93" s="93"/>
      <c r="G93" s="93"/>
      <c r="H93" s="93"/>
      <c r="I93" s="56">
        <f t="shared" si="3"/>
        <v>8.6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50</v>
      </c>
      <c r="B94" s="63">
        <v>209</v>
      </c>
      <c r="C94" s="63">
        <v>7</v>
      </c>
      <c r="D94" s="63">
        <v>28</v>
      </c>
      <c r="E94" s="93"/>
      <c r="F94" s="93"/>
      <c r="G94" s="93"/>
      <c r="H94" s="93"/>
      <c r="I94" s="56">
        <f t="shared" si="3"/>
        <v>7.8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>
        <v>55</v>
      </c>
      <c r="B95" s="63">
        <v>215</v>
      </c>
      <c r="C95" s="63">
        <v>8</v>
      </c>
      <c r="D95" s="63">
        <v>25</v>
      </c>
      <c r="E95" s="93"/>
      <c r="F95" s="93"/>
      <c r="G95" s="93"/>
      <c r="H95" s="93"/>
      <c r="I95" s="56">
        <f t="shared" si="3"/>
        <v>6.8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>
        <v>60</v>
      </c>
      <c r="B96" s="63">
        <v>220</v>
      </c>
      <c r="C96" s="63">
        <v>9</v>
      </c>
      <c r="D96" s="63">
        <v>22</v>
      </c>
      <c r="E96" s="93"/>
      <c r="F96" s="93"/>
      <c r="G96" s="93"/>
      <c r="H96" s="93"/>
      <c r="I96" s="56">
        <f t="shared" si="3"/>
        <v>6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>
        <v>65</v>
      </c>
      <c r="B97" s="63">
        <v>224</v>
      </c>
      <c r="C97" s="63">
        <v>10</v>
      </c>
      <c r="D97" s="63">
        <v>20</v>
      </c>
      <c r="E97" s="93"/>
      <c r="F97" s="93"/>
      <c r="G97" s="93"/>
      <c r="H97" s="93"/>
      <c r="I97" s="56">
        <f t="shared" si="3"/>
        <v>5.2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>
        <v>70</v>
      </c>
      <c r="B98" s="63">
        <v>227</v>
      </c>
      <c r="C98" s="63">
        <v>11</v>
      </c>
      <c r="D98" s="63">
        <v>17</v>
      </c>
      <c r="E98" s="93"/>
      <c r="F98" s="93"/>
      <c r="G98" s="93"/>
      <c r="H98" s="93"/>
      <c r="I98" s="56">
        <f t="shared" si="3"/>
        <v>4.5999999999999996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>
        <v>75</v>
      </c>
      <c r="B99" s="63">
        <v>230</v>
      </c>
      <c r="C99" s="63">
        <v>12</v>
      </c>
      <c r="D99" s="63">
        <v>15</v>
      </c>
      <c r="E99" s="93"/>
      <c r="F99" s="93"/>
      <c r="G99" s="93"/>
      <c r="H99" s="93"/>
      <c r="I99" s="56">
        <f t="shared" si="3"/>
        <v>4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>
        <v>80</v>
      </c>
      <c r="B100" s="63">
        <v>233</v>
      </c>
      <c r="C100" s="63">
        <v>13</v>
      </c>
      <c r="D100" s="63">
        <v>13</v>
      </c>
      <c r="E100" s="68"/>
      <c r="F100" s="68"/>
      <c r="G100" s="68"/>
      <c r="H100" s="68"/>
      <c r="I100" s="56">
        <f t="shared" si="3"/>
        <v>3.6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>
        <v>85</v>
      </c>
      <c r="B101" s="63">
        <v>235</v>
      </c>
      <c r="C101" s="63">
        <v>14</v>
      </c>
      <c r="D101" s="63">
        <v>12</v>
      </c>
      <c r="E101" s="68"/>
      <c r="F101" s="68"/>
      <c r="G101" s="68"/>
      <c r="H101" s="68"/>
      <c r="I101" s="56">
        <f t="shared" si="3"/>
        <v>3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>
        <v>90</v>
      </c>
      <c r="B102" s="53">
        <v>236</v>
      </c>
      <c r="C102" s="63">
        <v>15</v>
      </c>
      <c r="D102" s="53">
        <v>236</v>
      </c>
      <c r="E102" s="57"/>
      <c r="F102" s="57"/>
      <c r="G102" s="57"/>
      <c r="H102" s="57"/>
      <c r="I102" s="56">
        <f t="shared" si="3"/>
        <v>2.6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20" sqref="G20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9" t="s">
        <v>191</v>
      </c>
      <c r="C2" s="310"/>
      <c r="D2" s="310"/>
      <c r="E2" s="310"/>
      <c r="F2" s="310"/>
      <c r="G2" s="311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8"/>
      <c r="C4" s="308"/>
      <c r="D4" s="308"/>
      <c r="E4" s="308"/>
      <c r="F4" s="308"/>
      <c r="G4" s="308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5" t="s">
        <v>176</v>
      </c>
      <c r="C1" s="316"/>
      <c r="D1" s="316"/>
      <c r="E1" s="316"/>
      <c r="F1" s="316"/>
      <c r="G1" s="316"/>
      <c r="H1" s="317"/>
      <c r="I1" s="312" t="str">
        <f>IF('Données projet'!$B$9="","",'Données projet'!$B$9)</f>
        <v>Pin maritime</v>
      </c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4"/>
      <c r="AD1" s="313" t="str">
        <f>IF('Données projet'!$B$10="","",'Données projet'!$B$10)</f>
        <v>Pin taeda</v>
      </c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  <c r="AP1" s="313"/>
      <c r="AQ1" s="313"/>
      <c r="AR1" s="313"/>
      <c r="AS1" s="313"/>
      <c r="AT1" s="313"/>
      <c r="AU1" s="313"/>
      <c r="AV1" s="313"/>
      <c r="AW1" s="313"/>
      <c r="AX1" s="314"/>
      <c r="AY1" s="312" t="str">
        <f>IF('Données projet'!$B$11="","",'Données projet'!$B$11)</f>
        <v>Chêne rouge d'Amérique</v>
      </c>
      <c r="AZ1" s="313"/>
      <c r="BA1" s="313"/>
      <c r="BB1" s="313"/>
      <c r="BC1" s="313"/>
      <c r="BD1" s="313"/>
      <c r="BE1" s="313"/>
      <c r="BF1" s="313"/>
      <c r="BG1" s="313"/>
      <c r="BH1" s="313"/>
      <c r="BI1" s="313"/>
      <c r="BJ1" s="313"/>
      <c r="BK1" s="313"/>
      <c r="BL1" s="313"/>
      <c r="BM1" s="313"/>
      <c r="BN1" s="313"/>
      <c r="BO1" s="313"/>
      <c r="BP1" s="313"/>
      <c r="BQ1" s="313"/>
      <c r="BR1" s="313"/>
      <c r="BS1" s="314"/>
      <c r="BT1" s="312" t="str">
        <f>IF('Données projet'!$B$12="","",'Données projet'!$B$12)</f>
        <v/>
      </c>
      <c r="BU1" s="313"/>
      <c r="BV1" s="313"/>
      <c r="BW1" s="313"/>
      <c r="BX1" s="313"/>
      <c r="BY1" s="313"/>
      <c r="BZ1" s="313"/>
      <c r="CA1" s="313"/>
      <c r="CB1" s="313"/>
      <c r="CC1" s="313"/>
      <c r="CD1" s="313"/>
      <c r="CE1" s="313"/>
      <c r="CF1" s="313"/>
      <c r="CG1" s="313"/>
      <c r="CH1" s="313"/>
      <c r="CI1" s="313"/>
      <c r="CJ1" s="313"/>
      <c r="CK1" s="313"/>
      <c r="CL1" s="313"/>
      <c r="CM1" s="313"/>
      <c r="CN1" s="314"/>
      <c r="CO1" s="312" t="str">
        <f>IF('Données projet'!$B$13="","",'Données projet'!$B$13)</f>
        <v/>
      </c>
      <c r="CP1" s="313"/>
      <c r="CQ1" s="313"/>
      <c r="CR1" s="313"/>
      <c r="CS1" s="313"/>
      <c r="CT1" s="313"/>
      <c r="CU1" s="313"/>
      <c r="CV1" s="313"/>
      <c r="CW1" s="313"/>
      <c r="CX1" s="313"/>
      <c r="CY1" s="313"/>
      <c r="CZ1" s="313"/>
      <c r="DA1" s="313"/>
      <c r="DB1" s="313"/>
      <c r="DC1" s="313"/>
      <c r="DD1" s="313"/>
      <c r="DE1" s="313"/>
      <c r="DF1" s="313"/>
      <c r="DG1" s="313"/>
      <c r="DH1" s="313"/>
      <c r="DI1" s="314"/>
      <c r="DJ1" s="312" t="str">
        <f>IF('Données projet'!$B$14="","",'Données projet'!$B$14)</f>
        <v/>
      </c>
      <c r="DK1" s="313"/>
      <c r="DL1" s="313"/>
      <c r="DM1" s="313"/>
      <c r="DN1" s="313"/>
      <c r="DO1" s="313"/>
      <c r="DP1" s="313"/>
      <c r="DQ1" s="313"/>
      <c r="DR1" s="313"/>
      <c r="DS1" s="313"/>
      <c r="DT1" s="313"/>
      <c r="DU1" s="313"/>
      <c r="DV1" s="313"/>
      <c r="DW1" s="313"/>
      <c r="DX1" s="313"/>
      <c r="DY1" s="313"/>
      <c r="DZ1" s="313"/>
      <c r="EA1" s="313"/>
      <c r="EB1" s="313"/>
      <c r="EC1" s="313"/>
      <c r="ED1" s="314"/>
      <c r="EE1" s="312" t="str">
        <f>IF('Données projet'!$B$15="","",'Données projet'!$B$15)</f>
        <v/>
      </c>
      <c r="EF1" s="313"/>
      <c r="EG1" s="313"/>
      <c r="EH1" s="313"/>
      <c r="EI1" s="313"/>
      <c r="EJ1" s="313"/>
      <c r="EK1" s="313"/>
      <c r="EL1" s="313"/>
      <c r="EM1" s="313"/>
      <c r="EN1" s="313"/>
      <c r="EO1" s="313"/>
      <c r="EP1" s="313"/>
      <c r="EQ1" s="313"/>
      <c r="ER1" s="313"/>
      <c r="ES1" s="313"/>
      <c r="ET1" s="313"/>
      <c r="EU1" s="313"/>
      <c r="EV1" s="313"/>
      <c r="EW1" s="313"/>
      <c r="EX1" s="313"/>
      <c r="EY1" s="314"/>
      <c r="EZ1" s="312" t="str">
        <f>IF('Données projet'!$B$16="","",'Données projet'!$B$16)</f>
        <v/>
      </c>
      <c r="FA1" s="313"/>
      <c r="FB1" s="313"/>
      <c r="FC1" s="313"/>
      <c r="FD1" s="313"/>
      <c r="FE1" s="313"/>
      <c r="FF1" s="313"/>
      <c r="FG1" s="313"/>
      <c r="FH1" s="313"/>
      <c r="FI1" s="313"/>
      <c r="FJ1" s="313"/>
      <c r="FK1" s="313"/>
      <c r="FL1" s="313"/>
      <c r="FM1" s="313"/>
      <c r="FN1" s="313"/>
      <c r="FO1" s="313"/>
      <c r="FP1" s="313"/>
      <c r="FQ1" s="313"/>
      <c r="FR1" s="313"/>
      <c r="FS1" s="313"/>
      <c r="FT1" s="314"/>
      <c r="FU1" s="312" t="str">
        <f>IF('Données projet'!$B$17="","",'Données projet'!$B$17)</f>
        <v/>
      </c>
      <c r="FV1" s="313"/>
      <c r="FW1" s="313"/>
      <c r="FX1" s="313"/>
      <c r="FY1" s="313"/>
      <c r="FZ1" s="313"/>
      <c r="GA1" s="313"/>
      <c r="GB1" s="313"/>
      <c r="GC1" s="313"/>
      <c r="GD1" s="313"/>
      <c r="GE1" s="313"/>
      <c r="GF1" s="313"/>
      <c r="GG1" s="313"/>
      <c r="GH1" s="313"/>
      <c r="GI1" s="313"/>
      <c r="GJ1" s="313"/>
      <c r="GK1" s="313"/>
      <c r="GL1" s="313"/>
      <c r="GM1" s="313"/>
      <c r="GN1" s="313"/>
      <c r="GO1" s="314"/>
      <c r="GP1" s="312" t="str">
        <f>IF('Données projet'!$B$18="","",'Données projet'!$B$18)</f>
        <v/>
      </c>
      <c r="GQ1" s="313"/>
      <c r="GR1" s="313"/>
      <c r="GS1" s="313"/>
      <c r="GT1" s="313"/>
      <c r="GU1" s="313"/>
      <c r="GV1" s="313"/>
      <c r="GW1" s="313"/>
      <c r="GX1" s="313"/>
      <c r="GY1" s="313"/>
      <c r="GZ1" s="313"/>
      <c r="HA1" s="313"/>
      <c r="HB1" s="313"/>
      <c r="HC1" s="313"/>
      <c r="HD1" s="313"/>
      <c r="HE1" s="313"/>
      <c r="HF1" s="313"/>
      <c r="HG1" s="313"/>
      <c r="HH1" s="313"/>
      <c r="HI1" s="313"/>
      <c r="HJ1" s="314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151.58413719376074</v>
      </c>
      <c r="T3" s="62">
        <f>IF('Données projet'!E9&gt;30,$R$33-$H$33,LOOKUP('Données projet'!$E$9,$A$3:$A$203,R3:R203)-LOOKUP('Données projet'!$E$9,$A$3:$A$203,$H$3:$H$203))</f>
        <v>310.105543138185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293.33333333333331</v>
      </c>
      <c r="AN3" s="62">
        <f ca="1">AVERAGE(OFFSET($AM$3,0,0,'Données projet'!$E$10+1,1))-AVERAGE(OFFSET($H$3,0,0,'Données projet'!$E$10+1,1))</f>
        <v>147.72913422715322</v>
      </c>
      <c r="AO3" s="62">
        <f>IF('Données projet'!E10&gt;30,$AM$33-$H$33,LOOKUP('Données projet'!$E$10,$A$3:$A$203,AM3:AM203)-LOOKUP('Données projet'!$E$10,$A$3:$A$203,$H$3:$H$203))</f>
        <v>361.07991692964799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293.33333333333331</v>
      </c>
      <c r="BI3" s="62">
        <f ca="1">AVERAGE(OFFSET($BH$3,0,0,'Données projet'!$E$11+1,1))-AVERAGE(OFFSET($H$3,0,0,'Données projet'!$E$11+1,1))</f>
        <v>236.12531905695994</v>
      </c>
      <c r="BJ3" s="62">
        <f>IF('Données projet'!E11&gt;30,$BH$33-$H$33,LOOKUP('Données projet'!$E$11,$A$3:$A$203,BH3:BH203)-LOOKUP('Données projet'!$E$11,$A$3:$A$203,$H$3:$H$203))</f>
        <v>270.64539221029258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2">
        <f>IFERROR(EXP(-1.0587+0.8836*LN(C4)+0.284),0)</f>
        <v>0.29258040116091422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70">
        <f t="shared" ref="H4:H67" si="1">(B4+E4+F4)*44/12+(C4+D4)*0.475*44/12</f>
        <v>294.8844275320219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7.7692307692307692</v>
      </c>
      <c r="N4" s="14">
        <f>IF('Données projet'!$A$36&gt;35,N3+M4-V3,IF(A4&lt;'Données projet'!$A$36,$K$205^A4,IF(A4='Données projet'!$A$36,'Données projet'!$B$36,N3+M4-V3)))</f>
        <v>1.4261938757879591</v>
      </c>
      <c r="O4" s="14">
        <f>N4*VLOOKUP('Données projet'!$B$9,Paramètres!$A$1:$I$89,3,0)*VLOOKUP('Données projet'!$B$9,Paramètres!$A$1:$I$89,5,0)</f>
        <v>0.85286393772119951</v>
      </c>
      <c r="P4" s="14">
        <f>EXP(-1.0587+0.8836*LN(O4)+0.284)</f>
        <v>0.40038464441801103</v>
      </c>
      <c r="Q4" s="22">
        <f t="shared" ref="Q4:Q34" si="2">(O4+P4)*0.475*44/12</f>
        <v>2.1827412805591249</v>
      </c>
      <c r="R4" s="62">
        <f t="shared" si="0"/>
        <v>295.51607461389244</v>
      </c>
      <c r="S4" s="62">
        <f ca="1">AVERAGE(OFFSET($R$3,0,0,'Données projet'!$E$9+1,1))-AVERAGE(OFFSET($H$3,0,0,'Données projet'!$E$9+1,1))</f>
        <v>151.58413719376074</v>
      </c>
      <c r="T4" s="62">
        <f>$T$3</f>
        <v>310.105543138185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8.8333333333333339</v>
      </c>
      <c r="AI4" s="14">
        <f>IF('Données projet'!$A$62&gt;35,AI3+AH4-AQ3,IF(A4&lt;'Données projet'!$A$62,$AF$205^A4,IF(A4='Données projet'!$A$62,'Données projet'!$B$62,AI3+AH4-AQ3)))</f>
        <v>1.4749438547769935</v>
      </c>
      <c r="AJ4" s="14">
        <f>AI4*VLOOKUP('Données projet'!$B$10,Paramètres!$A$1:$I$89,3,0)*VLOOKUP('Données projet'!$B$10,Paramètres!$A$1:$I$89,5,0)</f>
        <v>0.88201642515664225</v>
      </c>
      <c r="AK4" s="14">
        <f>EXP(-1.0587+0.8836*LN(AJ4)+0.284)</f>
        <v>0.4124537465701128</v>
      </c>
      <c r="AL4" s="22">
        <f t="shared" ref="AL4:AL67" si="4">(AJ4+AK4)*0.475*44/12</f>
        <v>2.254535549090765</v>
      </c>
      <c r="AM4" s="62">
        <f t="shared" ref="AM4:AM67" si="5">AL4+(AD4+AE4)*44/12</f>
        <v>295.58786888242406</v>
      </c>
      <c r="AN4" s="62">
        <f ca="1">AVERAGE(OFFSET($AM$3,0,0,'Données projet'!$E$10+1,1))-AVERAGE(OFFSET($H$3,0,0,'Données projet'!$E$10+1,1))</f>
        <v>147.72913422715322</v>
      </c>
      <c r="AO4" s="62">
        <f>$AO$3</f>
        <v>361.07991692964799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6.6</v>
      </c>
      <c r="BD4" s="13">
        <f>IF('Données projet'!$A$88&gt;35,BD3+BC4-BL3,IF(A4&lt;'Données projet'!$A$88,$BA$205^A4,IF(A4='Données projet'!$A$88,'Données projet'!$B$88,BD3+BC4-BL3)))</f>
        <v>1.2765231539157764</v>
      </c>
      <c r="BE4" s="14">
        <f>BD4*VLOOKUP('Données projet'!$B$11,Paramètres!$A$1:$I$89,3,0)*VLOOKUP('Données projet'!$B$11,Paramètres!$A$1:$I$89,5,0)</f>
        <v>1.1151706272608224</v>
      </c>
      <c r="BF4" s="14">
        <f>EXP(-1.0587+0.8836*LN(BE4)+0.284)</f>
        <v>0.50743784838663863</v>
      </c>
      <c r="BG4" s="22">
        <f t="shared" ref="BG4:BG67" si="7">(BE4+BF4)*0.475*44/12</f>
        <v>2.8260430950859945</v>
      </c>
      <c r="BH4" s="62">
        <f t="shared" ref="BH4:BH67" si="8">BG4+(AY4+AZ4)*44/12</f>
        <v>296.15937642841931</v>
      </c>
      <c r="BI4" s="62">
        <f ca="1">AVERAGE(OFFSET($BH$3,0,0,'Données projet'!$E$11+1,1))-AVERAGE(OFFSET($H$3,0,0,'Données projet'!$E$11+1,1))</f>
        <v>236.12531905695994</v>
      </c>
      <c r="BJ4" s="62">
        <f>$BJ$3</f>
        <v>270.64539221029258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2">
        <f t="shared" ref="D5:D68" si="32">IFERROR(EXP(-1.0587+0.8836*LN(C5)+0.284),0)</f>
        <v>0.53980305140256757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70">
        <f t="shared" si="1"/>
        <v>296.35652364785943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7.7692307692307692</v>
      </c>
      <c r="N5" s="14">
        <f>IF('Données projet'!$A$36&gt;35,N4+M5-V4,IF(A5&lt;'Données projet'!$A$36,$K$205^A5,IF(A5='Données projet'!$A$36,'Données projet'!$B$36,N4+M5-V4)))</f>
        <v>2.0340289713350805</v>
      </c>
      <c r="O5" s="14">
        <f>N5*VLOOKUP('Données projet'!$B$9,Paramètres!$A$1:$I$89,3,0)*VLOOKUP('Données projet'!$B$9,Paramètres!$A$1:$I$89,5,0)</f>
        <v>1.2163493248583781</v>
      </c>
      <c r="P5" s="14">
        <f t="shared" ref="P5:P68" si="33">EXP(-1.0587+0.8836*LN(O5)+0.284)</f>
        <v>0.54791046443869817</v>
      </c>
      <c r="Q5" s="22">
        <f t="shared" si="2"/>
        <v>3.072752466359074</v>
      </c>
      <c r="R5" s="62">
        <f t="shared" si="0"/>
        <v>296.40608579969239</v>
      </c>
      <c r="S5" s="62">
        <f ca="1">AVERAGE(OFFSET($R$3,0,0,'Données projet'!$E$9+1,1))-AVERAGE(OFFSET($H$3,0,0,'Données projet'!$E$9+1,1))</f>
        <v>151.58413719376074</v>
      </c>
      <c r="T5" s="62">
        <f t="shared" ref="T5:T68" si="34">$T$3</f>
        <v>310.105543138185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8.8333333333333339</v>
      </c>
      <c r="AI5" s="14">
        <f>IF('Données projet'!$A$62&gt;35,AI4+AH5-AQ4,IF(A5&lt;'Données projet'!$A$62,$AF$205^A5,IF(A5='Données projet'!$A$62,'Données projet'!$B$62,AI4+AH5-AQ4)))</f>
        <v>2.1754593747444169</v>
      </c>
      <c r="AJ5" s="14">
        <f>AI5*VLOOKUP('Données projet'!$B$10,Paramètres!$A$1:$I$89,3,0)*VLOOKUP('Données projet'!$B$10,Paramètres!$A$1:$I$89,5,0)</f>
        <v>1.3009247060971614</v>
      </c>
      <c r="AK5" s="14">
        <f t="shared" ref="AK5:AK68" si="35">EXP(-1.0587+0.8836*LN(AJ5)+0.284)</f>
        <v>0.58144049425293109</v>
      </c>
      <c r="AL5" s="22">
        <f t="shared" si="4"/>
        <v>3.2784527239430776</v>
      </c>
      <c r="AM5" s="62">
        <f t="shared" si="5"/>
        <v>296.61178605727639</v>
      </c>
      <c r="AN5" s="62">
        <f ca="1">AVERAGE(OFFSET($AM$3,0,0,'Données projet'!$E$10+1,1))-AVERAGE(OFFSET($H$3,0,0,'Données projet'!$E$10+1,1))</f>
        <v>147.72913422715322</v>
      </c>
      <c r="AO5" s="62">
        <f t="shared" ref="AO5:AO68" si="36">$AO$3</f>
        <v>361.07991692964799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6.6</v>
      </c>
      <c r="BD5" s="13">
        <f>IF('Données projet'!$A$88&gt;35,BD4+BC5-BL4,IF(A5&lt;'Données projet'!$A$88,$BA$205^A5,IF(A5='Données projet'!$A$88,'Données projet'!$B$88,BD4+BC5-BL4)))</f>
        <v>1.629511362483081</v>
      </c>
      <c r="BE5" s="14">
        <f>BD5*VLOOKUP('Données projet'!$B$11,Paramètres!$A$1:$I$89,3,0)*VLOOKUP('Données projet'!$B$11,Paramètres!$A$1:$I$89,5,0)</f>
        <v>1.4235411262652198</v>
      </c>
      <c r="BF5" s="14">
        <f t="shared" ref="BF5:BF68" si="37">EXP(-1.0587+0.8836*LN(BE5)+0.284)</f>
        <v>0.62960738463416654</v>
      </c>
      <c r="BG5" s="22">
        <f t="shared" si="7"/>
        <v>3.5759003231497637</v>
      </c>
      <c r="BH5" s="62">
        <f t="shared" si="8"/>
        <v>296.90923365648308</v>
      </c>
      <c r="BI5" s="62">
        <f ca="1">AVERAGE(OFFSET($BH$3,0,0,'Données projet'!$E$11+1,1))-AVERAGE(OFFSET($H$3,0,0,'Données projet'!$E$11+1,1))</f>
        <v>236.12531905695994</v>
      </c>
      <c r="BJ5" s="62">
        <f t="shared" ref="BJ5:BJ68" si="38">$BJ$3</f>
        <v>270.64539221029258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2">
        <f t="shared" si="32"/>
        <v>0.77237742491396744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70">
        <f t="shared" si="1"/>
        <v>297.80310734839179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7.7692307692307692</v>
      </c>
      <c r="N6" s="14">
        <f>IF('Données projet'!$A$36&gt;35,N5+M6-V5,IF(A6&lt;'Données projet'!$A$36,$K$205^A6,IF(A6='Données projet'!$A$36,'Données projet'!$B$36,N5+M6-V5)))</f>
        <v>2.9009196620933739</v>
      </c>
      <c r="O6" s="14">
        <f>N6*VLOOKUP('Données projet'!$B$9,Paramètres!$A$1:$I$89,3,0)*VLOOKUP('Données projet'!$B$9,Paramètres!$A$1:$I$89,5,0)</f>
        <v>1.7347499579318377</v>
      </c>
      <c r="P6" s="14">
        <f t="shared" si="33"/>
        <v>0.74979368271678282</v>
      </c>
      <c r="Q6" s="22">
        <f t="shared" si="2"/>
        <v>4.3272468407963478</v>
      </c>
      <c r="R6" s="62">
        <f t="shared" si="0"/>
        <v>297.66058017412968</v>
      </c>
      <c r="S6" s="62">
        <f ca="1">AVERAGE(OFFSET($R$3,0,0,'Données projet'!$E$9+1,1))-AVERAGE(OFFSET($H$3,0,0,'Données projet'!$E$9+1,1))</f>
        <v>151.58413719376074</v>
      </c>
      <c r="T6" s="62">
        <f t="shared" si="34"/>
        <v>310.105543138185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8.8333333333333339</v>
      </c>
      <c r="AI6" s="14">
        <f>IF('Données projet'!$A$62&gt;35,AI5+AH6-AQ5,IF(A6&lt;'Données projet'!$A$62,$AF$205^A6,IF(A6='Données projet'!$A$62,'Données projet'!$B$62,AI5+AH6-AQ5)))</f>
        <v>3.2086804360962784</v>
      </c>
      <c r="AJ6" s="14">
        <f>AI6*VLOOKUP('Données projet'!$B$10,Paramètres!$A$1:$I$89,3,0)*VLOOKUP('Données projet'!$B$10,Paramètres!$A$1:$I$89,5,0)</f>
        <v>1.9187909007855746</v>
      </c>
      <c r="AK6" s="14">
        <f t="shared" si="35"/>
        <v>0.81966293473739615</v>
      </c>
      <c r="AL6" s="22">
        <f t="shared" si="4"/>
        <v>4.7694737635358404</v>
      </c>
      <c r="AM6" s="62">
        <f t="shared" si="5"/>
        <v>298.10280709686913</v>
      </c>
      <c r="AN6" s="62">
        <f ca="1">AVERAGE(OFFSET($AM$3,0,0,'Données projet'!$E$10+1,1))-AVERAGE(OFFSET($H$3,0,0,'Données projet'!$E$10+1,1))</f>
        <v>147.72913422715322</v>
      </c>
      <c r="AO6" s="62">
        <f t="shared" si="36"/>
        <v>361.07991692964799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6.6</v>
      </c>
      <c r="BD6" s="13">
        <f>IF('Données projet'!$A$88&gt;35,BD5+BC6-BL5,IF(A6&lt;'Données projet'!$A$88,$BA$205^A6,IF(A6='Données projet'!$A$88,'Données projet'!$B$88,BD5+BC6-BL5)))</f>
        <v>2.0801089837784965</v>
      </c>
      <c r="BE6" s="14">
        <f>BD6*VLOOKUP('Données projet'!$B$11,Paramètres!$A$1:$I$89,3,0)*VLOOKUP('Données projet'!$B$11,Paramètres!$A$1:$I$89,5,0)</f>
        <v>1.8171832082288948</v>
      </c>
      <c r="BF6" s="14">
        <f t="shared" si="37"/>
        <v>0.7811901694881791</v>
      </c>
      <c r="BG6" s="22">
        <f t="shared" si="7"/>
        <v>4.5255002995239044</v>
      </c>
      <c r="BH6" s="62">
        <f t="shared" si="8"/>
        <v>297.85883363285723</v>
      </c>
      <c r="BI6" s="62">
        <f ca="1">AVERAGE(OFFSET($BH$3,0,0,'Données projet'!$E$11+1,1))-AVERAGE(OFFSET($H$3,0,0,'Données projet'!$E$11+1,1))</f>
        <v>236.12531905695994</v>
      </c>
      <c r="BJ6" s="62">
        <f t="shared" si="38"/>
        <v>270.64539221029258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2">
        <f t="shared" si="32"/>
        <v>0.99592225982103644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70">
        <f t="shared" si="1"/>
        <v>299.23396460252161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7.7692307692307692</v>
      </c>
      <c r="N7" s="14">
        <f>IF('Données projet'!$A$36&gt;35,N6+M7-V6,IF(A7&lt;'Données projet'!$A$36,$K$205^A7,IF(A7='Données projet'!$A$36,'Données projet'!$B$36,N6+M7-V6)))</f>
        <v>4.1372738562304461</v>
      </c>
      <c r="O7" s="14">
        <f>N7*VLOOKUP('Données projet'!$B$9,Paramètres!$A$1:$I$89,3,0)*VLOOKUP('Données projet'!$B$9,Paramètres!$A$1:$I$89,5,0)</f>
        <v>2.474089766025807</v>
      </c>
      <c r="P7" s="14">
        <f t="shared" si="33"/>
        <v>1.0260628389675426</v>
      </c>
      <c r="Q7" s="22">
        <f t="shared" si="2"/>
        <v>6.0960991203634167</v>
      </c>
      <c r="R7" s="62">
        <f t="shared" si="0"/>
        <v>299.42943245369673</v>
      </c>
      <c r="S7" s="62">
        <f ca="1">AVERAGE(OFFSET($R$3,0,0,'Données projet'!$E$9+1,1))-AVERAGE(OFFSET($H$3,0,0,'Données projet'!$E$9+1,1))</f>
        <v>151.58413719376074</v>
      </c>
      <c r="T7" s="62">
        <f t="shared" si="34"/>
        <v>310.105543138185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8.8333333333333339</v>
      </c>
      <c r="AI7" s="14">
        <f>IF('Données projet'!$A$62&gt;35,AI6+AH7-AQ6,IF(A7&lt;'Données projet'!$A$62,$AF$205^A7,IF(A7='Données projet'!$A$62,'Données projet'!$B$62,AI6+AH7-AQ6)))</f>
        <v>4.7326234911633689</v>
      </c>
      <c r="AJ7" s="14">
        <f>AI7*VLOOKUP('Données projet'!$B$10,Paramètres!$A$1:$I$89,3,0)*VLOOKUP('Données projet'!$B$10,Paramètres!$A$1:$I$89,5,0)</f>
        <v>2.8301088477156946</v>
      </c>
      <c r="AK7" s="14">
        <f t="shared" si="35"/>
        <v>1.1554876779704684</v>
      </c>
      <c r="AL7" s="22">
        <f t="shared" si="4"/>
        <v>6.9415806155700679</v>
      </c>
      <c r="AM7" s="62">
        <f t="shared" si="5"/>
        <v>300.27491394890336</v>
      </c>
      <c r="AN7" s="62">
        <f ca="1">AVERAGE(OFFSET($AM$3,0,0,'Données projet'!$E$10+1,1))-AVERAGE(OFFSET($H$3,0,0,'Données projet'!$E$10+1,1))</f>
        <v>147.72913422715322</v>
      </c>
      <c r="AO7" s="62">
        <f t="shared" si="36"/>
        <v>361.07991692964799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6.6</v>
      </c>
      <c r="BD7" s="13">
        <f>IF('Données projet'!$A$88&gt;35,BD6+BC7-BL6,IF(A7&lt;'Données projet'!$A$88,$BA$205^A7,IF(A7='Données projet'!$A$88,'Données projet'!$B$88,BD6+BC7-BL6)))</f>
        <v>2.655307280461467</v>
      </c>
      <c r="BE7" s="14">
        <f>BD7*VLOOKUP('Données projet'!$B$11,Paramètres!$A$1:$I$89,3,0)*VLOOKUP('Données projet'!$B$11,Paramètres!$A$1:$I$89,5,0)</f>
        <v>2.3196764402111376</v>
      </c>
      <c r="BF7" s="14">
        <f t="shared" si="37"/>
        <v>0.96926766711854973</v>
      </c>
      <c r="BG7" s="22">
        <f t="shared" si="7"/>
        <v>5.7282443202658717</v>
      </c>
      <c r="BH7" s="62">
        <f t="shared" si="8"/>
        <v>299.06157765359916</v>
      </c>
      <c r="BI7" s="62">
        <f ca="1">AVERAGE(OFFSET($BH$3,0,0,'Données projet'!$E$11+1,1))-AVERAGE(OFFSET($H$3,0,0,'Données projet'!$E$11+1,1))</f>
        <v>236.12531905695994</v>
      </c>
      <c r="BJ7" s="62">
        <f t="shared" si="38"/>
        <v>270.64539221029258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2">
        <f t="shared" si="32"/>
        <v>1.2129841524368585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70">
        <f t="shared" si="1"/>
        <v>300.65353073216085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7.7692307692307692</v>
      </c>
      <c r="N8" s="14">
        <f>IF('Données projet'!$A$36&gt;35,N7+M8-V7,IF(A8&lt;'Données projet'!$A$36,$K$205^A8,IF(A8='Données projet'!$A$36,'Données projet'!$B$36,N7+M8-V7)))</f>
        <v>5.9005546362134957</v>
      </c>
      <c r="O8" s="14">
        <f>N8*VLOOKUP('Données projet'!$B$9,Paramètres!$A$1:$I$89,3,0)*VLOOKUP('Données projet'!$B$9,Paramètres!$A$1:$I$89,5,0)</f>
        <v>3.5285316724556708</v>
      </c>
      <c r="P8" s="14">
        <f t="shared" si="33"/>
        <v>1.404126193348852</v>
      </c>
      <c r="Q8" s="22">
        <f t="shared" si="2"/>
        <v>8.5910457829428761</v>
      </c>
      <c r="R8" s="62">
        <f t="shared" si="0"/>
        <v>301.92437911627621</v>
      </c>
      <c r="S8" s="62">
        <f ca="1">AVERAGE(OFFSET($R$3,0,0,'Données projet'!$E$9+1,1))-AVERAGE(OFFSET($H$3,0,0,'Données projet'!$E$9+1,1))</f>
        <v>151.58413719376074</v>
      </c>
      <c r="T8" s="62">
        <f t="shared" si="34"/>
        <v>310.105543138185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8.8333333333333339</v>
      </c>
      <c r="AI8" s="14">
        <f>IF('Données projet'!$A$62&gt;35,AI7+AH8-AQ7,IF(A8&lt;'Données projet'!$A$62,$AF$205^A8,IF(A8='Données projet'!$A$62,'Données projet'!$B$62,AI7+AH8-AQ7)))</f>
        <v>6.9803539352646524</v>
      </c>
      <c r="AJ8" s="14">
        <f>AI8*VLOOKUP('Données projet'!$B$10,Paramètres!$A$1:$I$89,3,0)*VLOOKUP('Données projet'!$B$10,Paramètres!$A$1:$I$89,5,0)</f>
        <v>4.1742516532882625</v>
      </c>
      <c r="AK8" s="14">
        <f t="shared" si="35"/>
        <v>1.6289034398869595</v>
      </c>
      <c r="AL8" s="22">
        <f t="shared" si="4"/>
        <v>10.107161787280178</v>
      </c>
      <c r="AM8" s="62">
        <f t="shared" si="5"/>
        <v>303.44049512061349</v>
      </c>
      <c r="AN8" s="62">
        <f ca="1">AVERAGE(OFFSET($AM$3,0,0,'Données projet'!$E$10+1,1))-AVERAGE(OFFSET($H$3,0,0,'Données projet'!$E$10+1,1))</f>
        <v>147.72913422715322</v>
      </c>
      <c r="AO8" s="62">
        <f t="shared" si="36"/>
        <v>361.07991692964799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6.6</v>
      </c>
      <c r="BD8" s="13">
        <f>IF('Données projet'!$A$88&gt;35,BD7+BC8-BL7,IF(A8&lt;'Données projet'!$A$88,$BA$205^A8,IF(A8='Données projet'!$A$88,'Données projet'!$B$88,BD7+BC8-BL7)))</f>
        <v>3.3895612242701949</v>
      </c>
      <c r="BE8" s="14">
        <f>BD8*VLOOKUP('Données projet'!$B$11,Paramètres!$A$1:$I$89,3,0)*VLOOKUP('Données projet'!$B$11,Paramètres!$A$1:$I$89,5,0)</f>
        <v>2.9611206855224426</v>
      </c>
      <c r="BF8" s="14">
        <f t="shared" si="37"/>
        <v>1.2026262582604759</v>
      </c>
      <c r="BG8" s="22">
        <f t="shared" si="7"/>
        <v>7.2518592604219156</v>
      </c>
      <c r="BH8" s="62">
        <f t="shared" si="8"/>
        <v>300.58519259375521</v>
      </c>
      <c r="BI8" s="62">
        <f ca="1">AVERAGE(OFFSET($BH$3,0,0,'Données projet'!$E$11+1,1))-AVERAGE(OFFSET($H$3,0,0,'Données projet'!$E$11+1,1))</f>
        <v>236.12531905695994</v>
      </c>
      <c r="BJ8" s="62">
        <f t="shared" si="38"/>
        <v>270.64539221029258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2">
        <f t="shared" si="32"/>
        <v>1.4250157876217819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70">
        <f t="shared" si="1"/>
        <v>302.06433583010789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7.7692307692307692</v>
      </c>
      <c r="N9" s="14">
        <f>IF('Données projet'!$A$36&gt;35,N8+M9-V8,IF(A9&lt;'Données projet'!$A$36,$K$205^A9,IF(A9='Données projet'!$A$36,'Données projet'!$B$36,N8+M9-V8)))</f>
        <v>8.4153348859199362</v>
      </c>
      <c r="O9" s="14">
        <f>N9*VLOOKUP('Données projet'!$B$9,Paramètres!$A$1:$I$89,3,0)*VLOOKUP('Données projet'!$B$9,Paramètres!$A$1:$I$89,5,0)</f>
        <v>5.0323702617801223</v>
      </c>
      <c r="P9" s="14">
        <f t="shared" si="33"/>
        <v>1.9214908599868947</v>
      </c>
      <c r="Q9" s="22">
        <f t="shared" si="2"/>
        <v>12.111308120410888</v>
      </c>
      <c r="R9" s="62">
        <f t="shared" si="0"/>
        <v>305.44464145374423</v>
      </c>
      <c r="S9" s="62">
        <f ca="1">AVERAGE(OFFSET($R$3,0,0,'Données projet'!$E$9+1,1))-AVERAGE(OFFSET($H$3,0,0,'Données projet'!$E$9+1,1))</f>
        <v>151.58413719376074</v>
      </c>
      <c r="T9" s="62">
        <f t="shared" si="34"/>
        <v>310.105543138185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8.8333333333333339</v>
      </c>
      <c r="AI9" s="14">
        <f>IF('Données projet'!$A$62&gt;35,AI8+AH9-AQ8,IF(A9&lt;'Données projet'!$A$62,$AF$205^A9,IF(A9='Données projet'!$A$62,'Données projet'!$B$62,AI8+AH9-AQ8)))</f>
        <v>10.295630140987003</v>
      </c>
      <c r="AJ9" s="14">
        <f>AI9*VLOOKUP('Données projet'!$B$10,Paramètres!$A$1:$I$89,3,0)*VLOOKUP('Données projet'!$B$10,Paramètres!$A$1:$I$89,5,0)</f>
        <v>6.1567868243102275</v>
      </c>
      <c r="AK9" s="14">
        <f t="shared" si="35"/>
        <v>2.2962827445602434</v>
      </c>
      <c r="AL9" s="22">
        <f t="shared" si="4"/>
        <v>14.722429499116073</v>
      </c>
      <c r="AM9" s="62">
        <f t="shared" si="5"/>
        <v>308.05576283244937</v>
      </c>
      <c r="AN9" s="62">
        <f ca="1">AVERAGE(OFFSET($AM$3,0,0,'Données projet'!$E$10+1,1))-AVERAGE(OFFSET($H$3,0,0,'Données projet'!$E$10+1,1))</f>
        <v>147.72913422715322</v>
      </c>
      <c r="AO9" s="62">
        <f t="shared" si="36"/>
        <v>361.07991692964799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6.6</v>
      </c>
      <c r="BD9" s="13">
        <f>IF('Données projet'!$A$88&gt;35,BD8+BC9-BL8,IF(A9&lt;'Données projet'!$A$88,$BA$205^A9,IF(A9='Données projet'!$A$88,'Données projet'!$B$88,BD8+BC9-BL8)))</f>
        <v>4.32685338439601</v>
      </c>
      <c r="BE9" s="14">
        <f>BD9*VLOOKUP('Données projet'!$B$11,Paramètres!$A$1:$I$89,3,0)*VLOOKUP('Données projet'!$B$11,Paramètres!$A$1:$I$89,5,0)</f>
        <v>3.7799391166083551</v>
      </c>
      <c r="BF9" s="14">
        <f t="shared" si="37"/>
        <v>1.4921677118944865</v>
      </c>
      <c r="BG9" s="22">
        <f t="shared" si="7"/>
        <v>9.1822527263091143</v>
      </c>
      <c r="BH9" s="62">
        <f t="shared" si="8"/>
        <v>302.51558605964243</v>
      </c>
      <c r="BI9" s="62">
        <f ca="1">AVERAGE(OFFSET($BH$3,0,0,'Données projet'!$E$11+1,1))-AVERAGE(OFFSET($H$3,0,0,'Données projet'!$E$11+1,1))</f>
        <v>236.12531905695994</v>
      </c>
      <c r="BJ9" s="62">
        <f t="shared" si="38"/>
        <v>270.64539221029258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2">
        <f t="shared" si="32"/>
        <v>1.6329536551363955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70">
        <f t="shared" si="1"/>
        <v>303.46801094936251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7.7692307692307692</v>
      </c>
      <c r="N10" s="14">
        <f>IF('Données projet'!$A$36&gt;35,N9+M10-V9,IF(A10&lt;'Données projet'!$A$36,$K$205^A10,IF(A10='Données projet'!$A$36,'Données projet'!$B$36,N9+M10-V9)))</f>
        <v>12.001899077003776</v>
      </c>
      <c r="O10" s="14">
        <f>N10*VLOOKUP('Données projet'!$B$9,Paramètres!$A$1:$I$89,3,0)*VLOOKUP('Données projet'!$B$9,Paramètres!$A$1:$I$89,5,0)</f>
        <v>7.1771356480482584</v>
      </c>
      <c r="P10" s="14">
        <f t="shared" si="33"/>
        <v>2.6294838330787229</v>
      </c>
      <c r="Q10" s="22">
        <f t="shared" si="2"/>
        <v>17.079862262962827</v>
      </c>
      <c r="R10" s="62">
        <f t="shared" si="0"/>
        <v>310.41319559629613</v>
      </c>
      <c r="S10" s="62">
        <f ca="1">AVERAGE(OFFSET($R$3,0,0,'Données projet'!$E$9+1,1))-AVERAGE(OFFSET($H$3,0,0,'Données projet'!$E$9+1,1))</f>
        <v>151.58413719376074</v>
      </c>
      <c r="T10" s="62">
        <f t="shared" si="34"/>
        <v>310.105543138185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8.8333333333333339</v>
      </c>
      <c r="AI10" s="14">
        <f>IF('Données projet'!$A$62&gt;35,AI9+AH10-AQ9,IF(A10&lt;'Données projet'!$A$62,$AF$205^A10,IF(A10='Données projet'!$A$62,'Données projet'!$B$62,AI9+AH10-AQ9)))</f>
        <v>15.18547640750557</v>
      </c>
      <c r="AJ10" s="14">
        <f>AI10*VLOOKUP('Données projet'!$B$10,Paramètres!$A$1:$I$89,3,0)*VLOOKUP('Données projet'!$B$10,Paramètres!$A$1:$I$89,5,0)</f>
        <v>9.080914891688332</v>
      </c>
      <c r="AK10" s="14">
        <f t="shared" si="35"/>
        <v>3.2370945470721373</v>
      </c>
      <c r="AL10" s="22">
        <f t="shared" si="4"/>
        <v>21.45386643917448</v>
      </c>
      <c r="AM10" s="62">
        <f t="shared" si="5"/>
        <v>314.78719977250779</v>
      </c>
      <c r="AN10" s="62">
        <f ca="1">AVERAGE(OFFSET($AM$3,0,0,'Données projet'!$E$10+1,1))-AVERAGE(OFFSET($H$3,0,0,'Données projet'!$E$10+1,1))</f>
        <v>147.72913422715322</v>
      </c>
      <c r="AO10" s="62">
        <f t="shared" si="36"/>
        <v>361.07991692964799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6.6</v>
      </c>
      <c r="BD10" s="13">
        <f>IF('Données projet'!$A$88&gt;35,BD9+BC10-BL9,IF(A10&lt;'Données projet'!$A$88,$BA$205^A10,IF(A10='Données projet'!$A$88,'Données projet'!$B$88,BD9+BC10-BL9)))</f>
        <v>5.5233285287803451</v>
      </c>
      <c r="BE10" s="14">
        <f>BD10*VLOOKUP('Données projet'!$B$11,Paramètres!$A$1:$I$89,3,0)*VLOOKUP('Données projet'!$B$11,Paramètres!$A$1:$I$89,5,0)</f>
        <v>4.8251798027425101</v>
      </c>
      <c r="BF10" s="14">
        <f t="shared" si="37"/>
        <v>1.8514184811173284</v>
      </c>
      <c r="BG10" s="22">
        <f t="shared" si="7"/>
        <v>11.628408677722552</v>
      </c>
      <c r="BH10" s="62">
        <f t="shared" si="8"/>
        <v>304.96174201105589</v>
      </c>
      <c r="BI10" s="62">
        <f ca="1">AVERAGE(OFFSET($BH$3,0,0,'Données projet'!$E$11+1,1))-AVERAGE(OFFSET($H$3,0,0,'Données projet'!$E$11+1,1))</f>
        <v>236.12531905695994</v>
      </c>
      <c r="BJ10" s="62">
        <f t="shared" si="38"/>
        <v>270.64539221029258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2">
        <f t="shared" si="32"/>
        <v>1.8374500570715413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70">
        <f t="shared" si="1"/>
        <v>304.86569218273291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7.7692307692307692</v>
      </c>
      <c r="N11" s="14">
        <f>IF('Données projet'!$A$36&gt;35,N10+M11-V10,IF(A11&lt;'Données projet'!$A$36,$K$205^A11,IF(A11='Données projet'!$A$36,'Données projet'!$B$36,N10+M11-V10)))</f>
        <v>17.117034961447946</v>
      </c>
      <c r="O11" s="14">
        <f>N11*VLOOKUP('Données projet'!$B$9,Paramètres!$A$1:$I$89,3,0)*VLOOKUP('Données projet'!$B$9,Paramètres!$A$1:$I$89,5,0)</f>
        <v>10.235986906945872</v>
      </c>
      <c r="P11" s="14">
        <f t="shared" si="33"/>
        <v>3.5983440631455994</v>
      </c>
      <c r="Q11" s="22">
        <f t="shared" si="2"/>
        <v>24.094793106242644</v>
      </c>
      <c r="R11" s="62">
        <f t="shared" si="0"/>
        <v>317.42812643957598</v>
      </c>
      <c r="S11" s="62">
        <f ca="1">AVERAGE(OFFSET($R$3,0,0,'Données projet'!$E$9+1,1))-AVERAGE(OFFSET($H$3,0,0,'Données projet'!$E$9+1,1))</f>
        <v>151.58413719376074</v>
      </c>
      <c r="T11" s="62">
        <f t="shared" si="34"/>
        <v>310.105543138185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8.8333333333333339</v>
      </c>
      <c r="AI11" s="14">
        <f>IF('Données projet'!$A$62&gt;35,AI10+AH11-AQ10,IF(A11&lt;'Données projet'!$A$62,$AF$205^A11,IF(A11='Données projet'!$A$62,'Données projet'!$B$62,AI10+AH11-AQ10)))</f>
        <v>22.397725109111352</v>
      </c>
      <c r="AJ11" s="14">
        <f>AI11*VLOOKUP('Données projet'!$B$10,Paramètres!$A$1:$I$89,3,0)*VLOOKUP('Données projet'!$B$10,Paramètres!$A$1:$I$89,5,0)</f>
        <v>13.39383961524859</v>
      </c>
      <c r="AK11" s="14">
        <f t="shared" si="35"/>
        <v>4.5633670903584358</v>
      </c>
      <c r="AL11" s="22">
        <f t="shared" si="4"/>
        <v>31.275468345598899</v>
      </c>
      <c r="AM11" s="62">
        <f t="shared" si="5"/>
        <v>324.6088016789322</v>
      </c>
      <c r="AN11" s="62">
        <f ca="1">AVERAGE(OFFSET($AM$3,0,0,'Données projet'!$E$10+1,1))-AVERAGE(OFFSET($H$3,0,0,'Données projet'!$E$10+1,1))</f>
        <v>147.72913422715322</v>
      </c>
      <c r="AO11" s="62">
        <f t="shared" si="36"/>
        <v>361.07991692964799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6.6</v>
      </c>
      <c r="BD11" s="13">
        <f>IF('Données projet'!$A$88&gt;35,BD10+BC11-BL10,IF(A11&lt;'Données projet'!$A$88,$BA$205^A11,IF(A11='Données projet'!$A$88,'Données projet'!$B$88,BD10+BC11-BL10)))</f>
        <v>7.0506567536716718</v>
      </c>
      <c r="BE11" s="14">
        <f>BD11*VLOOKUP('Données projet'!$B$11,Paramètres!$A$1:$I$89,3,0)*VLOOKUP('Données projet'!$B$11,Paramètres!$A$1:$I$89,5,0)</f>
        <v>6.1594537400075735</v>
      </c>
      <c r="BF11" s="14">
        <f t="shared" si="37"/>
        <v>2.2971616158822084</v>
      </c>
      <c r="BG11" s="22">
        <f t="shared" si="7"/>
        <v>14.728605078174702</v>
      </c>
      <c r="BH11" s="62">
        <f t="shared" si="8"/>
        <v>308.06193841150804</v>
      </c>
      <c r="BI11" s="62">
        <f ca="1">AVERAGE(OFFSET($BH$3,0,0,'Données projet'!$E$11+1,1))-AVERAGE(OFFSET($H$3,0,0,'Données projet'!$E$11+1,1))</f>
        <v>236.12531905695994</v>
      </c>
      <c r="BJ11" s="62">
        <f t="shared" si="38"/>
        <v>270.64539221029258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2">
        <f t="shared" si="32"/>
        <v>2.038984443761938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70">
        <f t="shared" si="1"/>
        <v>306.25821457288538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7.7692307692307692</v>
      </c>
      <c r="N12" s="14">
        <f>IF('Données projet'!$A$36&gt;35,N11+M12-V11,IF(A12&lt;'Données projet'!$A$36,$K$205^A12,IF(A12='Données projet'!$A$36,'Données projet'!$B$36,N11+M12-V11)))</f>
        <v>24.412210433665443</v>
      </c>
      <c r="O12" s="14">
        <f>N12*VLOOKUP('Données projet'!$B$9,Paramètres!$A$1:$I$89,3,0)*VLOOKUP('Données projet'!$B$9,Paramètres!$A$1:$I$89,5,0)</f>
        <v>14.598501839331936</v>
      </c>
      <c r="P12" s="14">
        <f t="shared" si="33"/>
        <v>4.9241907608973428</v>
      </c>
      <c r="Q12" s="22">
        <f t="shared" si="2"/>
        <v>34.002022945399325</v>
      </c>
      <c r="R12" s="62">
        <f t="shared" si="0"/>
        <v>327.33535627873266</v>
      </c>
      <c r="S12" s="62">
        <f ca="1">AVERAGE(OFFSET($R$3,0,0,'Données projet'!$E$9+1,1))-AVERAGE(OFFSET($H$3,0,0,'Données projet'!$E$9+1,1))</f>
        <v>151.58413719376074</v>
      </c>
      <c r="T12" s="62">
        <f t="shared" si="34"/>
        <v>310.105543138185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8.8333333333333339</v>
      </c>
      <c r="AI12" s="14">
        <f>IF('Données projet'!$A$62&gt;35,AI11+AH12-AQ11,IF(A12&lt;'Données projet'!$A$62,$AF$205^A12,IF(A12='Données projet'!$A$62,'Données projet'!$B$62,AI11+AH12-AQ11)))</f>
        <v>33.035387010668153</v>
      </c>
      <c r="AJ12" s="14">
        <f>AI12*VLOOKUP('Données projet'!$B$10,Paramètres!$A$1:$I$89,3,0)*VLOOKUP('Données projet'!$B$10,Paramètres!$A$1:$I$89,5,0)</f>
        <v>19.755161432379555</v>
      </c>
      <c r="AK12" s="14">
        <f t="shared" si="35"/>
        <v>6.433027796547198</v>
      </c>
      <c r="AL12" s="22">
        <f t="shared" si="4"/>
        <v>45.61109624038076</v>
      </c>
      <c r="AM12" s="62">
        <f t="shared" si="5"/>
        <v>338.94442957371405</v>
      </c>
      <c r="AN12" s="62">
        <f ca="1">AVERAGE(OFFSET($AM$3,0,0,'Données projet'!$E$10+1,1))-AVERAGE(OFFSET($H$3,0,0,'Données projet'!$E$10+1,1))</f>
        <v>147.72913422715322</v>
      </c>
      <c r="AO12" s="62">
        <f t="shared" si="36"/>
        <v>361.07991692964799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6.6</v>
      </c>
      <c r="BD12" s="13">
        <f>IF('Données projet'!$A$88&gt;35,BD11+BC12-BL11,IF(A12&lt;'Données projet'!$A$88,$BA$205^A12,IF(A12='Données projet'!$A$88,'Données projet'!$B$88,BD11+BC12-BL11)))</f>
        <v>9.0003265963745314</v>
      </c>
      <c r="BE12" s="14">
        <f>BD12*VLOOKUP('Données projet'!$B$11,Paramètres!$A$1:$I$89,3,0)*VLOOKUP('Données projet'!$B$11,Paramètres!$A$1:$I$89,5,0)</f>
        <v>7.8626853145927917</v>
      </c>
      <c r="BF12" s="14">
        <f t="shared" si="37"/>
        <v>2.8502208135558442</v>
      </c>
      <c r="BG12" s="22">
        <f t="shared" si="7"/>
        <v>18.658311506525539</v>
      </c>
      <c r="BH12" s="62">
        <f t="shared" si="8"/>
        <v>311.99164483985885</v>
      </c>
      <c r="BI12" s="62">
        <f ca="1">AVERAGE(OFFSET($BH$3,0,0,'Données projet'!$E$11+1,1))-AVERAGE(OFFSET($H$3,0,0,'Données projet'!$E$11+1,1))</f>
        <v>236.12531905695994</v>
      </c>
      <c r="BJ12" s="62">
        <f t="shared" si="38"/>
        <v>270.64539221029258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2">
        <f t="shared" si="32"/>
        <v>2.2379234705753914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70">
        <f t="shared" si="1"/>
        <v>307.64621671125212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7.7692307692307692</v>
      </c>
      <c r="N13" s="14">
        <f>IF('Données projet'!$A$36&gt;35,N12+M13-V12,IF(A13&lt;'Données projet'!$A$36,$K$205^A13,IF(A13='Données projet'!$A$36,'Données projet'!$B$36,N12+M13-V12)))</f>
        <v>34.816545014940573</v>
      </c>
      <c r="O13" s="14">
        <f>N13*VLOOKUP('Données projet'!$B$9,Paramètres!$A$1:$I$89,3,0)*VLOOKUP('Données projet'!$B$9,Paramètres!$A$1:$I$89,5,0)</f>
        <v>20.820293918934464</v>
      </c>
      <c r="P13" s="14">
        <f t="shared" si="33"/>
        <v>6.7385592439734481</v>
      </c>
      <c r="Q13" s="22">
        <f t="shared" si="2"/>
        <v>47.998335925397946</v>
      </c>
      <c r="R13" s="62">
        <f t="shared" si="0"/>
        <v>341.33166925873127</v>
      </c>
      <c r="S13" s="62">
        <f ca="1">AVERAGE(OFFSET($R$3,0,0,'Données projet'!$E$9+1,1))-AVERAGE(OFFSET($H$3,0,0,'Données projet'!$E$9+1,1))</f>
        <v>151.58413719376074</v>
      </c>
      <c r="T13" s="62">
        <f t="shared" si="34"/>
        <v>310.105543138185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8.8333333333333339</v>
      </c>
      <c r="AI13" s="14">
        <f>IF('Données projet'!$A$62&gt;35,AI12+AH13-AQ12,IF(A13&lt;'Données projet'!$A$62,$AF$205^A13,IF(A13='Données projet'!$A$62,'Données projet'!$B$62,AI12+AH13-AQ12)))</f>
        <v>48.725341061564706</v>
      </c>
      <c r="AJ13" s="14">
        <f>AI13*VLOOKUP('Données projet'!$B$10,Paramètres!$A$1:$I$89,3,0)*VLOOKUP('Données projet'!$B$10,Paramètres!$A$1:$I$89,5,0)</f>
        <v>29.137753954815693</v>
      </c>
      <c r="AK13" s="14">
        <f t="shared" si="35"/>
        <v>9.0687086556296208</v>
      </c>
      <c r="AL13" s="22">
        <f t="shared" si="4"/>
        <v>66.542922379858922</v>
      </c>
      <c r="AM13" s="62">
        <f t="shared" si="5"/>
        <v>359.87625571319222</v>
      </c>
      <c r="AN13" s="62">
        <f ca="1">AVERAGE(OFFSET($AM$3,0,0,'Données projet'!$E$10+1,1))-AVERAGE(OFFSET($H$3,0,0,'Données projet'!$E$10+1,1))</f>
        <v>147.72913422715322</v>
      </c>
      <c r="AO13" s="62">
        <f t="shared" si="36"/>
        <v>361.07991692964799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6.6</v>
      </c>
      <c r="BD13" s="13">
        <f>IF('Données projet'!$A$88&gt;35,BD12+BC13-BL12,IF(A13&lt;'Données projet'!$A$88,$BA$205^A13,IF(A13='Données projet'!$A$88,'Données projet'!$B$88,BD12+BC13-BL12)))</f>
        <v>11.489125293076063</v>
      </c>
      <c r="BE13" s="14">
        <f>BD13*VLOOKUP('Données projet'!$B$11,Paramètres!$A$1:$I$89,3,0)*VLOOKUP('Données projet'!$B$11,Paramètres!$A$1:$I$89,5,0)</f>
        <v>10.036899856031249</v>
      </c>
      <c r="BF13" s="14">
        <f t="shared" si="37"/>
        <v>3.5364332356333024</v>
      </c>
      <c r="BG13" s="22">
        <f t="shared" si="7"/>
        <v>23.640221801315761</v>
      </c>
      <c r="BH13" s="62">
        <f t="shared" si="8"/>
        <v>316.97355513464908</v>
      </c>
      <c r="BI13" s="62">
        <f ca="1">AVERAGE(OFFSET($BH$3,0,0,'Données projet'!$E$11+1,1))-AVERAGE(OFFSET($H$3,0,0,'Données projet'!$E$11+1,1))</f>
        <v>236.12531905695994</v>
      </c>
      <c r="BJ13" s="62">
        <f t="shared" si="38"/>
        <v>270.64539221029258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2">
        <f t="shared" si="32"/>
        <v>2.4345562183329115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70">
        <f t="shared" si="1"/>
        <v>309.03020208026311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7.7692307692307692</v>
      </c>
      <c r="N14" s="14">
        <f>IF('Données projet'!$A$36&gt;35,N13+M14-V13,IF(A14&lt;'Données projet'!$A$36,$K$205^A14,IF(A14='Données projet'!$A$36,'Données projet'!$B$36,N13+M14-V13)))</f>
        <v>49.65514327640404</v>
      </c>
      <c r="O14" s="14">
        <f>N14*VLOOKUP('Données projet'!$B$9,Paramètres!$A$1:$I$89,3,0)*VLOOKUP('Données projet'!$B$9,Paramètres!$A$1:$I$89,5,0)</f>
        <v>29.693775679289619</v>
      </c>
      <c r="P14" s="14">
        <f t="shared" si="33"/>
        <v>9.2214503640117265</v>
      </c>
      <c r="Q14" s="22">
        <f t="shared" si="2"/>
        <v>67.777352025416505</v>
      </c>
      <c r="R14" s="62">
        <f t="shared" si="0"/>
        <v>361.11068535874983</v>
      </c>
      <c r="S14" s="62">
        <f ca="1">AVERAGE(OFFSET($R$3,0,0,'Données projet'!$E$9+1,1))-AVERAGE(OFFSET($H$3,0,0,'Données projet'!$E$9+1,1))</f>
        <v>151.58413719376074</v>
      </c>
      <c r="T14" s="62">
        <f t="shared" si="34"/>
        <v>310.105543138185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8.8333333333333339</v>
      </c>
      <c r="AI14" s="14">
        <f>IF('Données projet'!$A$62&gt;35,AI13+AH14-AQ13,IF(A14&lt;'Données projet'!$A$62,$AF$205^A14,IF(A14='Données projet'!$A$62,'Données projet'!$B$62,AI13+AH14-AQ13)))</f>
        <v>71.867142370667978</v>
      </c>
      <c r="AJ14" s="14">
        <f>AI14*VLOOKUP('Données projet'!$B$10,Paramètres!$A$1:$I$89,3,0)*VLOOKUP('Données projet'!$B$10,Paramètres!$A$1:$I$89,5,0)</f>
        <v>42.976551137659456</v>
      </c>
      <c r="AK14" s="14">
        <f t="shared" si="35"/>
        <v>12.784256384658107</v>
      </c>
      <c r="AL14" s="22">
        <f t="shared" si="4"/>
        <v>97.116739768036425</v>
      </c>
      <c r="AM14" s="62">
        <f t="shared" si="5"/>
        <v>390.45007310136975</v>
      </c>
      <c r="AN14" s="62">
        <f ca="1">AVERAGE(OFFSET($AM$3,0,0,'Données projet'!$E$10+1,1))-AVERAGE(OFFSET($H$3,0,0,'Données projet'!$E$10+1,1))</f>
        <v>147.72913422715322</v>
      </c>
      <c r="AO14" s="62">
        <f t="shared" si="36"/>
        <v>361.07991692964799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6.6</v>
      </c>
      <c r="BD14" s="13">
        <f>IF('Données projet'!$A$88&gt;35,BD13+BC14-BL13,IF(A14&lt;'Données projet'!$A$88,$BA$205^A14,IF(A14='Données projet'!$A$88,'Données projet'!$B$88,BD13+BC14-BL13)))</f>
        <v>14.666134454850974</v>
      </c>
      <c r="BE14" s="14">
        <f>BD14*VLOOKUP('Données projet'!$B$11,Paramètres!$A$1:$I$89,3,0)*VLOOKUP('Données projet'!$B$11,Paramètres!$A$1:$I$89,5,0)</f>
        <v>12.812335059757812</v>
      </c>
      <c r="BF14" s="14">
        <f t="shared" si="37"/>
        <v>4.3878565375042955</v>
      </c>
      <c r="BG14" s="22">
        <f t="shared" si="7"/>
        <v>29.957000365231504</v>
      </c>
      <c r="BH14" s="62">
        <f t="shared" si="8"/>
        <v>323.29033369856484</v>
      </c>
      <c r="BI14" s="62">
        <f ca="1">AVERAGE(OFFSET($BH$3,0,0,'Données projet'!$E$11+1,1))-AVERAGE(OFFSET($H$3,0,0,'Données projet'!$E$11+1,1))</f>
        <v>236.12531905695994</v>
      </c>
      <c r="BJ14" s="62">
        <f t="shared" si="38"/>
        <v>270.64539221029258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2">
        <f t="shared" si="32"/>
        <v>2.629116193028969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70">
        <f t="shared" si="1"/>
        <v>310.41057736952541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7.7692307692307692</v>
      </c>
      <c r="N15" s="14">
        <f>IF('Données projet'!$A$36&gt;35,N14+M15-V14,IF(A15&lt;'Données projet'!$A$36,$K$205^A15,IF(A15='Données projet'!$A$36,'Données projet'!$B$36,N14+M15-V14)))</f>
        <v>70.81786124218111</v>
      </c>
      <c r="O15" s="14">
        <f>N15*VLOOKUP('Données projet'!$B$9,Paramètres!$A$1:$I$89,3,0)*VLOOKUP('Données projet'!$B$9,Paramètres!$A$1:$I$89,5,0)</f>
        <v>42.349081022824308</v>
      </c>
      <c r="P15" s="14">
        <f t="shared" si="33"/>
        <v>12.61918812867636</v>
      </c>
      <c r="Q15" s="22">
        <f t="shared" si="2"/>
        <v>95.736402105530317</v>
      </c>
      <c r="R15" s="62">
        <f t="shared" si="0"/>
        <v>389.06973543886363</v>
      </c>
      <c r="S15" s="62">
        <f ca="1">AVERAGE(OFFSET($R$3,0,0,'Données projet'!$E$9+1,1))-AVERAGE(OFFSET($H$3,0,0,'Données projet'!$E$9+1,1))</f>
        <v>151.58413719376074</v>
      </c>
      <c r="T15" s="62">
        <f t="shared" si="34"/>
        <v>310.105543138185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>
        <f>VLOOKUP(A15,'Données projet'!$A$61:$I$81,2,0)</f>
        <v>106</v>
      </c>
      <c r="AG15" s="13">
        <f>VLOOKUP(A15,'Données projet'!$A$61:$I$81,9,0)</f>
        <v>8.8333333333333339</v>
      </c>
      <c r="AH15" s="13">
        <f t="array" ref="AH15">INDEX(AG:AG,MIN(IF(ISNUMBER(AG15:AG211),ROW(AG15:AG211),"")))</f>
        <v>8.8333333333333339</v>
      </c>
      <c r="AI15" s="14">
        <f>IF('Données projet'!$A$62&gt;35,AI14+AH15-AQ14,IF(A15&lt;'Données projet'!$A$62,$AF$205^A15,IF(A15='Données projet'!$A$62,'Données projet'!$B$62,AI14+AH15-AQ14)))</f>
        <v>106</v>
      </c>
      <c r="AJ15" s="14">
        <f>AI15*VLOOKUP('Données projet'!$B$10,Paramètres!$A$1:$I$89,3,0)*VLOOKUP('Données projet'!$B$10,Paramètres!$A$1:$I$89,5,0)</f>
        <v>63.388000000000012</v>
      </c>
      <c r="AK15" s="14">
        <f t="shared" si="35"/>
        <v>18.022104085041263</v>
      </c>
      <c r="AL15" s="22">
        <f t="shared" si="4"/>
        <v>141.78926461478019</v>
      </c>
      <c r="AM15" s="62">
        <f t="shared" si="5"/>
        <v>435.12259794811348</v>
      </c>
      <c r="AN15" s="62">
        <f ca="1">AVERAGE(OFFSET($AM$3,0,0,'Données projet'!$E$10+1,1))-AVERAGE(OFFSET($H$3,0,0,'Données projet'!$E$10+1,1))</f>
        <v>147.72913422715322</v>
      </c>
      <c r="AO15" s="62">
        <f t="shared" si="36"/>
        <v>361.07991692964799</v>
      </c>
      <c r="AP15" s="16">
        <f>IF(ISNA(VLOOKUP(A15,'Données projet'!$A$61:$I$81,3,0)),0,VLOOKUP(A15,'Données projet'!$A$61:$I$81,3,0))</f>
        <v>1</v>
      </c>
      <c r="AQ15" s="16">
        <f>IF(ISNA(VLOOKUP(A15,'Données projet'!$A$61:$I$81,4,0)),0,VLOOKUP(A15,'Données projet'!$A$61:$I$81,4,0))</f>
        <v>34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1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23.020547073308105</v>
      </c>
      <c r="AX15" s="23">
        <f t="shared" si="6"/>
        <v>23.020547073308105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6.6</v>
      </c>
      <c r="BD15" s="13">
        <f>IF('Données projet'!$A$88&gt;35,BD14+BC15-BL14,IF(A15&lt;'Données projet'!$A$88,$BA$205^A15,IF(A15='Données projet'!$A$88,'Données projet'!$B$88,BD14+BC15-BL14)))</f>
        <v>18.721660210059202</v>
      </c>
      <c r="BE15" s="14">
        <f>BD15*VLOOKUP('Données projet'!$B$11,Paramètres!$A$1:$I$89,3,0)*VLOOKUP('Données projet'!$B$11,Paramètres!$A$1:$I$89,5,0)</f>
        <v>16.35524235950772</v>
      </c>
      <c r="BF15" s="14">
        <f t="shared" si="37"/>
        <v>5.4442664998513175</v>
      </c>
      <c r="BG15" s="22">
        <f t="shared" si="7"/>
        <v>37.967477930050322</v>
      </c>
      <c r="BH15" s="62">
        <f t="shared" si="8"/>
        <v>331.30081126338365</v>
      </c>
      <c r="BI15" s="62">
        <f ca="1">AVERAGE(OFFSET($BH$3,0,0,'Données projet'!$E$11+1,1))-AVERAGE(OFFSET($H$3,0,0,'Données projet'!$E$11+1,1))</f>
        <v>236.12531905695994</v>
      </c>
      <c r="BJ15" s="62">
        <f t="shared" si="38"/>
        <v>270.64539221029258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2">
        <f t="shared" si="32"/>
        <v>2.8217957637427893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70">
        <f t="shared" si="1"/>
        <v>311.78767762185203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>
        <f>VLOOKUP(A16,'Données projet'!$A$35:$I$55,2,0)</f>
        <v>101</v>
      </c>
      <c r="L16" s="13">
        <f>VLOOKUP(A16,'Données projet'!$A$35:$I$55,9,0)</f>
        <v>7.7692307692307692</v>
      </c>
      <c r="M16" s="13">
        <f t="array" ref="M16">INDEX(L:L,MIN(IF(ISNUMBER(L16:L212),ROW(L16:L212),"")))</f>
        <v>7.7692307692307692</v>
      </c>
      <c r="N16" s="14">
        <f>IF('Données projet'!$A$36&gt;35,N15+M16-V15,IF(A16&lt;'Données projet'!$A$36,$K$205^A16,IF(A16='Données projet'!$A$36,'Données projet'!$B$36,N15+M16-V15)))</f>
        <v>101</v>
      </c>
      <c r="O16" s="14">
        <f>N16*VLOOKUP('Données projet'!$B$9,Paramètres!$A$1:$I$89,3,0)*VLOOKUP('Données projet'!$B$9,Paramètres!$A$1:$I$89,5,0)</f>
        <v>60.398000000000003</v>
      </c>
      <c r="P16" s="14">
        <f t="shared" si="33"/>
        <v>17.26885714728807</v>
      </c>
      <c r="Q16" s="22">
        <f t="shared" si="2"/>
        <v>135.26977619819337</v>
      </c>
      <c r="R16" s="62">
        <f t="shared" si="0"/>
        <v>428.60310953152668</v>
      </c>
      <c r="S16" s="62">
        <f ca="1">AVERAGE(OFFSET($R$3,0,0,'Données projet'!$E$9+1,1))-AVERAGE(OFFSET($H$3,0,0,'Données projet'!$E$9+1,1))</f>
        <v>151.58413719376074</v>
      </c>
      <c r="T16" s="62">
        <f t="shared" si="34"/>
        <v>310.105543138185</v>
      </c>
      <c r="U16" s="16">
        <f>IF(ISNA(VLOOKUP(A16,'Données projet'!$A$35:$I$55,3,0)),0,VLOOKUP(A16,'Données projet'!$A$35:$I$55,3,0))</f>
        <v>1</v>
      </c>
      <c r="V16" s="16">
        <f>IF(ISNA(VLOOKUP(A16,'Données projet'!$A$35:$I$55,4,0)),0,VLOOKUP(A16,'Données projet'!$A$35:$I$55,4,0))</f>
        <v>28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1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18.958097589783147</v>
      </c>
      <c r="AC16" s="24">
        <f t="shared" si="3"/>
        <v>18.958097589783147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20.8</v>
      </c>
      <c r="AI16" s="14">
        <f>IF('Données projet'!$A$62&gt;35,AI15+AH16-AQ15,IF(A16&lt;'Données projet'!$A$62,$AF$205^A16,IF(A16='Données projet'!$A$62,'Données projet'!$B$62,AI15+AH16-AQ15)))</f>
        <v>92.8</v>
      </c>
      <c r="AJ16" s="14">
        <f>AI16*VLOOKUP('Données projet'!$B$10,Paramètres!$A$1:$I$89,3,0)*VLOOKUP('Données projet'!$B$10,Paramètres!$A$1:$I$89,5,0)</f>
        <v>55.494400000000006</v>
      </c>
      <c r="AK16" s="14">
        <f t="shared" si="35"/>
        <v>16.023988434505792</v>
      </c>
      <c r="AL16" s="22">
        <f t="shared" si="4"/>
        <v>124.5611931900976</v>
      </c>
      <c r="AM16" s="62">
        <f t="shared" si="5"/>
        <v>417.8945265234309</v>
      </c>
      <c r="AN16" s="62">
        <f ca="1">AVERAGE(OFFSET($AM$3,0,0,'Données projet'!$E$10+1,1))-AVERAGE(OFFSET($H$3,0,0,'Données projet'!$E$10+1,1))</f>
        <v>147.72913422715322</v>
      </c>
      <c r="AO16" s="62">
        <f t="shared" si="36"/>
        <v>361.07991692964799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16.277984942160291</v>
      </c>
      <c r="AX16" s="23">
        <f t="shared" si="6"/>
        <v>16.277984942160291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6.6</v>
      </c>
      <c r="BD16" s="13">
        <f>IF('Données projet'!$A$88&gt;35,BD15+BC16-BL15,IF(A16&lt;'Données projet'!$A$88,$BA$205^A16,IF(A16='Données projet'!$A$88,'Données projet'!$B$88,BD15+BC16-BL15)))</f>
        <v>23.89863273788427</v>
      </c>
      <c r="BE16" s="14">
        <f>BD16*VLOOKUP('Données projet'!$B$11,Paramètres!$A$1:$I$89,3,0)*VLOOKUP('Données projet'!$B$11,Paramètres!$A$1:$I$89,5,0)</f>
        <v>20.8778455598157</v>
      </c>
      <c r="BF16" s="14">
        <f t="shared" si="37"/>
        <v>6.7550152262411558</v>
      </c>
      <c r="BG16" s="22">
        <f t="shared" si="7"/>
        <v>48.127232535715684</v>
      </c>
      <c r="BH16" s="62">
        <f t="shared" si="8"/>
        <v>341.46056586904899</v>
      </c>
      <c r="BI16" s="62">
        <f ca="1">AVERAGE(OFFSET($BH$3,0,0,'Données projet'!$E$11+1,1))-AVERAGE(OFFSET($H$3,0,0,'Données projet'!$E$11+1,1))</f>
        <v>236.12531905695994</v>
      </c>
      <c r="BJ16" s="62">
        <f t="shared" si="38"/>
        <v>270.64539221029258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2">
        <f t="shared" si="32"/>
        <v>3.0127560231104038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70">
        <f t="shared" si="1"/>
        <v>313.16178340691727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18.600000000000001</v>
      </c>
      <c r="N17" s="14">
        <f>IF('Données projet'!$A$36&gt;35,N16+M17-V16,IF(A17&lt;'Données projet'!$A$36,$K$205^A17,IF(A17='Données projet'!$A$36,'Données projet'!$B$36,N16+M17-V16)))</f>
        <v>91.6</v>
      </c>
      <c r="O17" s="14">
        <f>N17*VLOOKUP('Données projet'!$B$9,Paramètres!$A$1:$I$89,3,0)*VLOOKUP('Données projet'!$B$9,Paramètres!$A$1:$I$89,5,0)</f>
        <v>54.776799999999994</v>
      </c>
      <c r="P17" s="14">
        <f t="shared" si="33"/>
        <v>15.840762095818524</v>
      </c>
      <c r="Q17" s="22">
        <f t="shared" si="2"/>
        <v>122.99225398355058</v>
      </c>
      <c r="R17" s="62">
        <f t="shared" si="0"/>
        <v>416.32558731688391</v>
      </c>
      <c r="S17" s="62">
        <f ca="1">AVERAGE(OFFSET($R$3,0,0,'Données projet'!$E$9+1,1))-AVERAGE(OFFSET($H$3,0,0,'Données projet'!$E$9+1,1))</f>
        <v>151.58413719376074</v>
      </c>
      <c r="T17" s="62">
        <f t="shared" si="34"/>
        <v>310.105543138185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13.405399364132007</v>
      </c>
      <c r="AC17" s="24">
        <f t="shared" si="3"/>
        <v>13.405399364132007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20.8</v>
      </c>
      <c r="AI17" s="14">
        <f>IF('Données projet'!$A$62&gt;35,AI16+AH17-AQ16,IF(A17&lt;'Données projet'!$A$62,$AF$205^A17,IF(A17='Données projet'!$A$62,'Données projet'!$B$62,AI16+AH17-AQ16)))</f>
        <v>113.6</v>
      </c>
      <c r="AJ17" s="14">
        <f>AI17*VLOOKUP('Données projet'!$B$10,Paramètres!$A$1:$I$89,3,0)*VLOOKUP('Données projet'!$B$10,Paramètres!$A$1:$I$89,5,0)</f>
        <v>67.9328</v>
      </c>
      <c r="AK17" s="14">
        <f t="shared" si="35"/>
        <v>19.159206778906245</v>
      </c>
      <c r="AL17" s="22">
        <f t="shared" si="4"/>
        <v>151.68524513992836</v>
      </c>
      <c r="AM17" s="62">
        <f t="shared" si="5"/>
        <v>445.01857847326164</v>
      </c>
      <c r="AN17" s="62">
        <f ca="1">AVERAGE(OFFSET($AM$3,0,0,'Données projet'!$E$10+1,1))-AVERAGE(OFFSET($H$3,0,0,'Données projet'!$E$10+1,1))</f>
        <v>147.72913422715322</v>
      </c>
      <c r="AO17" s="62">
        <f t="shared" si="36"/>
        <v>361.07991692964799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11.510273536654053</v>
      </c>
      <c r="AX17" s="23">
        <f t="shared" si="6"/>
        <v>11.510273536654053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6.6</v>
      </c>
      <c r="BD17" s="13">
        <f>IF('Données projet'!$A$88&gt;35,BD16+BC17-BL16,IF(A17&lt;'Données projet'!$A$88,$BA$205^A17,IF(A17='Données projet'!$A$88,'Données projet'!$B$88,BD16+BC17-BL16)))</f>
        <v>30.50715803683886</v>
      </c>
      <c r="BE17" s="14">
        <f>BD17*VLOOKUP('Données projet'!$B$11,Paramètres!$A$1:$I$89,3,0)*VLOOKUP('Données projet'!$B$11,Paramètres!$A$1:$I$89,5,0)</f>
        <v>26.651053260982433</v>
      </c>
      <c r="BF17" s="14">
        <f t="shared" si="37"/>
        <v>8.3813367159737684</v>
      </c>
      <c r="BG17" s="22">
        <f t="shared" si="7"/>
        <v>61.014745876532061</v>
      </c>
      <c r="BH17" s="62">
        <f t="shared" si="8"/>
        <v>354.34807920986538</v>
      </c>
      <c r="BI17" s="62">
        <f ca="1">AVERAGE(OFFSET($BH$3,0,0,'Données projet'!$E$11+1,1))-AVERAGE(OFFSET($H$3,0,0,'Données projet'!$E$11+1,1))</f>
        <v>236.12531905695994</v>
      </c>
      <c r="BJ17" s="62">
        <f t="shared" si="38"/>
        <v>270.64539221029258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2">
        <f t="shared" si="32"/>
        <v>3.2021337464957651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70">
        <f t="shared" si="1"/>
        <v>314.53313294181345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18.600000000000001</v>
      </c>
      <c r="N18" s="14">
        <f>IF('Données projet'!$A$36&gt;35,N17+M18-V17,IF(A18&lt;'Données projet'!$A$36,$K$205^A18,IF(A18='Données projet'!$A$36,'Données projet'!$B$36,N17+M18-V17)))</f>
        <v>110.19999999999999</v>
      </c>
      <c r="O18" s="14">
        <f>N18*VLOOKUP('Données projet'!$B$9,Paramètres!$A$1:$I$89,3,0)*VLOOKUP('Données projet'!$B$9,Paramètres!$A$1:$I$89,5,0)</f>
        <v>65.899600000000007</v>
      </c>
      <c r="P18" s="14">
        <f t="shared" si="33"/>
        <v>18.651634138580526</v>
      </c>
      <c r="Q18" s="22">
        <f t="shared" si="2"/>
        <v>147.26006612469442</v>
      </c>
      <c r="R18" s="62">
        <f t="shared" si="0"/>
        <v>440.59339945802776</v>
      </c>
      <c r="S18" s="62">
        <f ca="1">AVERAGE(OFFSET($R$3,0,0,'Données projet'!$E$9+1,1))-AVERAGE(OFFSET($H$3,0,0,'Données projet'!$E$9+1,1))</f>
        <v>151.58413719376074</v>
      </c>
      <c r="T18" s="62">
        <f t="shared" si="34"/>
        <v>310.105543138185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9.4790487948915754</v>
      </c>
      <c r="AC18" s="24">
        <f t="shared" si="3"/>
        <v>9.4790487948915754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20.8</v>
      </c>
      <c r="AI18" s="14">
        <f>IF('Données projet'!$A$62&gt;35,AI17+AH18-AQ17,IF(A18&lt;'Données projet'!$A$62,$AF$205^A18,IF(A18='Données projet'!$A$62,'Données projet'!$B$62,AI17+AH18-AQ17)))</f>
        <v>134.4</v>
      </c>
      <c r="AJ18" s="14">
        <f>AI18*VLOOKUP('Données projet'!$B$10,Paramètres!$A$1:$I$89,3,0)*VLOOKUP('Données projet'!$B$10,Paramètres!$A$1:$I$89,5,0)</f>
        <v>80.371200000000016</v>
      </c>
      <c r="AK18" s="14">
        <f t="shared" si="35"/>
        <v>22.227919990990831</v>
      </c>
      <c r="AL18" s="22">
        <f t="shared" si="4"/>
        <v>178.69346731764236</v>
      </c>
      <c r="AM18" s="62">
        <f t="shared" si="5"/>
        <v>472.0268006509757</v>
      </c>
      <c r="AN18" s="62">
        <f ca="1">AVERAGE(OFFSET($AM$3,0,0,'Données projet'!$E$10+1,1))-AVERAGE(OFFSET($H$3,0,0,'Données projet'!$E$10+1,1))</f>
        <v>147.72913422715322</v>
      </c>
      <c r="AO18" s="62">
        <f t="shared" si="36"/>
        <v>361.07991692964799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8.1389924710801456</v>
      </c>
      <c r="AX18" s="23">
        <f t="shared" si="6"/>
        <v>8.1389924710801456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6.6</v>
      </c>
      <c r="BD18" s="13">
        <f>IF('Données projet'!$A$88&gt;35,BD17+BC18-BL17,IF(A18&lt;'Données projet'!$A$88,$BA$205^A18,IF(A18='Données projet'!$A$88,'Données projet'!$B$88,BD17+BC18-BL17)))</f>
        <v>38.943093594192561</v>
      </c>
      <c r="BE18" s="14">
        <f>BD18*VLOOKUP('Données projet'!$B$11,Paramètres!$A$1:$I$89,3,0)*VLOOKUP('Données projet'!$B$11,Paramètres!$A$1:$I$89,5,0)</f>
        <v>34.02068656388662</v>
      </c>
      <c r="BF18" s="14">
        <f t="shared" si="37"/>
        <v>10.399207521197393</v>
      </c>
      <c r="BG18" s="22">
        <f t="shared" si="7"/>
        <v>77.364648864854644</v>
      </c>
      <c r="BH18" s="62">
        <f t="shared" si="8"/>
        <v>370.69798219818796</v>
      </c>
      <c r="BI18" s="62">
        <f ca="1">AVERAGE(OFFSET($BH$3,0,0,'Données projet'!$E$11+1,1))-AVERAGE(OFFSET($H$3,0,0,'Données projet'!$E$11+1,1))</f>
        <v>236.12531905695994</v>
      </c>
      <c r="BJ18" s="62">
        <f t="shared" si="38"/>
        <v>270.64539221029258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2">
        <f t="shared" si="32"/>
        <v>3.3900464408124646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70">
        <f t="shared" si="1"/>
        <v>315.90193088441504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18.600000000000001</v>
      </c>
      <c r="N19" s="14">
        <f>IF('Données projet'!$A$36&gt;35,N18+M19-V18,IF(A19&lt;'Données projet'!$A$36,$K$205^A19,IF(A19='Données projet'!$A$36,'Données projet'!$B$36,N18+M19-V18)))</f>
        <v>128.79999999999998</v>
      </c>
      <c r="O19" s="14">
        <f>N19*VLOOKUP('Données projet'!$B$9,Paramètres!$A$1:$I$89,3,0)*VLOOKUP('Données projet'!$B$9,Paramètres!$A$1:$I$89,5,0)</f>
        <v>77.022400000000005</v>
      </c>
      <c r="P19" s="14">
        <f t="shared" si="33"/>
        <v>21.407546084466961</v>
      </c>
      <c r="Q19" s="22">
        <f t="shared" si="2"/>
        <v>171.43215609711328</v>
      </c>
      <c r="R19" s="62">
        <f t="shared" si="0"/>
        <v>464.76548943044656</v>
      </c>
      <c r="S19" s="62">
        <f ca="1">AVERAGE(OFFSET($R$3,0,0,'Données projet'!$E$9+1,1))-AVERAGE(OFFSET($H$3,0,0,'Données projet'!$E$9+1,1))</f>
        <v>151.58413719376074</v>
      </c>
      <c r="T19" s="62">
        <f t="shared" si="34"/>
        <v>310.105543138185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6.7026996820660045</v>
      </c>
      <c r="AC19" s="24">
        <f t="shared" si="3"/>
        <v>6.7026996820660045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20.8</v>
      </c>
      <c r="AI19" s="14">
        <f>IF('Données projet'!$A$62&gt;35,AI18+AH19-AQ18,IF(A19&lt;'Données projet'!$A$62,$AF$205^A19,IF(A19='Données projet'!$A$62,'Données projet'!$B$62,AI18+AH19-AQ18)))</f>
        <v>155.20000000000002</v>
      </c>
      <c r="AJ19" s="14">
        <f>AI19*VLOOKUP('Données projet'!$B$10,Paramètres!$A$1:$I$89,3,0)*VLOOKUP('Données projet'!$B$10,Paramètres!$A$1:$I$89,5,0)</f>
        <v>92.809600000000017</v>
      </c>
      <c r="AK19" s="14">
        <f t="shared" si="35"/>
        <v>25.241615800824192</v>
      </c>
      <c r="AL19" s="22">
        <f t="shared" si="4"/>
        <v>205.60586751976882</v>
      </c>
      <c r="AM19" s="62">
        <f t="shared" si="5"/>
        <v>498.93920085310214</v>
      </c>
      <c r="AN19" s="62">
        <f ca="1">AVERAGE(OFFSET($AM$3,0,0,'Données projet'!$E$10+1,1))-AVERAGE(OFFSET($H$3,0,0,'Données projet'!$E$10+1,1))</f>
        <v>147.72913422715322</v>
      </c>
      <c r="AO19" s="62">
        <f t="shared" si="36"/>
        <v>361.07991692964799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5.7551367683270263</v>
      </c>
      <c r="AX19" s="23">
        <f t="shared" si="6"/>
        <v>5.7551367683270263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6.6</v>
      </c>
      <c r="BD19" s="13">
        <f>IF('Données projet'!$A$88&gt;35,BD18+BC19-BL18,IF(A19&lt;'Données projet'!$A$88,$BA$205^A19,IF(A19='Données projet'!$A$88,'Données projet'!$B$88,BD18+BC19-BL18)))</f>
        <v>49.711760658095955</v>
      </c>
      <c r="BE19" s="14">
        <f>BD19*VLOOKUP('Données projet'!$B$11,Paramètres!$A$1:$I$89,3,0)*VLOOKUP('Données projet'!$B$11,Paramètres!$A$1:$I$89,5,0)</f>
        <v>43.428194110912635</v>
      </c>
      <c r="BF19" s="14">
        <f t="shared" si="37"/>
        <v>12.902896129065022</v>
      </c>
      <c r="BG19" s="22">
        <f t="shared" si="7"/>
        <v>98.109982167961064</v>
      </c>
      <c r="BH19" s="62">
        <f t="shared" si="8"/>
        <v>391.44331550129436</v>
      </c>
      <c r="BI19" s="62">
        <f ca="1">AVERAGE(OFFSET($BH$3,0,0,'Données projet'!$E$11+1,1))-AVERAGE(OFFSET($H$3,0,0,'Données projet'!$E$11+1,1))</f>
        <v>236.12531905695994</v>
      </c>
      <c r="BJ19" s="62">
        <f t="shared" si="38"/>
        <v>270.64539221029258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2">
        <f t="shared" si="32"/>
        <v>3.576596094420871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70">
        <f t="shared" si="1"/>
        <v>317.26835486444969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18.600000000000001</v>
      </c>
      <c r="N20" s="14">
        <f>IF('Données projet'!$A$36&gt;35,N19+M20-V19,IF(A20&lt;'Données projet'!$A$36,$K$205^A20,IF(A20='Données projet'!$A$36,'Données projet'!$B$36,N19+M20-V19)))</f>
        <v>147.39999999999998</v>
      </c>
      <c r="O20" s="14">
        <f>N20*VLOOKUP('Données projet'!$B$9,Paramètres!$A$1:$I$89,3,0)*VLOOKUP('Données projet'!$B$9,Paramètres!$A$1:$I$89,5,0)</f>
        <v>88.145199999999988</v>
      </c>
      <c r="P20" s="14">
        <f t="shared" si="33"/>
        <v>24.117351189004136</v>
      </c>
      <c r="Q20" s="22">
        <f t="shared" si="2"/>
        <v>195.52394332084884</v>
      </c>
      <c r="R20" s="62">
        <f t="shared" si="0"/>
        <v>488.85727665418216</v>
      </c>
      <c r="S20" s="62">
        <f ca="1">AVERAGE(OFFSET($R$3,0,0,'Données projet'!$E$9+1,1))-AVERAGE(OFFSET($H$3,0,0,'Données projet'!$E$9+1,1))</f>
        <v>151.58413719376074</v>
      </c>
      <c r="T20" s="62">
        <f t="shared" si="34"/>
        <v>310.105543138185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4.7395243974457886</v>
      </c>
      <c r="AC20" s="24">
        <f t="shared" si="3"/>
        <v>4.7395243974457886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>
        <f>VLOOKUP(A20,'Données projet'!$A$61:$I$81,2,0)</f>
        <v>176</v>
      </c>
      <c r="AG20" s="13">
        <f>VLOOKUP(A20,'Données projet'!$A$61:$I$81,9,0)</f>
        <v>20.8</v>
      </c>
      <c r="AH20" s="13">
        <f t="array" ref="AH20">INDEX(AG:AG,MIN(IF(ISNUMBER(AG20:AG216),ROW(AG20:AG216),"")))</f>
        <v>20.8</v>
      </c>
      <c r="AI20" s="14">
        <f>IF('Données projet'!$A$62&gt;35,AI19+AH20-AQ19,IF(A20&lt;'Données projet'!$A$62,$AF$205^A20,IF(A20='Données projet'!$A$62,'Données projet'!$B$62,AI19+AH20-AQ19)))</f>
        <v>176.00000000000003</v>
      </c>
      <c r="AJ20" s="14">
        <f>AI20*VLOOKUP('Données projet'!$B$10,Paramètres!$A$1:$I$89,3,0)*VLOOKUP('Données projet'!$B$10,Paramètres!$A$1:$I$89,5,0)</f>
        <v>105.24800000000003</v>
      </c>
      <c r="AK20" s="14">
        <f t="shared" si="35"/>
        <v>28.208515027560551</v>
      </c>
      <c r="AL20" s="22">
        <f t="shared" si="4"/>
        <v>232.43676367300134</v>
      </c>
      <c r="AM20" s="62">
        <f t="shared" si="5"/>
        <v>525.77009700633471</v>
      </c>
      <c r="AN20" s="62">
        <f ca="1">AVERAGE(OFFSET($AM$3,0,0,'Données projet'!$E$10+1,1))-AVERAGE(OFFSET($H$3,0,0,'Données projet'!$E$10+1,1))</f>
        <v>147.72913422715322</v>
      </c>
      <c r="AO20" s="62">
        <f t="shared" si="36"/>
        <v>361.07991692964799</v>
      </c>
      <c r="AP20" s="16">
        <f>IF(ISNA(VLOOKUP(A20,'Données projet'!$A$61:$I$81,3,0)),0,VLOOKUP(A20,'Données projet'!$A$61:$I$81,3,0))</f>
        <v>2</v>
      </c>
      <c r="AQ20" s="16">
        <f>IF(ISNA(VLOOKUP(A20,'Données projet'!$A$61:$I$81,4,0)),0,VLOOKUP(A20,'Données projet'!$A$61:$I$81,4,0))</f>
        <v>43</v>
      </c>
      <c r="AR20" s="17">
        <f>IF(ISNA(VLOOKUP(A20,'Données projet'!$A$61:$I$81,5,0)),0%,VLOOKUP(A20,'Données projet'!$A$61:$I$81,5,0)*VLOOKUP('Données projet'!$B$10,Paramètres!$A$1:$I$89,7,0))</f>
        <v>9.0000000000000011E-2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0.8</v>
      </c>
      <c r="AU20" s="23">
        <f>EXP(-LN(2)/35)*AU19+(1-EXP(-LN(2)/35))/(LN(2)/35)*AQ20*AR20*VLOOKUP('Données projet'!$B$10,Paramètres!$A$1:$I$89,3,0)*0.475*44/12</f>
        <v>3.0700150566455107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27.360873274416509</v>
      </c>
      <c r="AX20" s="23">
        <f t="shared" si="6"/>
        <v>30.430888331062018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6.6</v>
      </c>
      <c r="BD20" s="13">
        <f>IF('Données projet'!$A$88&gt;35,BD19+BC20-BL19,IF(A20&lt;'Données projet'!$A$88,$BA$205^A20,IF(A20='Données projet'!$A$88,'Données projet'!$B$88,BD19+BC20-BL19)))</f>
        <v>63.458213501978861</v>
      </c>
      <c r="BE20" s="14">
        <f>BD20*VLOOKUP('Données projet'!$B$11,Paramètres!$A$1:$I$89,3,0)*VLOOKUP('Données projet'!$B$11,Paramètres!$A$1:$I$89,5,0)</f>
        <v>55.437095315328747</v>
      </c>
      <c r="BF20" s="14">
        <f t="shared" si="37"/>
        <v>16.009366884744278</v>
      </c>
      <c r="BG20" s="22">
        <f t="shared" si="7"/>
        <v>124.4359216651272</v>
      </c>
      <c r="BH20" s="62">
        <f t="shared" si="8"/>
        <v>417.7692549984605</v>
      </c>
      <c r="BI20" s="62">
        <f ca="1">AVERAGE(OFFSET($BH$3,0,0,'Données projet'!$E$11+1,1))-AVERAGE(OFFSET($H$3,0,0,'Données projet'!$E$11+1,1))</f>
        <v>236.12531905695994</v>
      </c>
      <c r="BJ20" s="62">
        <f t="shared" si="38"/>
        <v>270.64539221029258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2">
        <f t="shared" si="32"/>
        <v>3.76187201923933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70">
        <f t="shared" si="1"/>
        <v>318.6325604335085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>
        <f>VLOOKUP(A21,'Données projet'!$A$35:$I$55,2,0)</f>
        <v>166</v>
      </c>
      <c r="L21" s="13">
        <f>VLOOKUP(A21,'Données projet'!$A$35:$I$55,9,0)</f>
        <v>18.600000000000001</v>
      </c>
      <c r="M21" s="13">
        <f t="array" ref="M21">INDEX(L:L,MIN(IF(ISNUMBER(L21:L217),ROW(L21:L217),"")))</f>
        <v>18.600000000000001</v>
      </c>
      <c r="N21" s="14">
        <f>IF('Données projet'!$A$36&gt;35,N20+M21-V20,IF(A21&lt;'Données projet'!$A$36,$K$205^A21,IF(A21='Données projet'!$A$36,'Données projet'!$B$36,N20+M21-V20)))</f>
        <v>165.99999999999997</v>
      </c>
      <c r="O21" s="14">
        <f>N21*VLOOKUP('Données projet'!$B$9,Paramètres!$A$1:$I$89,3,0)*VLOOKUP('Données projet'!$B$9,Paramètres!$A$1:$I$89,5,0)</f>
        <v>99.267999999999986</v>
      </c>
      <c r="P21" s="14">
        <f t="shared" si="33"/>
        <v>26.78753414535981</v>
      </c>
      <c r="Q21" s="22">
        <f t="shared" si="2"/>
        <v>219.54672196983498</v>
      </c>
      <c r="R21" s="62">
        <f t="shared" si="0"/>
        <v>512.88005530316832</v>
      </c>
      <c r="S21" s="62">
        <f ca="1">AVERAGE(OFFSET($R$3,0,0,'Données projet'!$E$9+1,1))-AVERAGE(OFFSET($H$3,0,0,'Données projet'!$E$9+1,1))</f>
        <v>151.58413719376074</v>
      </c>
      <c r="T21" s="62">
        <f t="shared" si="34"/>
        <v>310.105543138185</v>
      </c>
      <c r="U21" s="16">
        <f>IF(ISNA(VLOOKUP(A21,'Données projet'!$A$35:$I$55,3,0)),0,VLOOKUP(A21,'Données projet'!$A$35:$I$55,3,0))</f>
        <v>2</v>
      </c>
      <c r="V21" s="16">
        <f>IF(ISNA(VLOOKUP(A21,'Données projet'!$A$35:$I$55,4,0)),0,VLOOKUP(A21,'Données projet'!$A$35:$I$55,4,0))</f>
        <v>40</v>
      </c>
      <c r="W21" s="17">
        <f>IF(ISNA(VLOOKUP(A21,'Données projet'!$A$35:$I$55,5,0)),0%,VLOOKUP(A21,'Données projet'!$A$35:$I$55,5,0)*VLOOKUP('Données projet'!$B$9,Paramètres!$A$1:$I$89,7,0))</f>
        <v>0.1125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0.75</v>
      </c>
      <c r="Z21" s="23">
        <f>EXP(-LN(2)/35)*Z20+(1-EXP(-LN(2)/35))/(LN(2)/35)*V21*W21*VLOOKUP('Données projet'!$B$9,Paramètres!$A$1:$I$89,3,0)*0.475*44/12</f>
        <v>3.5697849495878025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23.663597258657802</v>
      </c>
      <c r="AC21" s="24">
        <f t="shared" si="3"/>
        <v>27.233382208245605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19.8</v>
      </c>
      <c r="AI21" s="14">
        <f>IF('Données projet'!$A$62&gt;35,AI20+AH21-AQ20,IF(A21&lt;'Données projet'!$A$62,$AF$205^A21,IF(A21='Données projet'!$A$62,'Données projet'!$B$62,AI20+AH21-AQ20)))</f>
        <v>152.80000000000004</v>
      </c>
      <c r="AJ21" s="14">
        <f>AI21*VLOOKUP('Données projet'!$B$10,Paramètres!$A$1:$I$89,3,0)*VLOOKUP('Données projet'!$B$10,Paramètres!$A$1:$I$89,5,0)</f>
        <v>91.374400000000037</v>
      </c>
      <c r="AK21" s="14">
        <f t="shared" si="35"/>
        <v>24.89640423383166</v>
      </c>
      <c r="AL21" s="22">
        <f t="shared" si="4"/>
        <v>202.50498404059022</v>
      </c>
      <c r="AM21" s="62">
        <f t="shared" si="5"/>
        <v>495.83831737392353</v>
      </c>
      <c r="AN21" s="62">
        <f ca="1">AVERAGE(OFFSET($AM$3,0,0,'Données projet'!$E$10+1,1))-AVERAGE(OFFSET($H$3,0,0,'Données projet'!$E$10+1,1))</f>
        <v>147.72913422715322</v>
      </c>
      <c r="AO21" s="62">
        <f t="shared" si="36"/>
        <v>361.07991692964799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3.0098139339089802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19.347059031525692</v>
      </c>
      <c r="AX21" s="23">
        <f t="shared" si="6"/>
        <v>22.356872965434672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6.6</v>
      </c>
      <c r="BD21" s="13">
        <f>IF('Données projet'!$A$88&gt;35,BD20+BC21-BL20,IF(A21&lt;'Données projet'!$A$88,$BA$205^A21,IF(A21='Données projet'!$A$88,'Données projet'!$B$88,BD20+BC21-BL20)))</f>
        <v>81.005878841406769</v>
      </c>
      <c r="BE21" s="14">
        <f>BD21*VLOOKUP('Données projet'!$B$11,Paramètres!$A$1:$I$89,3,0)*VLOOKUP('Données projet'!$B$11,Paramètres!$A$1:$I$89,5,0)</f>
        <v>70.766735755852963</v>
      </c>
      <c r="BF21" s="14">
        <f t="shared" si="37"/>
        <v>19.863744192515547</v>
      </c>
      <c r="BG21" s="22">
        <f t="shared" si="7"/>
        <v>157.84808591007513</v>
      </c>
      <c r="BH21" s="62">
        <f t="shared" si="8"/>
        <v>451.18141924340841</v>
      </c>
      <c r="BI21" s="62">
        <f ca="1">AVERAGE(OFFSET($BH$3,0,0,'Données projet'!$E$11+1,1))-AVERAGE(OFFSET($H$3,0,0,'Données projet'!$E$11+1,1))</f>
        <v>236.12531905695994</v>
      </c>
      <c r="BJ21" s="62">
        <f t="shared" si="38"/>
        <v>270.64539221029258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2">
        <f t="shared" si="32"/>
        <v>3.9459530431682608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70">
        <f t="shared" si="1"/>
        <v>319.99468488351806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17.8</v>
      </c>
      <c r="N22" s="14">
        <f>IF('Données projet'!$A$36&gt;35,N21+M22-V21,IF(A22&lt;'Données projet'!$A$36,$K$205^A22,IF(A22='Données projet'!$A$36,'Données projet'!$B$36,N21+M22-V21)))</f>
        <v>143.79999999999998</v>
      </c>
      <c r="O22" s="14">
        <f>N22*VLOOKUP('Données projet'!$B$9,Paramètres!$A$1:$I$89,3,0)*VLOOKUP('Données projet'!$B$9,Paramètres!$A$1:$I$89,5,0)</f>
        <v>85.992400000000004</v>
      </c>
      <c r="P22" s="14">
        <f t="shared" si="33"/>
        <v>23.596141005324462</v>
      </c>
      <c r="Q22" s="22">
        <f t="shared" si="2"/>
        <v>190.86670891760676</v>
      </c>
      <c r="R22" s="62">
        <f t="shared" si="0"/>
        <v>484.2000422509401</v>
      </c>
      <c r="S22" s="62">
        <f ca="1">AVERAGE(OFFSET($R$3,0,0,'Données projet'!$E$9+1,1))-AVERAGE(OFFSET($H$3,0,0,'Données projet'!$E$9+1,1))</f>
        <v>151.58413719376074</v>
      </c>
      <c r="T22" s="62">
        <f t="shared" si="34"/>
        <v>310.105543138185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3.499783644080209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16.732690088864331</v>
      </c>
      <c r="AC22" s="24">
        <f t="shared" si="3"/>
        <v>20.232473732944541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19.8</v>
      </c>
      <c r="AI22" s="14">
        <f>IF('Données projet'!$A$62&gt;35,AI21+AH22-AQ21,IF(A22&lt;'Données projet'!$A$62,$AF$205^A22,IF(A22='Données projet'!$A$62,'Données projet'!$B$62,AI21+AH22-AQ21)))</f>
        <v>172.60000000000005</v>
      </c>
      <c r="AJ22" s="14">
        <f>AI22*VLOOKUP('Données projet'!$B$10,Paramètres!$A$1:$I$89,3,0)*VLOOKUP('Données projet'!$B$10,Paramètres!$A$1:$I$89,5,0)</f>
        <v>103.21480000000004</v>
      </c>
      <c r="AK22" s="14">
        <f t="shared" si="35"/>
        <v>27.726463199430338</v>
      </c>
      <c r="AL22" s="22">
        <f t="shared" si="4"/>
        <v>228.05603340567458</v>
      </c>
      <c r="AM22" s="62">
        <f t="shared" si="5"/>
        <v>521.38936673900787</v>
      </c>
      <c r="AN22" s="62">
        <f ca="1">AVERAGE(OFFSET($AM$3,0,0,'Données projet'!$E$10+1,1))-AVERAGE(OFFSET($H$3,0,0,'Données projet'!$E$10+1,1))</f>
        <v>147.72913422715322</v>
      </c>
      <c r="AO22" s="62">
        <f t="shared" si="36"/>
        <v>361.07991692964799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2.9507933184702542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13.680436637208256</v>
      </c>
      <c r="AX22" s="23">
        <f t="shared" si="6"/>
        <v>16.63122995567851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6.6</v>
      </c>
      <c r="BD22" s="13">
        <f>IF('Données projet'!$A$88&gt;35,BD21+BC22-BL21,IF(A22&lt;'Données projet'!$A$88,$BA$205^A22,IF(A22='Données projet'!$A$88,'Données projet'!$B$88,BD21+BC22-BL21)))</f>
        <v>103.40587994435182</v>
      </c>
      <c r="BE22" s="14">
        <f>BD22*VLOOKUP('Données projet'!$B$11,Paramètres!$A$1:$I$89,3,0)*VLOOKUP('Données projet'!$B$11,Paramètres!$A$1:$I$89,5,0)</f>
        <v>90.335376719385764</v>
      </c>
      <c r="BF22" s="14">
        <f t="shared" si="37"/>
        <v>24.646092265003244</v>
      </c>
      <c r="BG22" s="22">
        <f t="shared" si="7"/>
        <v>200.25939181447754</v>
      </c>
      <c r="BH22" s="62">
        <f t="shared" si="8"/>
        <v>493.59272514781082</v>
      </c>
      <c r="BI22" s="62">
        <f ca="1">AVERAGE(OFFSET($BH$3,0,0,'Données projet'!$E$11+1,1))-AVERAGE(OFFSET($H$3,0,0,'Données projet'!$E$11+1,1))</f>
        <v>236.12531905695994</v>
      </c>
      <c r="BJ22" s="62">
        <f t="shared" si="38"/>
        <v>270.64539221029258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2">
        <f t="shared" si="32"/>
        <v>4.1289092277839252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70">
        <f t="shared" si="1"/>
        <v>321.35485023839033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17.8</v>
      </c>
      <c r="N23" s="14">
        <f>IF('Données projet'!$A$36&gt;35,N22+M23-V22,IF(A23&lt;'Données projet'!$A$36,$K$205^A23,IF(A23='Données projet'!$A$36,'Données projet'!$B$36,N22+M23-V22)))</f>
        <v>161.6</v>
      </c>
      <c r="O23" s="14">
        <f>N23*VLOOKUP('Données projet'!$B$9,Paramètres!$A$1:$I$89,3,0)*VLOOKUP('Données projet'!$B$9,Paramètres!$A$1:$I$89,5,0)</f>
        <v>96.636800000000008</v>
      </c>
      <c r="P23" s="14">
        <f t="shared" si="33"/>
        <v>26.159173215164081</v>
      </c>
      <c r="Q23" s="22">
        <f t="shared" si="2"/>
        <v>213.86965334974411</v>
      </c>
      <c r="R23" s="62">
        <f t="shared" si="0"/>
        <v>507.20298668307743</v>
      </c>
      <c r="S23" s="62">
        <f ca="1">AVERAGE(OFFSET($R$3,0,0,'Données projet'!$E$9+1,1))-AVERAGE(OFFSET($H$3,0,0,'Données projet'!$E$9+1,1))</f>
        <v>151.58413719376074</v>
      </c>
      <c r="T23" s="62">
        <f t="shared" si="34"/>
        <v>310.105543138185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3.4311550214770392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11.831798629328903</v>
      </c>
      <c r="AC23" s="24">
        <f t="shared" si="3"/>
        <v>15.262953650805942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19.8</v>
      </c>
      <c r="AI23" s="14">
        <f>IF('Données projet'!$A$62&gt;35,AI22+AH23-AQ22,IF(A23&lt;'Données projet'!$A$62,$AF$205^A23,IF(A23='Données projet'!$A$62,'Données projet'!$B$62,AI22+AH23-AQ22)))</f>
        <v>192.40000000000006</v>
      </c>
      <c r="AJ23" s="14">
        <f>AI23*VLOOKUP('Données projet'!$B$10,Paramètres!$A$1:$I$89,3,0)*VLOOKUP('Données projet'!$B$10,Paramètres!$A$1:$I$89,5,0)</f>
        <v>115.05520000000004</v>
      </c>
      <c r="AK23" s="14">
        <f t="shared" si="35"/>
        <v>30.5188966745568</v>
      </c>
      <c r="AL23" s="22">
        <f t="shared" si="4"/>
        <v>253.54155170818649</v>
      </c>
      <c r="AM23" s="62">
        <f t="shared" si="5"/>
        <v>546.87488504151975</v>
      </c>
      <c r="AN23" s="62">
        <f ca="1">AVERAGE(OFFSET($AM$3,0,0,'Données projet'!$E$10+1,1))-AVERAGE(OFFSET($H$3,0,0,'Données projet'!$E$10+1,1))</f>
        <v>147.72913422715322</v>
      </c>
      <c r="AO23" s="62">
        <f t="shared" si="36"/>
        <v>361.07991692964799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2.8929300613012607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9.6735295157628478</v>
      </c>
      <c r="AX23" s="23">
        <f t="shared" si="6"/>
        <v>12.566459577064109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>
        <f>VLOOKUP(A23,'Données projet'!$A$87:$I$107,2,0)</f>
        <v>132</v>
      </c>
      <c r="BB23" s="13">
        <f>VLOOKUP(A23,'Données projet'!$A$87:$I$107,9,0)</f>
        <v>6.6</v>
      </c>
      <c r="BC23" s="13">
        <f t="array" ref="BC23">INDEX(BB:BB,MIN(IF(ISNUMBER(BB23:BB219),ROW(BB23:BB219),"")))</f>
        <v>6.6</v>
      </c>
      <c r="BD23" s="13">
        <f>IF('Données projet'!$A$88&gt;35,BD22+BC23-BL22,IF(A23&lt;'Données projet'!$A$88,$BA$205^A23,IF(A23='Données projet'!$A$88,'Données projet'!$B$88,BD22+BC23-BL22)))</f>
        <v>132</v>
      </c>
      <c r="BE23" s="14">
        <f>BD23*VLOOKUP('Données projet'!$B$11,Paramètres!$A$1:$I$89,3,0)*VLOOKUP('Données projet'!$B$11,Paramètres!$A$1:$I$89,5,0)</f>
        <v>115.3152</v>
      </c>
      <c r="BF23" s="14">
        <f t="shared" si="37"/>
        <v>30.579827148797317</v>
      </c>
      <c r="BG23" s="22">
        <f t="shared" si="7"/>
        <v>254.10050561748861</v>
      </c>
      <c r="BH23" s="62">
        <f t="shared" si="8"/>
        <v>547.43383895082195</v>
      </c>
      <c r="BI23" s="62">
        <f ca="1">AVERAGE(OFFSET($BH$3,0,0,'Données projet'!$E$11+1,1))-AVERAGE(OFFSET($H$3,0,0,'Données projet'!$E$11+1,1))</f>
        <v>236.12531905695994</v>
      </c>
      <c r="BJ23" s="62">
        <f t="shared" si="38"/>
        <v>270.64539221029258</v>
      </c>
      <c r="BK23" s="16">
        <f>IF(ISNA(VLOOKUP(A23,'Données projet'!$A$87:$I$107,3,0)),0,VLOOKUP(A23,'Données projet'!$A$87:$I$107,3,0))</f>
        <v>1</v>
      </c>
      <c r="BL23" s="16">
        <f>IF(ISNA(VLOOKUP(A23,'Données projet'!$A$87:$I$107,4,0)),0,VLOOKUP(A23,'Données projet'!$A$87:$I$107,4,0))</f>
        <v>50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2">
        <f t="shared" si="32"/>
        <v>4.3108032327306534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70">
        <f t="shared" si="1"/>
        <v>322.71316563033923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17.8</v>
      </c>
      <c r="N24" s="14">
        <f>IF('Données projet'!$A$36&gt;35,N23+M24-V23,IF(A24&lt;'Données projet'!$A$36,$K$205^A24,IF(A24='Données projet'!$A$36,'Données projet'!$B$36,N23+M24-V23)))</f>
        <v>179.4</v>
      </c>
      <c r="O24" s="14">
        <f>N24*VLOOKUP('Données projet'!$B$9,Paramètres!$A$1:$I$89,3,0)*VLOOKUP('Données projet'!$B$9,Paramètres!$A$1:$I$89,5,0)</f>
        <v>107.2812</v>
      </c>
      <c r="P24" s="14">
        <f t="shared" si="33"/>
        <v>28.68948404302737</v>
      </c>
      <c r="Q24" s="22">
        <f t="shared" si="2"/>
        <v>236.81560804160597</v>
      </c>
      <c r="R24" s="62">
        <f t="shared" si="0"/>
        <v>530.14894137493934</v>
      </c>
      <c r="S24" s="62">
        <f ca="1">AVERAGE(OFFSET($R$3,0,0,'Données projet'!$E$9+1,1))-AVERAGE(OFFSET($H$3,0,0,'Données projet'!$E$9+1,1))</f>
        <v>151.58413719376074</v>
      </c>
      <c r="T24" s="62">
        <f t="shared" si="34"/>
        <v>310.105543138185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3.3638721643037908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8.3663450444321654</v>
      </c>
      <c r="AC24" s="24">
        <f t="shared" si="3"/>
        <v>11.730217208735956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19.8</v>
      </c>
      <c r="AI24" s="14">
        <f>IF('Données projet'!$A$62&gt;35,AI23+AH24-AQ23,IF(A24&lt;'Données projet'!$A$62,$AF$205^A24,IF(A24='Données projet'!$A$62,'Données projet'!$B$62,AI23+AH24-AQ23)))</f>
        <v>212.20000000000007</v>
      </c>
      <c r="AJ24" s="14">
        <f>AI24*VLOOKUP('Données projet'!$B$10,Paramètres!$A$1:$I$89,3,0)*VLOOKUP('Données projet'!$B$10,Paramètres!$A$1:$I$89,5,0)</f>
        <v>126.89560000000006</v>
      </c>
      <c r="AK24" s="14">
        <f t="shared" si="35"/>
        <v>33.278017701950326</v>
      </c>
      <c r="AL24" s="22">
        <f t="shared" si="4"/>
        <v>278.96905083089689</v>
      </c>
      <c r="AM24" s="62">
        <f t="shared" si="5"/>
        <v>572.30238416423026</v>
      </c>
      <c r="AN24" s="62">
        <f ca="1">AVERAGE(OFFSET($AM$3,0,0,'Données projet'!$E$10+1,1))-AVERAGE(OFFSET($H$3,0,0,'Données projet'!$E$10+1,1))</f>
        <v>147.72913422715322</v>
      </c>
      <c r="AO24" s="62">
        <f t="shared" si="36"/>
        <v>361.07991692964799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2.8362014673122493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6.8402183186041299</v>
      </c>
      <c r="AX24" s="23">
        <f t="shared" si="6"/>
        <v>9.6764197859163801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12.2</v>
      </c>
      <c r="BD24" s="13">
        <f>IF('Données projet'!$A$88&gt;35,BD23+BC24-BL23,IF(A24&lt;'Données projet'!$A$88,$BA$205^A24,IF(A24='Données projet'!$A$88,'Données projet'!$B$88,BD23+BC24-BL23)))</f>
        <v>94.199999999999989</v>
      </c>
      <c r="BE24" s="14">
        <f>BD24*VLOOKUP('Données projet'!$B$11,Paramètres!$A$1:$I$89,3,0)*VLOOKUP('Données projet'!$B$11,Paramètres!$A$1:$I$89,5,0)</f>
        <v>82.293120000000002</v>
      </c>
      <c r="BF24" s="14">
        <f t="shared" si="37"/>
        <v>22.696938367376966</v>
      </c>
      <c r="BG24" s="22">
        <f t="shared" si="7"/>
        <v>182.85768498984825</v>
      </c>
      <c r="BH24" s="62">
        <f t="shared" si="8"/>
        <v>476.19101832318154</v>
      </c>
      <c r="BI24" s="62">
        <f ca="1">AVERAGE(OFFSET($BH$3,0,0,'Données projet'!$E$11+1,1))-AVERAGE(OFFSET($H$3,0,0,'Données projet'!$E$11+1,1))</f>
        <v>236.12531905695994</v>
      </c>
      <c r="BJ24" s="62">
        <f t="shared" si="38"/>
        <v>270.64539221029258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2">
        <f t="shared" si="32"/>
        <v>4.4916914128654328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70">
        <f t="shared" si="1"/>
        <v>324.0697292107406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17.8</v>
      </c>
      <c r="N25" s="14">
        <f>IF('Données projet'!$A$36&gt;35,N24+M25-V24,IF(A25&lt;'Données projet'!$A$36,$K$205^A25,IF(A25='Données projet'!$A$36,'Données projet'!$B$36,N24+M25-V24)))</f>
        <v>197.20000000000002</v>
      </c>
      <c r="O25" s="14">
        <f>N25*VLOOKUP('Données projet'!$B$9,Paramètres!$A$1:$I$89,3,0)*VLOOKUP('Données projet'!$B$9,Paramètres!$A$1:$I$89,5,0)</f>
        <v>117.92560000000003</v>
      </c>
      <c r="P25" s="14">
        <f t="shared" si="33"/>
        <v>31.190689636070587</v>
      </c>
      <c r="Q25" s="22">
        <f t="shared" si="2"/>
        <v>259.71087111615634</v>
      </c>
      <c r="R25" s="62">
        <f t="shared" si="0"/>
        <v>553.0442044494896</v>
      </c>
      <c r="S25" s="62">
        <f ca="1">AVERAGE(OFFSET($R$3,0,0,'Données projet'!$E$9+1,1))-AVERAGE(OFFSET($H$3,0,0,'Données projet'!$E$9+1,1))</f>
        <v>151.58413719376074</v>
      </c>
      <c r="T25" s="62">
        <f t="shared" si="34"/>
        <v>310.105543138185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3.2979086829212192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5.9158993146644514</v>
      </c>
      <c r="AC25" s="24">
        <f t="shared" si="3"/>
        <v>9.2138079975856702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>
        <f>VLOOKUP(A25,'Données projet'!$A$61:$I$81,2,0)</f>
        <v>232</v>
      </c>
      <c r="AG25" s="13">
        <f>VLOOKUP(A25,'Données projet'!$A$61:$I$81,9,0)</f>
        <v>19.8</v>
      </c>
      <c r="AH25" s="13">
        <f t="array" ref="AH25">INDEX(AG:AG,MIN(IF(ISNUMBER(AG25:AG221),ROW(AG25:AG221),"")))</f>
        <v>19.8</v>
      </c>
      <c r="AI25" s="14">
        <f>IF('Données projet'!$A$62&gt;35,AI24+AH25-AQ24,IF(A25&lt;'Données projet'!$A$62,$AF$205^A25,IF(A25='Données projet'!$A$62,'Données projet'!$B$62,AI24+AH25-AQ24)))</f>
        <v>232.00000000000009</v>
      </c>
      <c r="AJ25" s="14">
        <f>AI25*VLOOKUP('Données projet'!$B$10,Paramètres!$A$1:$I$89,3,0)*VLOOKUP('Données projet'!$B$10,Paramètres!$A$1:$I$89,5,0)</f>
        <v>138.73600000000005</v>
      </c>
      <c r="AK25" s="14">
        <f t="shared" si="35"/>
        <v>36.007288175538072</v>
      </c>
      <c r="AL25" s="22">
        <f t="shared" si="4"/>
        <v>304.34456023906222</v>
      </c>
      <c r="AM25" s="62">
        <f t="shared" si="5"/>
        <v>597.67789357239553</v>
      </c>
      <c r="AN25" s="62">
        <f ca="1">AVERAGE(OFFSET($AM$3,0,0,'Données projet'!$E$10+1,1))-AVERAGE(OFFSET($H$3,0,0,'Données projet'!$E$10+1,1))</f>
        <v>147.72913422715322</v>
      </c>
      <c r="AO25" s="62">
        <f t="shared" si="36"/>
        <v>361.07991692964799</v>
      </c>
      <c r="AP25" s="16">
        <f>IF(ISNA(VLOOKUP(A25,'Données projet'!$A$61:$I$81,3,0)),0,VLOOKUP(A25,'Données projet'!$A$61:$I$81,3,0))</f>
        <v>3</v>
      </c>
      <c r="AQ25" s="16">
        <f>IF(ISNA(VLOOKUP(A25,'Données projet'!$A$61:$I$81,4,0)),0,VLOOKUP(A25,'Données projet'!$A$61:$I$81,4,0))</f>
        <v>56</v>
      </c>
      <c r="AR25" s="17">
        <f>IF(ISNA(VLOOKUP(A25,'Données projet'!$A$61:$I$81,5,0)),0%,VLOOKUP(A25,'Données projet'!$A$61:$I$81,5,0)*VLOOKUP('Données projet'!$B$10,Paramètres!$A$1:$I$89,7,0))</f>
        <v>0.18000000000000002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0.6</v>
      </c>
      <c r="AU25" s="23">
        <f>EXP(-LN(2)/35)*AU24+(1-EXP(-LN(2)/35))/(LN(2)/35)*AQ25*AR25*VLOOKUP('Données projet'!$B$10,Paramètres!$A$1:$I$89,3,0)*0.475*44/12</f>
        <v>10.776903573527015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27.586481865621199</v>
      </c>
      <c r="AX25" s="23">
        <f t="shared" si="6"/>
        <v>38.363385439148217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12.2</v>
      </c>
      <c r="BD25" s="13">
        <f>IF('Données projet'!$A$88&gt;35,BD24+BC25-BL24,IF(A25&lt;'Données projet'!$A$88,$BA$205^A25,IF(A25='Données projet'!$A$88,'Données projet'!$B$88,BD24+BC25-BL24)))</f>
        <v>106.39999999999999</v>
      </c>
      <c r="BE25" s="14">
        <f>BD25*VLOOKUP('Données projet'!$B$11,Paramètres!$A$1:$I$89,3,0)*VLOOKUP('Données projet'!$B$11,Paramètres!$A$1:$I$89,5,0)</f>
        <v>92.951040000000006</v>
      </c>
      <c r="BF25" s="14">
        <f t="shared" si="37"/>
        <v>25.275602869272223</v>
      </c>
      <c r="BG25" s="22">
        <f t="shared" si="7"/>
        <v>205.9114029973158</v>
      </c>
      <c r="BH25" s="62">
        <f t="shared" si="8"/>
        <v>499.24473633064912</v>
      </c>
      <c r="BI25" s="62">
        <f ca="1">AVERAGE(OFFSET($BH$3,0,0,'Données projet'!$E$11+1,1))-AVERAGE(OFFSET($H$3,0,0,'Données projet'!$E$11+1,1))</f>
        <v>236.12531905695994</v>
      </c>
      <c r="BJ25" s="62">
        <f t="shared" si="38"/>
        <v>270.64539221029258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2">
        <f t="shared" si="32"/>
        <v>4.6716247102827966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70">
        <f t="shared" si="1"/>
        <v>325.42462970374254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>
        <f>VLOOKUP(A26,'Données projet'!$A$35:$I$55,2,0)</f>
        <v>215</v>
      </c>
      <c r="L26" s="13">
        <f>VLOOKUP(A26,'Données projet'!$A$35:$I$55,9,0)</f>
        <v>17.8</v>
      </c>
      <c r="M26" s="13">
        <f t="array" ref="M26">INDEX(L:L,MIN(IF(ISNUMBER(L26:L222),ROW(L26:L222),"")))</f>
        <v>17.8</v>
      </c>
      <c r="N26" s="14">
        <f>IF('Données projet'!$A$36&gt;35,N25+M26-V25,IF(A26&lt;'Données projet'!$A$36,$K$205^A26,IF(A26='Données projet'!$A$36,'Données projet'!$B$36,N25+M26-V25)))</f>
        <v>215.00000000000003</v>
      </c>
      <c r="O26" s="14">
        <f>N26*VLOOKUP('Données projet'!$B$9,Paramètres!$A$1:$I$89,3,0)*VLOOKUP('Données projet'!$B$9,Paramètres!$A$1:$I$89,5,0)</f>
        <v>128.57000000000002</v>
      </c>
      <c r="P26" s="14">
        <f t="shared" si="33"/>
        <v>33.665715905233277</v>
      </c>
      <c r="Q26" s="22">
        <f t="shared" si="2"/>
        <v>282.56053853494797</v>
      </c>
      <c r="R26" s="62">
        <f t="shared" si="0"/>
        <v>575.89387186828128</v>
      </c>
      <c r="S26" s="62">
        <f ca="1">AVERAGE(OFFSET($R$3,0,0,'Données projet'!$E$9+1,1))-AVERAGE(OFFSET($H$3,0,0,'Données projet'!$E$9+1,1))</f>
        <v>151.58413719376074</v>
      </c>
      <c r="T26" s="62">
        <f t="shared" si="34"/>
        <v>310.105543138185</v>
      </c>
      <c r="U26" s="16">
        <f>IF(ISNA(VLOOKUP(A26,'Données projet'!$A$35:$I$55,3,0)),0,VLOOKUP(A26,'Données projet'!$A$35:$I$55,3,0))</f>
        <v>3</v>
      </c>
      <c r="V26" s="16">
        <f>IF(ISNA(VLOOKUP(A26,'Données projet'!$A$35:$I$55,4,0)),0,VLOOKUP(A26,'Données projet'!$A$35:$I$55,4,0))</f>
        <v>52</v>
      </c>
      <c r="W26" s="17">
        <f>IF(ISNA(VLOOKUP(A26,'Données projet'!$A$35:$I$55,5,0)),0%,VLOOKUP(A26,'Données projet'!$A$35:$I$55,5,0)*VLOOKUP('Données projet'!$B$9,Paramètres!$A$1:$I$89,7,0))</f>
        <v>0.22500000000000001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0.5</v>
      </c>
      <c r="Z26" s="23">
        <f>EXP(-LN(2)/35)*Z25+(1-EXP(-LN(2)/35))/(LN(2)/35)*V26*W26*VLOOKUP('Données projet'!$B$9,Paramètres!$A$1:$I$89,3,0)*0.475*44/12</f>
        <v>12.514679574103097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21.787120284157577</v>
      </c>
      <c r="AC26" s="24">
        <f t="shared" si="3"/>
        <v>34.301799858260672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16.625</v>
      </c>
      <c r="AI26" s="14">
        <f>IF('Données projet'!$A$62&gt;35,AI25+AH26-AQ25,IF(A26&lt;'Données projet'!$A$62,$AF$205^A26,IF(A26='Données projet'!$A$62,'Données projet'!$B$62,AI25+AH26-AQ25)))</f>
        <v>192.62500000000009</v>
      </c>
      <c r="AJ26" s="14">
        <f>AI26*VLOOKUP('Données projet'!$B$10,Paramètres!$A$1:$I$89,3,0)*VLOOKUP('Données projet'!$B$10,Paramètres!$A$1:$I$89,5,0)</f>
        <v>115.18975000000006</v>
      </c>
      <c r="AK26" s="14">
        <f t="shared" si="35"/>
        <v>30.550430193620951</v>
      </c>
      <c r="AL26" s="22">
        <f t="shared" si="4"/>
        <v>253.83081383722325</v>
      </c>
      <c r="AM26" s="62">
        <f t="shared" si="5"/>
        <v>547.16414717055659</v>
      </c>
      <c r="AN26" s="62">
        <f ca="1">AVERAGE(OFFSET($AM$3,0,0,'Données projet'!$E$10+1,1))-AVERAGE(OFFSET($H$3,0,0,'Données projet'!$E$10+1,1))</f>
        <v>147.72913422715322</v>
      </c>
      <c r="AO26" s="62">
        <f t="shared" si="36"/>
        <v>361.07991692964799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10.565575067712274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19.506588396260472</v>
      </c>
      <c r="AX26" s="23">
        <f t="shared" si="6"/>
        <v>30.072163463972746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12.2</v>
      </c>
      <c r="BD26" s="13">
        <f>IF('Données projet'!$A$88&gt;35,BD25+BC26-BL25,IF(A26&lt;'Données projet'!$A$88,$BA$205^A26,IF(A26='Données projet'!$A$88,'Données projet'!$B$88,BD25+BC26-BL25)))</f>
        <v>118.6</v>
      </c>
      <c r="BE26" s="14">
        <f>BD26*VLOOKUP('Données projet'!$B$11,Paramètres!$A$1:$I$89,3,0)*VLOOKUP('Données projet'!$B$11,Paramètres!$A$1:$I$89,5,0)</f>
        <v>103.60896</v>
      </c>
      <c r="BF26" s="14">
        <f t="shared" si="37"/>
        <v>27.820000397643376</v>
      </c>
      <c r="BG26" s="22">
        <f t="shared" si="7"/>
        <v>228.90543935922889</v>
      </c>
      <c r="BH26" s="62">
        <f t="shared" si="8"/>
        <v>522.23877269256218</v>
      </c>
      <c r="BI26" s="62">
        <f ca="1">AVERAGE(OFFSET($BH$3,0,0,'Données projet'!$E$11+1,1))-AVERAGE(OFFSET($H$3,0,0,'Données projet'!$E$11+1,1))</f>
        <v>236.12531905695994</v>
      </c>
      <c r="BJ26" s="62">
        <f t="shared" si="38"/>
        <v>270.64539221029258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2">
        <f t="shared" si="32"/>
        <v>4.8506493868275271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70">
        <f t="shared" si="1"/>
        <v>326.77794768205791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15.142857142857142</v>
      </c>
      <c r="N27" s="14">
        <f>IF('Données projet'!$A$36&gt;35,N26+M27-V26,IF(A27&lt;'Données projet'!$A$36,$K$205^A27,IF(A27='Données projet'!$A$36,'Données projet'!$B$36,N26+M27-V26)))</f>
        <v>178.14285714285717</v>
      </c>
      <c r="O27" s="14">
        <f>N27*VLOOKUP('Données projet'!$B$9,Paramètres!$A$1:$I$89,3,0)*VLOOKUP('Données projet'!$B$9,Paramètres!$A$1:$I$89,5,0)</f>
        <v>106.5294285714286</v>
      </c>
      <c r="P27" s="14">
        <f t="shared" si="33"/>
        <v>28.511771457031461</v>
      </c>
      <c r="Q27" s="22">
        <f t="shared" si="2"/>
        <v>235.19675671623455</v>
      </c>
      <c r="R27" s="62">
        <f t="shared" si="0"/>
        <v>528.53009004956789</v>
      </c>
      <c r="S27" s="62">
        <f ca="1">AVERAGE(OFFSET($R$3,0,0,'Données projet'!$E$9+1,1))-AVERAGE(OFFSET($H$3,0,0,'Données projet'!$E$9+1,1))</f>
        <v>151.58413719376074</v>
      </c>
      <c r="T27" s="62">
        <f t="shared" si="34"/>
        <v>310.105543138185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12.269274340855759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15.405820495454805</v>
      </c>
      <c r="AC27" s="24">
        <f t="shared" si="3"/>
        <v>27.675094836310564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16.625</v>
      </c>
      <c r="AI27" s="14">
        <f>IF('Données projet'!$A$62&gt;35,AI26+AH27-AQ26,IF(A27&lt;'Données projet'!$A$62,$AF$205^A27,IF(A27='Données projet'!$A$62,'Données projet'!$B$62,AI26+AH27-AQ26)))</f>
        <v>209.25000000000009</v>
      </c>
      <c r="AJ27" s="14">
        <f>AI27*VLOOKUP('Données projet'!$B$10,Paramètres!$A$1:$I$89,3,0)*VLOOKUP('Données projet'!$B$10,Paramètres!$A$1:$I$89,5,0)</f>
        <v>125.13150000000006</v>
      </c>
      <c r="AK27" s="14">
        <f t="shared" si="35"/>
        <v>32.868905092404546</v>
      </c>
      <c r="AL27" s="22">
        <f t="shared" si="4"/>
        <v>275.18403886927132</v>
      </c>
      <c r="AM27" s="62">
        <f t="shared" si="5"/>
        <v>568.51737220260463</v>
      </c>
      <c r="AN27" s="62">
        <f ca="1">AVERAGE(OFFSET($AM$3,0,0,'Données projet'!$E$10+1,1))-AVERAGE(OFFSET($H$3,0,0,'Données projet'!$E$10+1,1))</f>
        <v>147.72913422715322</v>
      </c>
      <c r="AO27" s="62">
        <f t="shared" si="36"/>
        <v>361.07991692964799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10.358390584998899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13.793240932810601</v>
      </c>
      <c r="AX27" s="23">
        <f t="shared" si="6"/>
        <v>24.151631517809498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12.2</v>
      </c>
      <c r="BD27" s="13">
        <f>IF('Données projet'!$A$88&gt;35,BD26+BC27-BL26,IF(A27&lt;'Données projet'!$A$88,$BA$205^A27,IF(A27='Données projet'!$A$88,'Données projet'!$B$88,BD26+BC27-BL26)))</f>
        <v>130.79999999999998</v>
      </c>
      <c r="BE27" s="14">
        <f>BD27*VLOOKUP('Données projet'!$B$11,Paramètres!$A$1:$I$89,3,0)*VLOOKUP('Données projet'!$B$11,Paramètres!$A$1:$I$89,5,0)</f>
        <v>114.26687999999999</v>
      </c>
      <c r="BF27" s="14">
        <f t="shared" si="37"/>
        <v>30.334057329879929</v>
      </c>
      <c r="BG27" s="22">
        <f t="shared" si="7"/>
        <v>251.84663251620748</v>
      </c>
      <c r="BH27" s="62">
        <f t="shared" si="8"/>
        <v>545.17996584954085</v>
      </c>
      <c r="BI27" s="62">
        <f ca="1">AVERAGE(OFFSET($BH$3,0,0,'Données projet'!$E$11+1,1))-AVERAGE(OFFSET($H$3,0,0,'Données projet'!$E$11+1,1))</f>
        <v>236.12531905695994</v>
      </c>
      <c r="BJ27" s="62">
        <f t="shared" si="38"/>
        <v>270.64539221029258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2">
        <f t="shared" si="32"/>
        <v>5.02880763108175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70">
        <f t="shared" si="1"/>
        <v>328.12975662413402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15.142857142857142</v>
      </c>
      <c r="N28" s="14">
        <f>IF('Données projet'!$A$36&gt;35,N27+M28-V27,IF(A28&lt;'Données projet'!$A$36,$K$205^A28,IF(A28='Données projet'!$A$36,'Données projet'!$B$36,N27+M28-V27)))</f>
        <v>193.28571428571431</v>
      </c>
      <c r="O28" s="14">
        <f>N28*VLOOKUP('Données projet'!$B$9,Paramètres!$A$1:$I$89,3,0)*VLOOKUP('Données projet'!$B$9,Paramètres!$A$1:$I$89,5,0)</f>
        <v>115.58485714285716</v>
      </c>
      <c r="P28" s="14">
        <f t="shared" si="33"/>
        <v>30.643003864758004</v>
      </c>
      <c r="Q28" s="22">
        <f t="shared" si="2"/>
        <v>254.68019125492972</v>
      </c>
      <c r="R28" s="62">
        <f t="shared" si="0"/>
        <v>548.01352458826307</v>
      </c>
      <c r="S28" s="62">
        <f ca="1">AVERAGE(OFFSET($R$3,0,0,'Données projet'!$E$9+1,1))-AVERAGE(OFFSET($H$3,0,0,'Données projet'!$E$9+1,1))</f>
        <v>151.58413719376074</v>
      </c>
      <c r="T28" s="62">
        <f t="shared" si="34"/>
        <v>310.105543138185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12.02868135454999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10.89356014207879</v>
      </c>
      <c r="AC28" s="24">
        <f t="shared" si="3"/>
        <v>22.922241496628779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16.625</v>
      </c>
      <c r="AI28" s="14">
        <f>IF('Données projet'!$A$62&gt;35,AI27+AH28-AQ27,IF(A28&lt;'Données projet'!$A$62,$AF$205^A28,IF(A28='Données projet'!$A$62,'Données projet'!$B$62,AI27+AH28-AQ27)))</f>
        <v>225.87500000000009</v>
      </c>
      <c r="AJ28" s="14">
        <f>AI28*VLOOKUP('Données projet'!$B$10,Paramètres!$A$1:$I$89,3,0)*VLOOKUP('Données projet'!$B$10,Paramètres!$A$1:$I$89,5,0)</f>
        <v>135.07325000000006</v>
      </c>
      <c r="AK28" s="14">
        <f t="shared" si="35"/>
        <v>35.166013795582487</v>
      </c>
      <c r="AL28" s="22">
        <f t="shared" si="4"/>
        <v>296.50005111063956</v>
      </c>
      <c r="AM28" s="62">
        <f t="shared" si="5"/>
        <v>589.83338444397282</v>
      </c>
      <c r="AN28" s="62">
        <f ca="1">AVERAGE(OFFSET($AM$3,0,0,'Données projet'!$E$10+1,1))-AVERAGE(OFFSET($H$3,0,0,'Données projet'!$E$10+1,1))</f>
        <v>147.72913422715322</v>
      </c>
      <c r="AO28" s="62">
        <f t="shared" si="36"/>
        <v>361.07991692964799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10.155268863621478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9.7532941981302379</v>
      </c>
      <c r="AX28" s="23">
        <f t="shared" si="6"/>
        <v>19.908563061751714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>
        <f>VLOOKUP(A28,'Données projet'!$A$87:$I$107,2,0)</f>
        <v>143</v>
      </c>
      <c r="BB28" s="13">
        <f>VLOOKUP(A28,'Données projet'!$A$87:$I$107,9,0)</f>
        <v>12.2</v>
      </c>
      <c r="BC28" s="13">
        <f t="array" ref="BC28">INDEX(BB:BB,MIN(IF(ISNUMBER(BB28:BB224),ROW(BB28:BB224),"")))</f>
        <v>12.2</v>
      </c>
      <c r="BD28" s="13">
        <f>IF('Données projet'!$A$88&gt;35,BD27+BC28-BL27,IF(A28&lt;'Données projet'!$A$88,$BA$205^A28,IF(A28='Données projet'!$A$88,'Données projet'!$B$88,BD27+BC28-BL27)))</f>
        <v>142.99999999999997</v>
      </c>
      <c r="BE28" s="14">
        <f>BD28*VLOOKUP('Données projet'!$B$11,Paramètres!$A$1:$I$89,3,0)*VLOOKUP('Données projet'!$B$11,Paramètres!$A$1:$I$89,5,0)</f>
        <v>124.9248</v>
      </c>
      <c r="BF28" s="14">
        <f t="shared" si="37"/>
        <v>32.820925500842712</v>
      </c>
      <c r="BG28" s="22">
        <f t="shared" si="7"/>
        <v>274.74047191396772</v>
      </c>
      <c r="BH28" s="62">
        <f t="shared" si="8"/>
        <v>568.07380524730104</v>
      </c>
      <c r="BI28" s="62">
        <f ca="1">AVERAGE(OFFSET($BH$3,0,0,'Données projet'!$E$11+1,1))-AVERAGE(OFFSET($H$3,0,0,'Données projet'!$E$11+1,1))</f>
        <v>236.12531905695994</v>
      </c>
      <c r="BJ28" s="62">
        <f t="shared" si="38"/>
        <v>270.64539221029258</v>
      </c>
      <c r="BK28" s="16">
        <f>IF(ISNA(VLOOKUP(A28,'Données projet'!$A$87:$I$107,3,0)),0,VLOOKUP(A28,'Données projet'!$A$87:$I$107,3,0))</f>
        <v>2</v>
      </c>
      <c r="BL28" s="16">
        <f>IF(ISNA(VLOOKUP(A28,'Données projet'!$A$87:$I$107,4,0)),0,VLOOKUP(A28,'Données projet'!$A$87:$I$107,4,0))</f>
        <v>37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2">
        <f t="shared" si="32"/>
        <v>5.2061380655003466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70">
        <f t="shared" si="1"/>
        <v>329.48012379741311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15.142857142857142</v>
      </c>
      <c r="N29" s="14">
        <f>IF('Données projet'!$A$36&gt;35,N28+M29-V28,IF(A29&lt;'Données projet'!$A$36,$K$205^A29,IF(A29='Données projet'!$A$36,'Données projet'!$B$36,N28+M29-V28)))</f>
        <v>208.42857142857144</v>
      </c>
      <c r="O29" s="14">
        <f>N29*VLOOKUP('Données projet'!$B$9,Paramètres!$A$1:$I$89,3,0)*VLOOKUP('Données projet'!$B$9,Paramètres!$A$1:$I$89,5,0)</f>
        <v>124.64028571428574</v>
      </c>
      <c r="P29" s="14">
        <f t="shared" si="33"/>
        <v>32.754868392894572</v>
      </c>
      <c r="Q29" s="22">
        <f t="shared" si="2"/>
        <v>274.129893403339</v>
      </c>
      <c r="R29" s="62">
        <f t="shared" si="0"/>
        <v>567.46322673667237</v>
      </c>
      <c r="S29" s="62">
        <f ca="1">AVERAGE(OFFSET($R$3,0,0,'Données projet'!$E$9+1,1))-AVERAGE(OFFSET($H$3,0,0,'Données projet'!$E$9+1,1))</f>
        <v>151.58413719376074</v>
      </c>
      <c r="T29" s="62">
        <f t="shared" si="34"/>
        <v>310.105543138185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11.792806249958446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7.7029102477274032</v>
      </c>
      <c r="AC29" s="24">
        <f t="shared" si="3"/>
        <v>19.495716497685848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16.625</v>
      </c>
      <c r="AI29" s="14">
        <f>IF('Données projet'!$A$62&gt;35,AI28+AH29-AQ28,IF(A29&lt;'Données projet'!$A$62,$AF$205^A29,IF(A29='Données projet'!$A$62,'Données projet'!$B$62,AI28+AH29-AQ28)))</f>
        <v>242.50000000000009</v>
      </c>
      <c r="AJ29" s="14">
        <f>AI29*VLOOKUP('Données projet'!$B$10,Paramètres!$A$1:$I$89,3,0)*VLOOKUP('Données projet'!$B$10,Paramètres!$A$1:$I$89,5,0)</f>
        <v>145.01500000000004</v>
      </c>
      <c r="AK29" s="14">
        <f t="shared" si="35"/>
        <v>37.443507744276459</v>
      </c>
      <c r="AL29" s="22">
        <f t="shared" si="4"/>
        <v>317.78190098794829</v>
      </c>
      <c r="AM29" s="62">
        <f t="shared" si="5"/>
        <v>611.1152343212816</v>
      </c>
      <c r="AN29" s="62">
        <f ca="1">AVERAGE(OFFSET($AM$3,0,0,'Données projet'!$E$10+1,1))-AVERAGE(OFFSET($H$3,0,0,'Données projet'!$E$10+1,1))</f>
        <v>147.72913422715322</v>
      </c>
      <c r="AO29" s="62">
        <f t="shared" si="36"/>
        <v>361.07991692964799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9.956130235308251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6.8966204664053024</v>
      </c>
      <c r="AX29" s="23">
        <f t="shared" si="6"/>
        <v>16.852750701713553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11.4</v>
      </c>
      <c r="BD29" s="13">
        <f>IF('Données projet'!$A$88&gt;35,BD28+BC29-BL28,IF(A29&lt;'Données projet'!$A$88,$BA$205^A29,IF(A29='Données projet'!$A$88,'Données projet'!$B$88,BD28+BC29-BL28)))</f>
        <v>117.39999999999998</v>
      </c>
      <c r="BE29" s="14">
        <f>BD29*VLOOKUP('Données projet'!$B$11,Paramètres!$A$1:$I$89,3,0)*VLOOKUP('Données projet'!$B$11,Paramètres!$A$1:$I$89,5,0)</f>
        <v>102.56064000000001</v>
      </c>
      <c r="BF29" s="14">
        <f t="shared" si="37"/>
        <v>27.571134131783779</v>
      </c>
      <c r="BG29" s="22">
        <f t="shared" si="7"/>
        <v>226.64617327952342</v>
      </c>
      <c r="BH29" s="62">
        <f t="shared" si="8"/>
        <v>519.97950661285677</v>
      </c>
      <c r="BI29" s="62">
        <f ca="1">AVERAGE(OFFSET($BH$3,0,0,'Données projet'!$E$11+1,1))-AVERAGE(OFFSET($H$3,0,0,'Données projet'!$E$11+1,1))</f>
        <v>236.12531905695994</v>
      </c>
      <c r="BJ29" s="62">
        <f t="shared" si="38"/>
        <v>270.64539221029258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2">
        <f t="shared" si="32"/>
        <v>5.3826761733310189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70">
        <f t="shared" si="1"/>
        <v>330.82911100188483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15.142857142857142</v>
      </c>
      <c r="N30" s="14">
        <f>IF('Données projet'!$A$36&gt;35,N29+M30-V29,IF(A30&lt;'Données projet'!$A$36,$K$205^A30,IF(A30='Données projet'!$A$36,'Données projet'!$B$36,N29+M30-V29)))</f>
        <v>223.57142857142858</v>
      </c>
      <c r="O30" s="14">
        <f>N30*VLOOKUP('Données projet'!$B$9,Paramètres!$A$1:$I$89,3,0)*VLOOKUP('Données projet'!$B$9,Paramètres!$A$1:$I$89,5,0)</f>
        <v>133.6957142857143</v>
      </c>
      <c r="P30" s="14">
        <f t="shared" si="33"/>
        <v>34.848932189999701</v>
      </c>
      <c r="Q30" s="22">
        <f t="shared" si="2"/>
        <v>293.54859261186851</v>
      </c>
      <c r="R30" s="62">
        <f t="shared" si="0"/>
        <v>586.88192594520183</v>
      </c>
      <c r="S30" s="62">
        <f ca="1">AVERAGE(OFFSET($R$3,0,0,'Données projet'!$E$9+1,1))-AVERAGE(OFFSET($H$3,0,0,'Données projet'!$E$9+1,1))</f>
        <v>151.58413719376074</v>
      </c>
      <c r="T30" s="62">
        <f t="shared" si="34"/>
        <v>310.105543138185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11.561556512298333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5.4467800710393961</v>
      </c>
      <c r="AC30" s="24">
        <f t="shared" si="3"/>
        <v>17.00833658333773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16.625</v>
      </c>
      <c r="AI30" s="14">
        <f>IF('Données projet'!$A$62&gt;35,AI29+AH30-AQ29,IF(A30&lt;'Données projet'!$A$62,$AF$205^A30,IF(A30='Données projet'!$A$62,'Données projet'!$B$62,AI29+AH30-AQ29)))</f>
        <v>259.12500000000011</v>
      </c>
      <c r="AJ30" s="14">
        <f>AI30*VLOOKUP('Données projet'!$B$10,Paramètres!$A$1:$I$89,3,0)*VLOOKUP('Données projet'!$B$10,Paramètres!$A$1:$I$89,5,0)</f>
        <v>154.95675000000008</v>
      </c>
      <c r="AK30" s="14">
        <f t="shared" si="35"/>
        <v>39.702884639661342</v>
      </c>
      <c r="AL30" s="22">
        <f t="shared" si="4"/>
        <v>339.03219699741027</v>
      </c>
      <c r="AM30" s="62">
        <f t="shared" si="5"/>
        <v>632.36553033074358</v>
      </c>
      <c r="AN30" s="62">
        <f ca="1">AVERAGE(OFFSET($AM$3,0,0,'Données projet'!$E$10+1,1))-AVERAGE(OFFSET($H$3,0,0,'Données projet'!$E$10+1,1))</f>
        <v>147.72913422715322</v>
      </c>
      <c r="AO30" s="62">
        <f t="shared" si="36"/>
        <v>361.07991692964799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9.7608965940336763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4.8766470990651198</v>
      </c>
      <c r="AX30" s="23">
        <f t="shared" si="6"/>
        <v>14.637543693098795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11.4</v>
      </c>
      <c r="BD30" s="13">
        <f>IF('Données projet'!$A$88&gt;35,BD29+BC30-BL29,IF(A30&lt;'Données projet'!$A$88,$BA$205^A30,IF(A30='Données projet'!$A$88,'Données projet'!$B$88,BD29+BC30-BL29)))</f>
        <v>128.79999999999998</v>
      </c>
      <c r="BE30" s="14">
        <f>BD30*VLOOKUP('Données projet'!$B$11,Paramètres!$A$1:$I$89,3,0)*VLOOKUP('Données projet'!$B$11,Paramètres!$A$1:$I$89,5,0)</f>
        <v>112.51968000000001</v>
      </c>
      <c r="BF30" s="14">
        <f t="shared" si="37"/>
        <v>29.923856072189899</v>
      </c>
      <c r="BG30" s="22">
        <f t="shared" si="7"/>
        <v>248.08915865906408</v>
      </c>
      <c r="BH30" s="62">
        <f t="shared" si="8"/>
        <v>541.42249199239745</v>
      </c>
      <c r="BI30" s="62">
        <f ca="1">AVERAGE(OFFSET($BH$3,0,0,'Données projet'!$E$11+1,1))-AVERAGE(OFFSET($H$3,0,0,'Données projet'!$E$11+1,1))</f>
        <v>236.12531905695994</v>
      </c>
      <c r="BJ30" s="62">
        <f t="shared" si="38"/>
        <v>270.64539221029258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2">
        <f t="shared" si="32"/>
        <v>5.5584546605089464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70">
        <f t="shared" si="1"/>
        <v>332.17677520038643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15.142857142857142</v>
      </c>
      <c r="N31" s="14">
        <f>IF('Données projet'!$A$36&gt;35,N30+M31-V30,IF(A31&lt;'Données projet'!$A$36,$K$205^A31,IF(A31='Données projet'!$A$36,'Données projet'!$B$36,N30+M31-V30)))</f>
        <v>238.71428571428572</v>
      </c>
      <c r="O31" s="14">
        <f>N31*VLOOKUP('Données projet'!$B$9,Paramètres!$A$1:$I$89,3,0)*VLOOKUP('Données projet'!$B$9,Paramètres!$A$1:$I$89,5,0)</f>
        <v>142.75114285714287</v>
      </c>
      <c r="P31" s="14">
        <f t="shared" si="33"/>
        <v>36.926538099571019</v>
      </c>
      <c r="Q31" s="22">
        <f t="shared" si="2"/>
        <v>312.93862766627666</v>
      </c>
      <c r="R31" s="62">
        <f t="shared" si="0"/>
        <v>606.27196099960997</v>
      </c>
      <c r="S31" s="62">
        <f ca="1">AVERAGE(OFFSET($R$3,0,0,'Données projet'!$E$9+1,1))-AVERAGE(OFFSET($H$3,0,0,'Données projet'!$E$9+1,1))</f>
        <v>151.58413719376074</v>
      </c>
      <c r="T31" s="62">
        <f t="shared" si="34"/>
        <v>310.105543138185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11.334841440945322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3.8514551238637025</v>
      </c>
      <c r="AC31" s="24">
        <f t="shared" si="3"/>
        <v>15.186296564809025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16.625</v>
      </c>
      <c r="AI31" s="14">
        <f>IF('Données projet'!$A$62&gt;35,AI30+AH31-AQ30,IF(A31&lt;'Données projet'!$A$62,$AF$205^A31,IF(A31='Données projet'!$A$62,'Données projet'!$B$62,AI30+AH31-AQ30)))</f>
        <v>275.75000000000011</v>
      </c>
      <c r="AJ31" s="14">
        <f>AI31*VLOOKUP('Données projet'!$B$10,Paramètres!$A$1:$I$89,3,0)*VLOOKUP('Données projet'!$B$10,Paramètres!$A$1:$I$89,5,0)</f>
        <v>164.89850000000007</v>
      </c>
      <c r="AK31" s="14">
        <f t="shared" si="35"/>
        <v>41.94543913753872</v>
      </c>
      <c r="AL31" s="22">
        <f t="shared" si="4"/>
        <v>360.25319399788003</v>
      </c>
      <c r="AM31" s="62">
        <f t="shared" si="5"/>
        <v>653.58652733121335</v>
      </c>
      <c r="AN31" s="62">
        <f ca="1">AVERAGE(OFFSET($AM$3,0,0,'Données projet'!$E$10+1,1))-AVERAGE(OFFSET($H$3,0,0,'Données projet'!$E$10+1,1))</f>
        <v>147.72913422715322</v>
      </c>
      <c r="AO31" s="62">
        <f t="shared" si="36"/>
        <v>361.07991692964799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9.5694913653837332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3.4483102332026516</v>
      </c>
      <c r="AX31" s="23">
        <f t="shared" si="6"/>
        <v>13.017801598586384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11.4</v>
      </c>
      <c r="BD31" s="13">
        <f>IF('Données projet'!$A$88&gt;35,BD30+BC31-BL30,IF(A31&lt;'Données projet'!$A$88,$BA$205^A31,IF(A31='Données projet'!$A$88,'Données projet'!$B$88,BD30+BC31-BL30)))</f>
        <v>140.19999999999999</v>
      </c>
      <c r="BE31" s="14">
        <f>BD31*VLOOKUP('Données projet'!$B$11,Paramètres!$A$1:$I$89,3,0)*VLOOKUP('Données projet'!$B$11,Paramètres!$A$1:$I$89,5,0)</f>
        <v>122.47872000000001</v>
      </c>
      <c r="BF31" s="14">
        <f t="shared" si="37"/>
        <v>32.252430308904003</v>
      </c>
      <c r="BG31" s="22">
        <f t="shared" si="7"/>
        <v>269.49008678800777</v>
      </c>
      <c r="BH31" s="62">
        <f t="shared" si="8"/>
        <v>562.82342012134109</v>
      </c>
      <c r="BI31" s="62">
        <f ca="1">AVERAGE(OFFSET($BH$3,0,0,'Données projet'!$E$11+1,1))-AVERAGE(OFFSET($H$3,0,0,'Données projet'!$E$11+1,1))</f>
        <v>236.12531905695994</v>
      </c>
      <c r="BJ31" s="62">
        <f t="shared" si="38"/>
        <v>270.64539221029258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2">
        <f t="shared" si="32"/>
        <v>5.7335037643993987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70">
        <f t="shared" si="1"/>
        <v>333.52316905632892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15.142857142857142</v>
      </c>
      <c r="N32" s="14">
        <f>IF('Données projet'!$A$36&gt;35,N31+M32-V31,IF(A32&lt;'Données projet'!$A$36,$K$205^A32,IF(A32='Données projet'!$A$36,'Données projet'!$B$36,N31+M32-V31)))</f>
        <v>253.85714285714286</v>
      </c>
      <c r="O32" s="14">
        <f>N32*VLOOKUP('Données projet'!$B$9,Paramètres!$A$1:$I$89,3,0)*VLOOKUP('Données projet'!$B$9,Paramètres!$A$1:$I$89,5,0)</f>
        <v>151.80657142857146</v>
      </c>
      <c r="P32" s="14">
        <f t="shared" si="33"/>
        <v>38.988848967460292</v>
      </c>
      <c r="Q32" s="22">
        <f t="shared" si="2"/>
        <v>332.30202385642195</v>
      </c>
      <c r="R32" s="62">
        <f t="shared" si="0"/>
        <v>625.63535718975527</v>
      </c>
      <c r="S32" s="62">
        <f ca="1">AVERAGE(OFFSET($R$3,0,0,'Données projet'!$E$9+1,1))-AVERAGE(OFFSET($H$3,0,0,'Données projet'!$E$9+1,1))</f>
        <v>151.58413719376074</v>
      </c>
      <c r="T32" s="62">
        <f t="shared" si="34"/>
        <v>310.105543138185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11.112572113859004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2.7233900355196985</v>
      </c>
      <c r="AC32" s="24">
        <f t="shared" si="3"/>
        <v>13.835962149378702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16.625</v>
      </c>
      <c r="AI32" s="14">
        <f>IF('Données projet'!$A$62&gt;35,AI31+AH32-AQ31,IF(A32&lt;'Données projet'!$A$62,$AF$205^A32,IF(A32='Données projet'!$A$62,'Données projet'!$B$62,AI31+AH32-AQ31)))</f>
        <v>292.37500000000011</v>
      </c>
      <c r="AJ32" s="14">
        <f>AI32*VLOOKUP('Données projet'!$B$10,Paramètres!$A$1:$I$89,3,0)*VLOOKUP('Données projet'!$B$10,Paramètres!$A$1:$I$89,5,0)</f>
        <v>174.84025000000008</v>
      </c>
      <c r="AK32" s="14">
        <f t="shared" si="35"/>
        <v>44.172300963535264</v>
      </c>
      <c r="AL32" s="22">
        <f t="shared" si="4"/>
        <v>381.44685959482405</v>
      </c>
      <c r="AM32" s="62">
        <f t="shared" si="5"/>
        <v>674.78019292815736</v>
      </c>
      <c r="AN32" s="62">
        <f ca="1">AVERAGE(OFFSET($AM$3,0,0,'Données projet'!$E$10+1,1))-AVERAGE(OFFSET($H$3,0,0,'Données projet'!$E$10+1,1))</f>
        <v>147.72913422715322</v>
      </c>
      <c r="AO32" s="62">
        <f t="shared" si="36"/>
        <v>361.07991692964799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9.3818394765219537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2.4383235495325604</v>
      </c>
      <c r="AX32" s="23">
        <f t="shared" si="6"/>
        <v>11.820163026054514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11.4</v>
      </c>
      <c r="BD32" s="13">
        <f>IF('Données projet'!$A$88&gt;35,BD31+BC32-BL31,IF(A32&lt;'Données projet'!$A$88,$BA$205^A32,IF(A32='Données projet'!$A$88,'Données projet'!$B$88,BD31+BC32-BL31)))</f>
        <v>151.6</v>
      </c>
      <c r="BE32" s="14">
        <f>BD32*VLOOKUP('Données projet'!$B$11,Paramètres!$A$1:$I$89,3,0)*VLOOKUP('Données projet'!$B$11,Paramètres!$A$1:$I$89,5,0)</f>
        <v>132.43776</v>
      </c>
      <c r="BF32" s="14">
        <f t="shared" si="37"/>
        <v>34.559043580858436</v>
      </c>
      <c r="BG32" s="22">
        <f t="shared" si="7"/>
        <v>290.85276623666175</v>
      </c>
      <c r="BH32" s="62">
        <f t="shared" si="8"/>
        <v>584.18609956999512</v>
      </c>
      <c r="BI32" s="62">
        <f ca="1">AVERAGE(OFFSET($BH$3,0,0,'Données projet'!$E$11+1,1))-AVERAGE(OFFSET($H$3,0,0,'Données projet'!$E$11+1,1))</f>
        <v>236.12531905695994</v>
      </c>
      <c r="BJ32" s="62">
        <f t="shared" si="38"/>
        <v>270.64539221029258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2">
        <f t="shared" si="32"/>
        <v>5.907851518758747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70">
        <f t="shared" si="1"/>
        <v>334.86834139517146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269</v>
      </c>
      <c r="L33" s="13">
        <f>VLOOKUP(A33,'Données projet'!$A$35:$I$55,9,0)</f>
        <v>15.142857142857142</v>
      </c>
      <c r="M33" s="13">
        <f t="array" ref="M33">INDEX(L:L,MIN(IF(ISNUMBER(L33:L229),ROW(L33:L229),"")))</f>
        <v>15.142857142857142</v>
      </c>
      <c r="N33" s="14">
        <f>IF('Données projet'!$A$36&gt;35,N32+M33-V32,IF(A33&lt;'Données projet'!$A$36,$K$205^A33,IF(A33='Données projet'!$A$36,'Données projet'!$B$36,N32+M33-V32)))</f>
        <v>269</v>
      </c>
      <c r="O33" s="14">
        <f>N33*VLOOKUP('Données projet'!$B$9,Paramètres!$A$1:$I$89,3,0)*VLOOKUP('Données projet'!$B$9,Paramètres!$A$1:$I$89,5,0)</f>
        <v>160.86200000000002</v>
      </c>
      <c r="P33" s="14">
        <f t="shared" si="33"/>
        <v>41.03688107178359</v>
      </c>
      <c r="Q33" s="22">
        <f t="shared" si="2"/>
        <v>351.64055120002314</v>
      </c>
      <c r="R33" s="62">
        <f t="shared" si="0"/>
        <v>644.97388453335645</v>
      </c>
      <c r="S33" s="62">
        <f ca="1">AVERAGE(OFFSET($R$3,0,0,'Données projet'!$E$9+1,1))-AVERAGE(OFFSET($H$3,0,0,'Données projet'!$E$9+1,1))</f>
        <v>151.58413719376074</v>
      </c>
      <c r="T33" s="62">
        <f t="shared" si="34"/>
        <v>310.105543138185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10.894661352705947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1.9257275619318515</v>
      </c>
      <c r="AC33" s="24">
        <f t="shared" si="3"/>
        <v>12.8203889146378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309</v>
      </c>
      <c r="AG33" s="13">
        <f>VLOOKUP(A33,'Données projet'!$A$61:$I$81,9,0)</f>
        <v>16.625</v>
      </c>
      <c r="AH33" s="13">
        <f t="array" ref="AH33">INDEX(AG:AG,MIN(IF(ISNUMBER(AG33:AG229),ROW(AG33:AG229),"")))</f>
        <v>16.625</v>
      </c>
      <c r="AI33" s="14">
        <f>IF('Données projet'!$A$62&gt;35,AI32+AH33-AQ32,IF(A33&lt;'Données projet'!$A$62,$AF$205^A33,IF(A33='Données projet'!$A$62,'Données projet'!$B$62,AI32+AH33-AQ32)))</f>
        <v>309.00000000000011</v>
      </c>
      <c r="AJ33" s="14">
        <f>AI33*VLOOKUP('Données projet'!$B$10,Paramètres!$A$1:$I$89,3,0)*VLOOKUP('Données projet'!$B$10,Paramètres!$A$1:$I$89,5,0)</f>
        <v>184.7820000000001</v>
      </c>
      <c r="AK33" s="14">
        <f t="shared" si="35"/>
        <v>46.384464109944147</v>
      </c>
      <c r="AL33" s="22">
        <f t="shared" si="4"/>
        <v>402.61492499148613</v>
      </c>
      <c r="AM33" s="62">
        <f t="shared" si="5"/>
        <v>695.94825832481945</v>
      </c>
      <c r="AN33" s="62">
        <f ca="1">AVERAGE(OFFSET($AM$3,0,0,'Données projet'!$E$10+1,1))-AVERAGE(OFFSET($H$3,0,0,'Données projet'!$E$10+1,1))</f>
        <v>147.72913422715322</v>
      </c>
      <c r="AO33" s="62">
        <f t="shared" si="36"/>
        <v>361.07991692964799</v>
      </c>
      <c r="AP33" s="16">
        <f>IF(ISNA(VLOOKUP(A33,'Données projet'!$A$61:$I$81,3,0)),0,VLOOKUP(A33,'Données projet'!$A$61:$I$81,3,0))</f>
        <v>4</v>
      </c>
      <c r="AQ33" s="16">
        <f>IF(ISNA(VLOOKUP(A33,'Données projet'!$A$61:$I$81,4,0)),0,VLOOKUP(A33,'Données projet'!$A$61:$I$81,4,0))</f>
        <v>309</v>
      </c>
      <c r="AR33" s="17">
        <f>IF(ISNA(VLOOKUP(A33,'Données projet'!$A$61:$I$81,5,0)),0%,VLOOKUP(A33,'Données projet'!$A$61:$I$81,5,0)*VLOOKUP('Données projet'!$B$10,Paramètres!$A$1:$I$89,7,0))</f>
        <v>0.18000000000000002</v>
      </c>
      <c r="AS33" s="17">
        <f>IF(ISNA(VLOOKUP(A33,'Données projet'!$A$61:$I$81,6,0)),0%,VLOOKUP(A33,'Données projet'!$A$61:$I$81,6,0)*VLOOKUP('Données projet'!$B$10,Paramètres!$A$1:$I$89,7,0))</f>
        <v>0.18000000000000002</v>
      </c>
      <c r="AT33" s="17">
        <f>IF(ISNA(VLOOKUP(A33,'Données projet'!$A$61:$I$81,7,0)),0%,VLOOKUP(A33,'Données projet'!$A$61:$I$81,7,0))</f>
        <v>0.2</v>
      </c>
      <c r="AU33" s="23">
        <f>EXP(-LN(2)/35)*AU32+(1-EXP(-LN(2)/35))/(LN(2)/35)*AQ33*AR33*VLOOKUP('Données projet'!$B$10,Paramètres!$A$1:$I$89,3,0)*0.475*44/12</f>
        <v>53.320409303649647</v>
      </c>
      <c r="AV33" s="23">
        <f>EXP(-LN(2)/25)*AV32+(1-EXP(-LN(2)/25))/(LN(2)/25)*Calculateur!AQ33*Calculateur!AS33*VLOOKUP('Données projet'!$B$10,Paramètres!$A$1:$I$89,3,0)*0.475*44/12</f>
        <v>43.948814717135633</v>
      </c>
      <c r="AW33" s="23">
        <f>EXP(-LN(2)/2)*AW32+(1-EXP(-LN(2)/2))/(LN(2)/2)*AQ33*AT33*VLOOKUP('Données projet'!$B$10,Paramètres!$A$1:$I$89,3,0)*0.475*44/12</f>
        <v>43.567384796908406</v>
      </c>
      <c r="AX33" s="23">
        <f t="shared" si="6"/>
        <v>140.8366088176937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163</v>
      </c>
      <c r="BB33" s="13">
        <f>VLOOKUP(A33,'Données projet'!$A$87:$I$107,9,0)</f>
        <v>11.4</v>
      </c>
      <c r="BC33" s="13">
        <f t="array" ref="BC33">INDEX(BB:BB,MIN(IF(ISNUMBER(BB33:BB229),ROW(BB33:BB229),"")))</f>
        <v>11.4</v>
      </c>
      <c r="BD33" s="13">
        <f>IF('Données projet'!$A$88&gt;35,BD32+BC33-BL32,IF(A33&lt;'Données projet'!$A$88,$BA$205^A33,IF(A33='Données projet'!$A$88,'Données projet'!$B$88,BD32+BC33-BL32)))</f>
        <v>163</v>
      </c>
      <c r="BE33" s="14">
        <f>BD33*VLOOKUP('Données projet'!$B$11,Paramètres!$A$1:$I$89,3,0)*VLOOKUP('Données projet'!$B$11,Paramètres!$A$1:$I$89,5,0)</f>
        <v>142.39680000000004</v>
      </c>
      <c r="BF33" s="14">
        <f t="shared" si="37"/>
        <v>36.845535084476985</v>
      </c>
      <c r="BG33" s="22">
        <f t="shared" si="7"/>
        <v>312.18040027213078</v>
      </c>
      <c r="BH33" s="62">
        <f t="shared" si="8"/>
        <v>605.51373360546404</v>
      </c>
      <c r="BI33" s="62">
        <f ca="1">AVERAGE(OFFSET($BH$3,0,0,'Données projet'!$E$11+1,1))-AVERAGE(OFFSET($H$3,0,0,'Données projet'!$E$11+1,1))</f>
        <v>236.12531905695994</v>
      </c>
      <c r="BJ33" s="62">
        <f t="shared" si="38"/>
        <v>270.64539221029258</v>
      </c>
      <c r="BK33" s="16">
        <f>IF(ISNA(VLOOKUP(A33,'Données projet'!$A$87:$I$107,3,0)),0,VLOOKUP(A33,'Données projet'!$A$87:$I$107,3,0))</f>
        <v>3</v>
      </c>
      <c r="BL33" s="16">
        <f>IF(ISNA(VLOOKUP(A33,'Données projet'!$A$87:$I$107,4,0)),0,VLOOKUP(A33,'Données projet'!$A$87:$I$107,4,0))</f>
        <v>37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2">
        <f t="shared" si="32"/>
        <v>6.0815239823749314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70">
        <f t="shared" si="1"/>
        <v>336.21233760263635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14</v>
      </c>
      <c r="N34" s="14">
        <f>IF('Données projet'!$A$36&gt;35,N33+M34-V33,IF(A34&lt;'Données projet'!$A$36,$K$205^A34,IF(A34='Données projet'!$A$36,'Données projet'!$B$36,N33+M34-V33)))</f>
        <v>283</v>
      </c>
      <c r="O34" s="14">
        <f>N34*VLOOKUP('Données projet'!$B$9,Paramètres!$A$1:$I$89,3,0)*VLOOKUP('Données projet'!$B$9,Paramètres!$A$1:$I$89,5,0)</f>
        <v>169.23400000000001</v>
      </c>
      <c r="P34" s="14">
        <f t="shared" si="33"/>
        <v>42.918420001269354</v>
      </c>
      <c r="Q34" s="22">
        <f t="shared" si="2"/>
        <v>369.4987981688775</v>
      </c>
      <c r="R34" s="62">
        <f t="shared" si="0"/>
        <v>662.83213150221081</v>
      </c>
      <c r="S34" s="62">
        <f ca="1">AVERAGE(OFFSET($R$3,0,0,'Données projet'!$E$9+1,1))-AVERAGE(OFFSET($H$3,0,0,'Données projet'!$E$9+1,1))</f>
        <v>151.58413719376074</v>
      </c>
      <c r="T34" s="62">
        <f t="shared" si="34"/>
        <v>310.105543138185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10.681023688666661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1.3616950177598495</v>
      </c>
      <c r="AC34" s="24">
        <f t="shared" si="3"/>
        <v>12.042718706426511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1.1368683772161603E-13</v>
      </c>
      <c r="AJ34" s="14">
        <f>AI34*VLOOKUP('Données projet'!$B$10,Paramètres!$A$1:$I$89,3,0)*VLOOKUP('Données projet'!$B$10,Paramètres!$A$1:$I$89,5,0)</f>
        <v>6.7984728957526396E-14</v>
      </c>
      <c r="AK34" s="14">
        <f t="shared" si="35"/>
        <v>1.0682447123141398E-12</v>
      </c>
      <c r="AL34" s="22">
        <f t="shared" si="4"/>
        <v>1.978932943548152E-12</v>
      </c>
      <c r="AM34" s="62">
        <f t="shared" si="5"/>
        <v>293.3333333333353</v>
      </c>
      <c r="AN34" s="62">
        <f ca="1">AVERAGE(OFFSET($AM$3,0,0,'Données projet'!$E$10+1,1))-AVERAGE(OFFSET($H$3,0,0,'Données projet'!$E$10+1,1))</f>
        <v>147.72913422715322</v>
      </c>
      <c r="AO34" s="62">
        <f t="shared" si="36"/>
        <v>361.07991692964799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52.274828599443445</v>
      </c>
      <c r="AV34" s="23">
        <f>EXP(-LN(2)/25)*AV33+(1-EXP(-LN(2)/25))/(LN(2)/25)*Calculateur!AQ34*Calculateur!AS34*VLOOKUP('Données projet'!$B$10,Paramètres!$A$1:$I$89,3,0)*0.475*44/12</f>
        <v>42.74703206752784</v>
      </c>
      <c r="AW34" s="23">
        <f>EXP(-LN(2)/2)*AW33+(1-EXP(-LN(2)/2))/(LN(2)/2)*AQ34*AT34*VLOOKUP('Données projet'!$B$10,Paramètres!$A$1:$I$89,3,0)*0.475*44/12</f>
        <v>30.806793228457632</v>
      </c>
      <c r="AX34" s="23">
        <f t="shared" si="6"/>
        <v>125.82865389542893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10.6</v>
      </c>
      <c r="BD34" s="13">
        <f>IF('Données projet'!$A$88&gt;35,BD33+BC34-BL33,IF(A34&lt;'Données projet'!$A$88,$BA$205^A34,IF(A34='Données projet'!$A$88,'Données projet'!$B$88,BD33+BC34-BL33)))</f>
        <v>136.6</v>
      </c>
      <c r="BE34" s="14">
        <f>BD34*VLOOKUP('Données projet'!$B$11,Paramètres!$A$1:$I$89,3,0)*VLOOKUP('Données projet'!$B$11,Paramètres!$A$1:$I$89,5,0)</f>
        <v>119.33376000000001</v>
      </c>
      <c r="BF34" s="14">
        <f t="shared" si="37"/>
        <v>31.519559440518702</v>
      </c>
      <c r="BG34" s="22">
        <f t="shared" si="7"/>
        <v>262.7361980255701</v>
      </c>
      <c r="BH34" s="62">
        <f t="shared" si="8"/>
        <v>556.06953135890342</v>
      </c>
      <c r="BI34" s="62">
        <f ca="1">AVERAGE(OFFSET($BH$3,0,0,'Données projet'!$E$11+1,1))-AVERAGE(OFFSET($H$3,0,0,'Données projet'!$E$11+1,1))</f>
        <v>236.12531905695994</v>
      </c>
      <c r="BJ34" s="62">
        <f t="shared" si="38"/>
        <v>270.64539221029258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2">
        <f t="shared" si="32"/>
        <v>6.2545454373771854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70">
        <f t="shared" si="1"/>
        <v>337.55519997009856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14</v>
      </c>
      <c r="N35" s="14">
        <f>IF('Données projet'!$A$36&gt;35,N34+M35-V34,IF(A35&lt;'Données projet'!$A$36,$K$205^A35,IF(A35='Données projet'!$A$36,'Données projet'!$B$36,N34+M35-V34)))</f>
        <v>297</v>
      </c>
      <c r="O35" s="14">
        <f>N35*VLOOKUP('Données projet'!$B$9,Paramètres!$A$1:$I$89,3,0)*VLOOKUP('Données projet'!$B$9,Paramètres!$A$1:$I$89,5,0)</f>
        <v>177.60600000000002</v>
      </c>
      <c r="P35" s="14">
        <f t="shared" si="33"/>
        <v>44.789150937858665</v>
      </c>
      <c r="Q35" s="22">
        <f t="shared" ref="Q35:Q66" si="53">(O35+P35)*0.475*44/12</f>
        <v>387.33822121677053</v>
      </c>
      <c r="R35" s="62">
        <f t="shared" si="0"/>
        <v>680.67155455010379</v>
      </c>
      <c r="S35" s="62">
        <f ca="1">AVERAGE(OFFSET($R$3,0,0,'Données projet'!$E$9+1,1))-AVERAGE(OFFSET($H$3,0,0,'Données projet'!$E$9+1,1))</f>
        <v>151.58413719376074</v>
      </c>
      <c r="T35" s="62">
        <f t="shared" si="34"/>
        <v>310.105543138185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10.471575328913076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0.96286378096592584</v>
      </c>
      <c r="AC35" s="24">
        <f t="shared" si="3"/>
        <v>11.434439109879001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1.1368683772161603E-13</v>
      </c>
      <c r="AJ35" s="14">
        <f>AI35*VLOOKUP('Données projet'!$B$10,Paramètres!$A$1:$I$89,3,0)*VLOOKUP('Données projet'!$B$10,Paramètres!$A$1:$I$89,5,0)</f>
        <v>6.7984728957526396E-14</v>
      </c>
      <c r="AK35" s="14">
        <f t="shared" si="35"/>
        <v>1.0682447123141398E-12</v>
      </c>
      <c r="AL35" s="22">
        <f t="shared" si="4"/>
        <v>1.978932943548152E-12</v>
      </c>
      <c r="AM35" s="62">
        <f t="shared" si="5"/>
        <v>293.3333333333353</v>
      </c>
      <c r="AN35" s="62">
        <f ca="1">AVERAGE(OFFSET($AM$3,0,0,'Données projet'!$E$10+1,1))-AVERAGE(OFFSET($H$3,0,0,'Données projet'!$E$10+1,1))</f>
        <v>147.72913422715322</v>
      </c>
      <c r="AO35" s="62">
        <f t="shared" si="36"/>
        <v>361.07991692964799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51.249751095105474</v>
      </c>
      <c r="AV35" s="23">
        <f>EXP(-LN(2)/25)*AV34+(1-EXP(-LN(2)/25))/(LN(2)/25)*Calculateur!AQ35*Calculateur!AS35*VLOOKUP('Données projet'!$B$10,Paramètres!$A$1:$I$89,3,0)*0.475*44/12</f>
        <v>41.578112227672577</v>
      </c>
      <c r="AW35" s="23">
        <f>EXP(-LN(2)/2)*AW34+(1-EXP(-LN(2)/2))/(LN(2)/2)*AQ35*AT35*VLOOKUP('Données projet'!$B$10,Paramètres!$A$1:$I$89,3,0)*0.475*44/12</f>
        <v>21.783692398454207</v>
      </c>
      <c r="AX35" s="23">
        <f t="shared" si="6"/>
        <v>114.61155572123226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10.6</v>
      </c>
      <c r="BD35" s="13">
        <f>IF('Données projet'!$A$88&gt;35,BD34+BC35-BL34,IF(A35&lt;'Données projet'!$A$88,$BA$205^A35,IF(A35='Données projet'!$A$88,'Données projet'!$B$88,BD34+BC35-BL34)))</f>
        <v>147.19999999999999</v>
      </c>
      <c r="BE35" s="14">
        <f>BD35*VLOOKUP('Données projet'!$B$11,Paramètres!$A$1:$I$89,3,0)*VLOOKUP('Données projet'!$B$11,Paramètres!$A$1:$I$89,5,0)</f>
        <v>128.59392</v>
      </c>
      <c r="BF35" s="14">
        <f t="shared" si="37"/>
        <v>33.671250175837564</v>
      </c>
      <c r="BG35" s="22">
        <f t="shared" si="7"/>
        <v>282.61183805625041</v>
      </c>
      <c r="BH35" s="62">
        <f t="shared" si="8"/>
        <v>575.94517138958372</v>
      </c>
      <c r="BI35" s="62">
        <f ca="1">AVERAGE(OFFSET($BH$3,0,0,'Données projet'!$E$11+1,1))-AVERAGE(OFFSET($H$3,0,0,'Données projet'!$E$11+1,1))</f>
        <v>236.12531905695994</v>
      </c>
      <c r="BJ35" s="62">
        <f t="shared" si="38"/>
        <v>270.64539221029258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2">
        <f t="shared" si="32"/>
        <v>6.4269385620606752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70">
        <f t="shared" si="1"/>
        <v>338.89696799558897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14</v>
      </c>
      <c r="N36" s="14">
        <f>IF('Données projet'!$A$36&gt;35,N35+M36-V35,IF(A36&lt;'Données projet'!$A$36,$K$205^A36,IF(A36='Données projet'!$A$36,'Données projet'!$B$36,N35+M36-V35)))</f>
        <v>311</v>
      </c>
      <c r="O36" s="14">
        <f>N36*VLOOKUP('Données projet'!$B$9,Paramètres!$A$1:$I$89,3,0)*VLOOKUP('Données projet'!$B$9,Paramètres!$A$1:$I$89,5,0)</f>
        <v>185.97800000000001</v>
      </c>
      <c r="P36" s="14">
        <f t="shared" si="33"/>
        <v>46.649641523668571</v>
      </c>
      <c r="Q36" s="22">
        <f t="shared" si="53"/>
        <v>405.15980898705612</v>
      </c>
      <c r="R36" s="62">
        <f t="shared" si="0"/>
        <v>698.49314232038944</v>
      </c>
      <c r="S36" s="62">
        <f ca="1">AVERAGE(OFFSET($R$3,0,0,'Données projet'!$E$9+1,1))-AVERAGE(OFFSET($H$3,0,0,'Données projet'!$E$9+1,1))</f>
        <v>151.58413719376074</v>
      </c>
      <c r="T36" s="62">
        <f t="shared" si="34"/>
        <v>310.105543138185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10.266234123743374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0.68084750887992485</v>
      </c>
      <c r="AC36" s="24">
        <f t="shared" si="3"/>
        <v>10.947081632623298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1.1368683772161603E-13</v>
      </c>
      <c r="AJ36" s="14">
        <f>AI36*VLOOKUP('Données projet'!$B$10,Paramètres!$A$1:$I$89,3,0)*VLOOKUP('Données projet'!$B$10,Paramètres!$A$1:$I$89,5,0)</f>
        <v>6.7984728957526396E-14</v>
      </c>
      <c r="AK36" s="14">
        <f t="shared" si="35"/>
        <v>1.0682447123141398E-12</v>
      </c>
      <c r="AL36" s="22">
        <f t="shared" si="4"/>
        <v>1.978932943548152E-12</v>
      </c>
      <c r="AM36" s="62">
        <f t="shared" si="5"/>
        <v>293.3333333333353</v>
      </c>
      <c r="AN36" s="62">
        <f ca="1">AVERAGE(OFFSET($AM$3,0,0,'Données projet'!$E$10+1,1))-AVERAGE(OFFSET($H$3,0,0,'Données projet'!$E$10+1,1))</f>
        <v>147.72913422715322</v>
      </c>
      <c r="AO36" s="62">
        <f t="shared" si="36"/>
        <v>361.07991692964799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50.244774735392028</v>
      </c>
      <c r="AV36" s="23">
        <f>EXP(-LN(2)/25)*AV35+(1-EXP(-LN(2)/25))/(LN(2)/25)*Calculateur!AQ36*Calculateur!AS36*VLOOKUP('Données projet'!$B$10,Paramètres!$A$1:$I$89,3,0)*0.475*44/12</f>
        <v>40.441156562308976</v>
      </c>
      <c r="AW36" s="23">
        <f>EXP(-LN(2)/2)*AW35+(1-EXP(-LN(2)/2))/(LN(2)/2)*AQ36*AT36*VLOOKUP('Données projet'!$B$10,Paramètres!$A$1:$I$89,3,0)*0.475*44/12</f>
        <v>15.403396614228818</v>
      </c>
      <c r="AX36" s="23">
        <f t="shared" si="6"/>
        <v>106.08932791192981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10.6</v>
      </c>
      <c r="BD36" s="13">
        <f>IF('Données projet'!$A$88&gt;35,BD35+BC36-BL35,IF(A36&lt;'Données projet'!$A$88,$BA$205^A36,IF(A36='Données projet'!$A$88,'Données projet'!$B$88,BD35+BC36-BL35)))</f>
        <v>157.79999999999998</v>
      </c>
      <c r="BE36" s="14">
        <f>BD36*VLOOKUP('Données projet'!$B$11,Paramètres!$A$1:$I$89,3,0)*VLOOKUP('Données projet'!$B$11,Paramètres!$A$1:$I$89,5,0)</f>
        <v>137.85408000000001</v>
      </c>
      <c r="BF36" s="14">
        <f t="shared" si="37"/>
        <v>35.804964283629964</v>
      </c>
      <c r="BG36" s="22">
        <f t="shared" si="7"/>
        <v>302.45616879398887</v>
      </c>
      <c r="BH36" s="62">
        <f t="shared" si="8"/>
        <v>595.78950212732218</v>
      </c>
      <c r="BI36" s="62">
        <f ca="1">AVERAGE(OFFSET($BH$3,0,0,'Données projet'!$E$11+1,1))-AVERAGE(OFFSET($H$3,0,0,'Données projet'!$E$11+1,1))</f>
        <v>236.12531905695994</v>
      </c>
      <c r="BJ36" s="62">
        <f t="shared" si="38"/>
        <v>270.64539221029258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2">
        <f t="shared" si="32"/>
        <v>6.5987245821741247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70">
        <f t="shared" si="1"/>
        <v>340.2376786472866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>
        <f>VLOOKUP(A37,'Données projet'!$A$35:$I$55,2,0)</f>
        <v>325</v>
      </c>
      <c r="L37" s="13">
        <f>VLOOKUP(A37,'Données projet'!$A$35:$I$55,9,0)</f>
        <v>14</v>
      </c>
      <c r="M37" s="13">
        <f t="array" ref="M37">INDEX(L:L,MIN(IF(ISNUMBER(L37:L233),ROW(L37:L233),"")))</f>
        <v>14</v>
      </c>
      <c r="N37" s="14">
        <f>IF('Données projet'!$A$36&gt;35,N36+M37-V36,IF(A37&lt;'Données projet'!$A$36,$K$205^A37,IF(A37='Données projet'!$A$36,'Données projet'!$B$36,N36+M37-V36)))</f>
        <v>325</v>
      </c>
      <c r="O37" s="14">
        <f>N37*VLOOKUP('Données projet'!$B$9,Paramètres!$A$1:$I$89,3,0)*VLOOKUP('Données projet'!$B$9,Paramètres!$A$1:$I$89,5,0)</f>
        <v>194.35</v>
      </c>
      <c r="P37" s="14">
        <f t="shared" si="33"/>
        <v>48.500405405690429</v>
      </c>
      <c r="Q37" s="22">
        <f t="shared" si="53"/>
        <v>422.96445608157745</v>
      </c>
      <c r="R37" s="62">
        <f t="shared" si="0"/>
        <v>716.29778941491077</v>
      </c>
      <c r="S37" s="62">
        <f ca="1">AVERAGE(OFFSET($R$3,0,0,'Données projet'!$E$9+1,1))-AVERAGE(OFFSET($H$3,0,0,'Données projet'!$E$9+1,1))</f>
        <v>151.58413719376074</v>
      </c>
      <c r="T37" s="62">
        <f t="shared" si="34"/>
        <v>310.105543138185</v>
      </c>
      <c r="U37" s="16">
        <f>IF(ISNA(VLOOKUP(A37,'Données projet'!$A$35:$I$55,3,0)),0,VLOOKUP(A37,'Données projet'!$A$35:$I$55,3,0))</f>
        <v>5</v>
      </c>
      <c r="V37" s="16">
        <f>IF(ISNA(VLOOKUP(A37,'Données projet'!$A$35:$I$55,4,0)),0,VLOOKUP(A37,'Données projet'!$A$35:$I$55,4,0))</f>
        <v>325</v>
      </c>
      <c r="W37" s="17">
        <f>IF(ISNA(VLOOKUP(A37,'Données projet'!$A$35:$I$55,5,0)),0%,VLOOKUP(A37,'Données projet'!$A$35:$I$55,5,0)*VLOOKUP('Données projet'!$B$9,Paramètres!$A$1:$I$89,7,0))</f>
        <v>0.315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0.3</v>
      </c>
      <c r="Z37" s="23">
        <f>EXP(-LN(2)/35)*Z36+(1-EXP(-LN(2)/35))/(LN(2)/35)*V37*W37*VLOOKUP('Données projet'!$B$9,Paramètres!$A$1:$I$89,3,0)*0.475*44/12</f>
        <v>91.277527137483801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66.496235997763563</v>
      </c>
      <c r="AC37" s="24">
        <f t="shared" si="3"/>
        <v>157.77376313524735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1.1368683772161603E-13</v>
      </c>
      <c r="AJ37" s="14">
        <f>AI37*VLOOKUP('Données projet'!$B$10,Paramètres!$A$1:$I$89,3,0)*VLOOKUP('Données projet'!$B$10,Paramètres!$A$1:$I$89,5,0)</f>
        <v>6.7984728957526396E-14</v>
      </c>
      <c r="AK37" s="14">
        <f t="shared" si="35"/>
        <v>1.0682447123141398E-12</v>
      </c>
      <c r="AL37" s="22">
        <f t="shared" si="4"/>
        <v>1.978932943548152E-12</v>
      </c>
      <c r="AM37" s="62">
        <f t="shared" si="5"/>
        <v>293.3333333333353</v>
      </c>
      <c r="AN37" s="62">
        <f ca="1">AVERAGE(OFFSET($AM$3,0,0,'Données projet'!$E$10+1,1))-AVERAGE(OFFSET($H$3,0,0,'Données projet'!$E$10+1,1))</f>
        <v>147.72913422715322</v>
      </c>
      <c r="AO37" s="62">
        <f t="shared" si="36"/>
        <v>361.07991692964799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49.259505349117511</v>
      </c>
      <c r="AV37" s="23">
        <f>EXP(-LN(2)/25)*AV36+(1-EXP(-LN(2)/25))/(LN(2)/25)*Calculateur!AQ37*Calculateur!AS37*VLOOKUP('Données projet'!$B$10,Paramètres!$A$1:$I$89,3,0)*0.475*44/12</f>
        <v>39.335291009404642</v>
      </c>
      <c r="AW37" s="23">
        <f>EXP(-LN(2)/2)*AW36+(1-EXP(-LN(2)/2))/(LN(2)/2)*AQ37*AT37*VLOOKUP('Données projet'!$B$10,Paramètres!$A$1:$I$89,3,0)*0.475*44/12</f>
        <v>10.891846199227105</v>
      </c>
      <c r="AX37" s="23">
        <f t="shared" si="6"/>
        <v>99.486642557749263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10.6</v>
      </c>
      <c r="BD37" s="13">
        <f>IF('Données projet'!$A$88&gt;35,BD36+BC37-BL36,IF(A37&lt;'Données projet'!$A$88,$BA$205^A37,IF(A37='Données projet'!$A$88,'Données projet'!$B$88,BD36+BC37-BL36)))</f>
        <v>168.39999999999998</v>
      </c>
      <c r="BE37" s="14">
        <f>BD37*VLOOKUP('Données projet'!$B$11,Paramètres!$A$1:$I$89,3,0)*VLOOKUP('Données projet'!$B$11,Paramètres!$A$1:$I$89,5,0)</f>
        <v>147.11424</v>
      </c>
      <c r="BF37" s="14">
        <f t="shared" si="37"/>
        <v>37.922046712608186</v>
      </c>
      <c r="BG37" s="22">
        <f t="shared" si="7"/>
        <v>322.27153269112591</v>
      </c>
      <c r="BH37" s="62">
        <f t="shared" si="8"/>
        <v>615.60486602445917</v>
      </c>
      <c r="BI37" s="62">
        <f ca="1">AVERAGE(OFFSET($BH$3,0,0,'Données projet'!$E$11+1,1))-AVERAGE(OFFSET($H$3,0,0,'Données projet'!$E$11+1,1))</f>
        <v>236.12531905695994</v>
      </c>
      <c r="BJ37" s="62">
        <f t="shared" si="38"/>
        <v>270.64539221029258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2">
        <f t="shared" si="32"/>
        <v>6.7699234039087761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70">
        <f t="shared" si="1"/>
        <v>341.57736659514109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0</v>
      </c>
      <c r="O38" s="14">
        <f>N38*VLOOKUP('Données projet'!$B$9,Paramètres!$A$1:$I$89,3,0)*VLOOKUP('Données projet'!$B$9,Paramètres!$A$1:$I$89,5,0)</f>
        <v>0</v>
      </c>
      <c r="P38" s="14" t="e">
        <f t="shared" si="33"/>
        <v>#NUM!</v>
      </c>
      <c r="Q38" s="22" t="e">
        <f t="shared" si="53"/>
        <v>#NUM!</v>
      </c>
      <c r="R38" s="62" t="e">
        <f t="shared" si="0"/>
        <v>#NUM!</v>
      </c>
      <c r="S38" s="62">
        <f ca="1">AVERAGE(OFFSET($R$3,0,0,'Données projet'!$E$9+1,1))-AVERAGE(OFFSET($H$3,0,0,'Données projet'!$E$9+1,1))</f>
        <v>151.58413719376074</v>
      </c>
      <c r="T38" s="62">
        <f t="shared" si="34"/>
        <v>310.105543138185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89.487630504111962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47.019939397399625</v>
      </c>
      <c r="AC38" s="24">
        <f t="shared" si="3"/>
        <v>136.5075699015116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1.1368683772161603E-13</v>
      </c>
      <c r="AJ38" s="14">
        <f>AI38*VLOOKUP('Données projet'!$B$10,Paramètres!$A$1:$I$89,3,0)*VLOOKUP('Données projet'!$B$10,Paramètres!$A$1:$I$89,5,0)</f>
        <v>6.7984728957526396E-14</v>
      </c>
      <c r="AK38" s="14">
        <f t="shared" si="35"/>
        <v>1.0682447123141398E-12</v>
      </c>
      <c r="AL38" s="22">
        <f t="shared" si="4"/>
        <v>1.978932943548152E-12</v>
      </c>
      <c r="AM38" s="62">
        <f t="shared" si="5"/>
        <v>293.3333333333353</v>
      </c>
      <c r="AN38" s="62">
        <f ca="1">AVERAGE(OFFSET($AM$3,0,0,'Données projet'!$E$10+1,1))-AVERAGE(OFFSET($H$3,0,0,'Données projet'!$E$10+1,1))</f>
        <v>147.72913422715322</v>
      </c>
      <c r="AO38" s="62">
        <f t="shared" si="36"/>
        <v>361.07991692964799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48.293556494552853</v>
      </c>
      <c r="AV38" s="23">
        <f>EXP(-LN(2)/25)*AV37+(1-EXP(-LN(2)/25))/(LN(2)/25)*Calculateur!AQ38*Calculateur!AS38*VLOOKUP('Données projet'!$B$10,Paramètres!$A$1:$I$89,3,0)*0.475*44/12</f>
        <v>38.259665408199417</v>
      </c>
      <c r="AW38" s="23">
        <f>EXP(-LN(2)/2)*AW37+(1-EXP(-LN(2)/2))/(LN(2)/2)*AQ38*AT38*VLOOKUP('Données projet'!$B$10,Paramètres!$A$1:$I$89,3,0)*0.475*44/12</f>
        <v>7.7016983071144107</v>
      </c>
      <c r="AX38" s="23">
        <f t="shared" si="6"/>
        <v>94.254920209866683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179</v>
      </c>
      <c r="BB38" s="13">
        <f>VLOOKUP(A38,'Données projet'!$A$87:$I$107,9,0)</f>
        <v>10.6</v>
      </c>
      <c r="BC38" s="13">
        <f t="array" ref="BC38">INDEX(BB:BB,MIN(IF(ISNUMBER(BB38:BB234),ROW(BB38:BB234),"")))</f>
        <v>10.6</v>
      </c>
      <c r="BD38" s="13">
        <f>IF('Données projet'!$A$88&gt;35,BD37+BC38-BL37,IF(A38&lt;'Données projet'!$A$88,$BA$205^A38,IF(A38='Données projet'!$A$88,'Données projet'!$B$88,BD37+BC38-BL37)))</f>
        <v>178.99999999999997</v>
      </c>
      <c r="BE38" s="14">
        <f>BD38*VLOOKUP('Données projet'!$B$11,Paramètres!$A$1:$I$89,3,0)*VLOOKUP('Données projet'!$B$11,Paramètres!$A$1:$I$89,5,0)</f>
        <v>156.37440000000001</v>
      </c>
      <c r="BF38" s="14">
        <f t="shared" si="37"/>
        <v>40.023663524293205</v>
      </c>
      <c r="BG38" s="22">
        <f t="shared" si="7"/>
        <v>342.05996063814399</v>
      </c>
      <c r="BH38" s="62">
        <f t="shared" si="8"/>
        <v>635.39329397147731</v>
      </c>
      <c r="BI38" s="62">
        <f ca="1">AVERAGE(OFFSET($BH$3,0,0,'Données projet'!$E$11+1,1))-AVERAGE(OFFSET($H$3,0,0,'Données projet'!$E$11+1,1))</f>
        <v>236.12531905695994</v>
      </c>
      <c r="BJ38" s="62">
        <f t="shared" si="38"/>
        <v>270.64539221029258</v>
      </c>
      <c r="BK38" s="16">
        <f>IF(ISNA(VLOOKUP(A38,'Données projet'!$A$87:$I$107,3,0)),0,VLOOKUP(A38,'Données projet'!$A$87:$I$107,3,0))</f>
        <v>4</v>
      </c>
      <c r="BL38" s="16">
        <f>IF(ISNA(VLOOKUP(A38,'Données projet'!$A$87:$I$107,4,0)),0,VLOOKUP(A38,'Données projet'!$A$87:$I$107,4,0))</f>
        <v>36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2">
        <f t="shared" si="32"/>
        <v>6.9405537312613585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70">
        <f t="shared" si="1"/>
        <v>342.91606441528018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0</v>
      </c>
      <c r="O39" s="14">
        <f>N39*VLOOKUP('Données projet'!$B$9,Paramètres!$A$1:$I$89,3,0)*VLOOKUP('Données projet'!$B$9,Paramètres!$A$1:$I$89,5,0)</f>
        <v>0</v>
      </c>
      <c r="P39" s="14" t="e">
        <f t="shared" si="33"/>
        <v>#NUM!</v>
      </c>
      <c r="Q39" s="22" t="e">
        <f t="shared" si="53"/>
        <v>#NUM!</v>
      </c>
      <c r="R39" s="62" t="e">
        <f t="shared" si="0"/>
        <v>#NUM!</v>
      </c>
      <c r="S39" s="62">
        <f ca="1">AVERAGE(OFFSET($R$3,0,0,'Données projet'!$E$9+1,1))-AVERAGE(OFFSET($H$3,0,0,'Données projet'!$E$9+1,1))</f>
        <v>151.58413719376074</v>
      </c>
      <c r="T39" s="62">
        <f t="shared" si="34"/>
        <v>310.105543138185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87.732832651991401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33.248117998881781</v>
      </c>
      <c r="AC39" s="24">
        <f t="shared" si="3"/>
        <v>120.98095065087318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1.1368683772161603E-13</v>
      </c>
      <c r="AJ39" s="14">
        <f>AI39*VLOOKUP('Données projet'!$B$10,Paramètres!$A$1:$I$89,3,0)*VLOOKUP('Données projet'!$B$10,Paramètres!$A$1:$I$89,5,0)</f>
        <v>6.7984728957526396E-14</v>
      </c>
      <c r="AK39" s="14">
        <f t="shared" si="35"/>
        <v>1.0682447123141398E-12</v>
      </c>
      <c r="AL39" s="22">
        <f t="shared" si="4"/>
        <v>1.978932943548152E-12</v>
      </c>
      <c r="AM39" s="62">
        <f t="shared" si="5"/>
        <v>293.3333333333353</v>
      </c>
      <c r="AN39" s="62">
        <f ca="1">AVERAGE(OFFSET($AM$3,0,0,'Données projet'!$E$10+1,1))-AVERAGE(OFFSET($H$3,0,0,'Données projet'!$E$10+1,1))</f>
        <v>147.72913422715322</v>
      </c>
      <c r="AO39" s="62">
        <f t="shared" si="36"/>
        <v>361.07991692964799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47.346549307855575</v>
      </c>
      <c r="AV39" s="23">
        <f>EXP(-LN(2)/25)*AV38+(1-EXP(-LN(2)/25))/(LN(2)/25)*Calculateur!AQ39*Calculateur!AS39*VLOOKUP('Données projet'!$B$10,Paramètres!$A$1:$I$89,3,0)*0.475*44/12</f>
        <v>37.213452845623841</v>
      </c>
      <c r="AW39" s="23">
        <f>EXP(-LN(2)/2)*AW38+(1-EXP(-LN(2)/2))/(LN(2)/2)*AQ39*AT39*VLOOKUP('Données projet'!$B$10,Paramètres!$A$1:$I$89,3,0)*0.475*44/12</f>
        <v>5.4459230996135535</v>
      </c>
      <c r="AX39" s="23">
        <f t="shared" si="6"/>
        <v>90.005925253092968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9.6</v>
      </c>
      <c r="BD39" s="13">
        <f>IF('Données projet'!$A$88&gt;35,BD38+BC39-BL38,IF(A39&lt;'Données projet'!$A$88,$BA$205^A39,IF(A39='Données projet'!$A$88,'Données projet'!$B$88,BD38+BC39-BL38)))</f>
        <v>152.59999999999997</v>
      </c>
      <c r="BE39" s="14">
        <f>BD39*VLOOKUP('Données projet'!$B$11,Paramètres!$A$1:$I$89,3,0)*VLOOKUP('Données projet'!$B$11,Paramètres!$A$1:$I$89,5,0)</f>
        <v>133.31135999999998</v>
      </c>
      <c r="BF39" s="14">
        <f t="shared" si="37"/>
        <v>34.760393689821633</v>
      </c>
      <c r="BG39" s="22">
        <f t="shared" si="7"/>
        <v>292.72497100977256</v>
      </c>
      <c r="BH39" s="62">
        <f t="shared" si="8"/>
        <v>586.05830434310587</v>
      </c>
      <c r="BI39" s="62">
        <f ca="1">AVERAGE(OFFSET($BH$3,0,0,'Données projet'!$E$11+1,1))-AVERAGE(OFFSET($H$3,0,0,'Données projet'!$E$11+1,1))</f>
        <v>236.12531905695994</v>
      </c>
      <c r="BJ39" s="62">
        <f t="shared" si="38"/>
        <v>270.64539221029258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2">
        <f t="shared" si="32"/>
        <v>7.1106331699901926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70">
        <f t="shared" si="1"/>
        <v>344.25380277106626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0</v>
      </c>
      <c r="O40" s="14">
        <f>N40*VLOOKUP('Données projet'!$B$9,Paramètres!$A$1:$I$89,3,0)*VLOOKUP('Données projet'!$B$9,Paramètres!$A$1:$I$89,5,0)</f>
        <v>0</v>
      </c>
      <c r="P40" s="14" t="e">
        <f t="shared" si="33"/>
        <v>#NUM!</v>
      </c>
      <c r="Q40" s="22" t="e">
        <f t="shared" si="53"/>
        <v>#NUM!</v>
      </c>
      <c r="R40" s="62" t="e">
        <f t="shared" si="0"/>
        <v>#NUM!</v>
      </c>
      <c r="S40" s="62">
        <f ca="1">AVERAGE(OFFSET($R$3,0,0,'Données projet'!$E$9+1,1))-AVERAGE(OFFSET($H$3,0,0,'Données projet'!$E$9+1,1))</f>
        <v>151.58413719376074</v>
      </c>
      <c r="T40" s="62">
        <f t="shared" si="34"/>
        <v>310.105543138185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86.012445315429929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23.509969698699813</v>
      </c>
      <c r="AC40" s="24">
        <f t="shared" si="3"/>
        <v>109.52241501412973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1.1368683772161603E-13</v>
      </c>
      <c r="AJ40" s="14">
        <f>AI40*VLOOKUP('Données projet'!$B$10,Paramètres!$A$1:$I$89,3,0)*VLOOKUP('Données projet'!$B$10,Paramètres!$A$1:$I$89,5,0)</f>
        <v>6.7984728957526396E-14</v>
      </c>
      <c r="AK40" s="14">
        <f t="shared" si="35"/>
        <v>1.0682447123141398E-12</v>
      </c>
      <c r="AL40" s="22">
        <f t="shared" si="4"/>
        <v>1.978932943548152E-12</v>
      </c>
      <c r="AM40" s="62">
        <f t="shared" si="5"/>
        <v>293.3333333333353</v>
      </c>
      <c r="AN40" s="62">
        <f ca="1">AVERAGE(OFFSET($AM$3,0,0,'Données projet'!$E$10+1,1))-AVERAGE(OFFSET($H$3,0,0,'Données projet'!$E$10+1,1))</f>
        <v>147.72913422715322</v>
      </c>
      <c r="AO40" s="62">
        <f t="shared" si="36"/>
        <v>361.07991692964799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46.418112354472086</v>
      </c>
      <c r="AV40" s="23">
        <f>EXP(-LN(2)/25)*AV39+(1-EXP(-LN(2)/25))/(LN(2)/25)*Calculateur!AQ40*Calculateur!AS40*VLOOKUP('Données projet'!$B$10,Paramètres!$A$1:$I$89,3,0)*0.475*44/12</f>
        <v>36.195849020589826</v>
      </c>
      <c r="AW40" s="23">
        <f>EXP(-LN(2)/2)*AW39+(1-EXP(-LN(2)/2))/(LN(2)/2)*AQ40*AT40*VLOOKUP('Données projet'!$B$10,Paramètres!$A$1:$I$89,3,0)*0.475*44/12</f>
        <v>3.8508491535572058</v>
      </c>
      <c r="AX40" s="23">
        <f t="shared" si="6"/>
        <v>86.464810528619111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9.6</v>
      </c>
      <c r="BD40" s="13">
        <f>IF('Données projet'!$A$88&gt;35,BD39+BC40-BL39,IF(A40&lt;'Données projet'!$A$88,$BA$205^A40,IF(A40='Données projet'!$A$88,'Données projet'!$B$88,BD39+BC40-BL39)))</f>
        <v>162.19999999999996</v>
      </c>
      <c r="BE40" s="14">
        <f>BD40*VLOOKUP('Données projet'!$B$11,Paramètres!$A$1:$I$89,3,0)*VLOOKUP('Données projet'!$B$11,Paramètres!$A$1:$I$89,5,0)</f>
        <v>141.69791999999998</v>
      </c>
      <c r="BF40" s="14">
        <f t="shared" si="37"/>
        <v>36.685701801209362</v>
      </c>
      <c r="BG40" s="22">
        <f t="shared" si="7"/>
        <v>310.68480797043964</v>
      </c>
      <c r="BH40" s="62">
        <f t="shared" si="8"/>
        <v>604.01814130377295</v>
      </c>
      <c r="BI40" s="62">
        <f ca="1">AVERAGE(OFFSET($BH$3,0,0,'Données projet'!$E$11+1,1))-AVERAGE(OFFSET($H$3,0,0,'Données projet'!$E$11+1,1))</f>
        <v>236.12531905695994</v>
      </c>
      <c r="BJ40" s="62">
        <f t="shared" si="38"/>
        <v>270.64539221029258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2">
        <f t="shared" si="32"/>
        <v>7.2801783200166916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70">
        <f t="shared" si="1"/>
        <v>345.59061057402903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0</v>
      </c>
      <c r="O41" s="14">
        <f>N41*VLOOKUP('Données projet'!$B$9,Paramètres!$A$1:$I$89,3,0)*VLOOKUP('Données projet'!$B$9,Paramètres!$A$1:$I$89,5,0)</f>
        <v>0</v>
      </c>
      <c r="P41" s="14" t="e">
        <f t="shared" si="33"/>
        <v>#NUM!</v>
      </c>
      <c r="Q41" s="22" t="e">
        <f t="shared" si="53"/>
        <v>#NUM!</v>
      </c>
      <c r="R41" s="62" t="e">
        <f t="shared" si="0"/>
        <v>#NUM!</v>
      </c>
      <c r="S41" s="62">
        <f ca="1">AVERAGE(OFFSET($R$3,0,0,'Données projet'!$E$9+1,1))-AVERAGE(OFFSET($H$3,0,0,'Données projet'!$E$9+1,1))</f>
        <v>151.58413719376074</v>
      </c>
      <c r="T41" s="62">
        <f t="shared" si="34"/>
        <v>310.105543138185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84.325793725205756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16.624058999440891</v>
      </c>
      <c r="AC41" s="24">
        <f t="shared" si="3"/>
        <v>100.94985272464665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1.1368683772161603E-13</v>
      </c>
      <c r="AJ41" s="14">
        <f>AI41*VLOOKUP('Données projet'!$B$10,Paramètres!$A$1:$I$89,3,0)*VLOOKUP('Données projet'!$B$10,Paramètres!$A$1:$I$89,5,0)</f>
        <v>6.7984728957526396E-14</v>
      </c>
      <c r="AK41" s="14">
        <f t="shared" si="35"/>
        <v>1.0682447123141398E-12</v>
      </c>
      <c r="AL41" s="22">
        <f t="shared" si="4"/>
        <v>1.978932943548152E-12</v>
      </c>
      <c r="AM41" s="62">
        <f t="shared" si="5"/>
        <v>293.3333333333353</v>
      </c>
      <c r="AN41" s="62">
        <f ca="1">AVERAGE(OFFSET($AM$3,0,0,'Données projet'!$E$10+1,1))-AVERAGE(OFFSET($H$3,0,0,'Données projet'!$E$10+1,1))</f>
        <v>147.72913422715322</v>
      </c>
      <c r="AO41" s="62">
        <f t="shared" si="36"/>
        <v>361.07991692964799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45.507881483453822</v>
      </c>
      <c r="AV41" s="23">
        <f>EXP(-LN(2)/25)*AV40+(1-EXP(-LN(2)/25))/(LN(2)/25)*Calculateur!AQ41*Calculateur!AS41*VLOOKUP('Données projet'!$B$10,Paramètres!$A$1:$I$89,3,0)*0.475*44/12</f>
        <v>35.206071625664826</v>
      </c>
      <c r="AW41" s="23">
        <f>EXP(-LN(2)/2)*AW40+(1-EXP(-LN(2)/2))/(LN(2)/2)*AQ41*AT41*VLOOKUP('Données projet'!$B$10,Paramètres!$A$1:$I$89,3,0)*0.475*44/12</f>
        <v>2.7229615498067772</v>
      </c>
      <c r="AX41" s="23">
        <f t="shared" si="6"/>
        <v>83.436914658925431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9.6</v>
      </c>
      <c r="BD41" s="13">
        <f>IF('Données projet'!$A$88&gt;35,BD40+BC41-BL40,IF(A41&lt;'Données projet'!$A$88,$BA$205^A41,IF(A41='Données projet'!$A$88,'Données projet'!$B$88,BD40+BC41-BL40)))</f>
        <v>171.79999999999995</v>
      </c>
      <c r="BE41" s="14">
        <f>BD41*VLOOKUP('Données projet'!$B$11,Paramètres!$A$1:$I$89,3,0)*VLOOKUP('Données projet'!$B$11,Paramètres!$A$1:$I$89,5,0)</f>
        <v>150.08447999999999</v>
      </c>
      <c r="BF41" s="14">
        <f t="shared" si="37"/>
        <v>38.597783374841299</v>
      </c>
      <c r="BG41" s="22">
        <f t="shared" si="7"/>
        <v>328.62160871118186</v>
      </c>
      <c r="BH41" s="62">
        <f t="shared" si="8"/>
        <v>621.95494204451518</v>
      </c>
      <c r="BI41" s="62">
        <f ca="1">AVERAGE(OFFSET($BH$3,0,0,'Données projet'!$E$11+1,1))-AVERAGE(OFFSET($H$3,0,0,'Données projet'!$E$11+1,1))</f>
        <v>236.12531905695994</v>
      </c>
      <c r="BJ41" s="62">
        <f t="shared" si="38"/>
        <v>270.64539221029258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2">
        <f t="shared" si="32"/>
        <v>7.4492048578268033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70">
        <f t="shared" si="1"/>
        <v>346.92651512738166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0</v>
      </c>
      <c r="O42" s="14">
        <f>N42*VLOOKUP('Données projet'!$B$9,Paramètres!$A$1:$I$89,3,0)*VLOOKUP('Données projet'!$B$9,Paramètres!$A$1:$I$89,5,0)</f>
        <v>0</v>
      </c>
      <c r="P42" s="14" t="e">
        <f t="shared" si="33"/>
        <v>#NUM!</v>
      </c>
      <c r="Q42" s="22" t="e">
        <f t="shared" si="53"/>
        <v>#NUM!</v>
      </c>
      <c r="R42" s="62" t="e">
        <f t="shared" si="0"/>
        <v>#NUM!</v>
      </c>
      <c r="S42" s="62">
        <f ca="1">AVERAGE(OFFSET($R$3,0,0,'Données projet'!$E$9+1,1))-AVERAGE(OFFSET($H$3,0,0,'Données projet'!$E$9+1,1))</f>
        <v>151.58413719376074</v>
      </c>
      <c r="T42" s="62">
        <f t="shared" si="34"/>
        <v>310.105543138185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82.672216343909994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11.754984849349906</v>
      </c>
      <c r="AC42" s="24">
        <f t="shared" si="3"/>
        <v>94.427201193259904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1.1368683772161603E-13</v>
      </c>
      <c r="AJ42" s="14">
        <f>AI42*VLOOKUP('Données projet'!$B$10,Paramètres!$A$1:$I$89,3,0)*VLOOKUP('Données projet'!$B$10,Paramètres!$A$1:$I$89,5,0)</f>
        <v>6.7984728957526396E-14</v>
      </c>
      <c r="AK42" s="14">
        <f t="shared" si="35"/>
        <v>1.0682447123141398E-12</v>
      </c>
      <c r="AL42" s="22">
        <f t="shared" si="4"/>
        <v>1.978932943548152E-12</v>
      </c>
      <c r="AM42" s="62">
        <f t="shared" si="5"/>
        <v>293.3333333333353</v>
      </c>
      <c r="AN42" s="62">
        <f ca="1">AVERAGE(OFFSET($AM$3,0,0,'Données projet'!$E$10+1,1))-AVERAGE(OFFSET($H$3,0,0,'Données projet'!$E$10+1,1))</f>
        <v>147.72913422715322</v>
      </c>
      <c r="AO42" s="62">
        <f t="shared" si="36"/>
        <v>361.07991692964799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44.615499684630215</v>
      </c>
      <c r="AV42" s="23">
        <f>EXP(-LN(2)/25)*AV41+(1-EXP(-LN(2)/25))/(LN(2)/25)*Calculateur!AQ42*Calculateur!AS42*VLOOKUP('Données projet'!$B$10,Paramètres!$A$1:$I$89,3,0)*0.475*44/12</f>
        <v>34.243359745654182</v>
      </c>
      <c r="AW42" s="23">
        <f>EXP(-LN(2)/2)*AW41+(1-EXP(-LN(2)/2))/(LN(2)/2)*AQ42*AT42*VLOOKUP('Données projet'!$B$10,Paramètres!$A$1:$I$89,3,0)*0.475*44/12</f>
        <v>1.9254245767786033</v>
      </c>
      <c r="AX42" s="23">
        <f t="shared" si="6"/>
        <v>80.784284007063007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9.6</v>
      </c>
      <c r="BD42" s="13">
        <f>IF('Données projet'!$A$88&gt;35,BD41+BC42-BL41,IF(A42&lt;'Données projet'!$A$88,$BA$205^A42,IF(A42='Données projet'!$A$88,'Données projet'!$B$88,BD41+BC42-BL41)))</f>
        <v>181.39999999999995</v>
      </c>
      <c r="BE42" s="14">
        <f>BD42*VLOOKUP('Données projet'!$B$11,Paramètres!$A$1:$I$89,3,0)*VLOOKUP('Données projet'!$B$11,Paramètres!$A$1:$I$89,5,0)</f>
        <v>158.47103999999996</v>
      </c>
      <c r="BF42" s="14">
        <f t="shared" si="37"/>
        <v>40.497461727609561</v>
      </c>
      <c r="BG42" s="22">
        <f t="shared" si="7"/>
        <v>346.53680717558655</v>
      </c>
      <c r="BH42" s="62">
        <f t="shared" si="8"/>
        <v>639.8701405089198</v>
      </c>
      <c r="BI42" s="62">
        <f ca="1">AVERAGE(OFFSET($BH$3,0,0,'Données projet'!$E$11+1,1))-AVERAGE(OFFSET($H$3,0,0,'Données projet'!$E$11+1,1))</f>
        <v>236.12531905695994</v>
      </c>
      <c r="BJ42" s="62">
        <f t="shared" si="38"/>
        <v>270.64539221029258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2">
        <f t="shared" si="32"/>
        <v>7.6177276101832261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70">
        <f t="shared" si="1"/>
        <v>348.2615422544024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0</v>
      </c>
      <c r="O43" s="14">
        <f>N43*VLOOKUP('Données projet'!$B$9,Paramètres!$A$1:$I$89,3,0)*VLOOKUP('Données projet'!$B$9,Paramètres!$A$1:$I$89,5,0)</f>
        <v>0</v>
      </c>
      <c r="P43" s="14" t="e">
        <f t="shared" si="33"/>
        <v>#NUM!</v>
      </c>
      <c r="Q43" s="22" t="e">
        <f t="shared" si="53"/>
        <v>#NUM!</v>
      </c>
      <c r="R43" s="62" t="e">
        <f t="shared" si="0"/>
        <v>#NUM!</v>
      </c>
      <c r="S43" s="62">
        <f ca="1">AVERAGE(OFFSET($R$3,0,0,'Données projet'!$E$9+1,1))-AVERAGE(OFFSET($H$3,0,0,'Données projet'!$E$9+1,1))</f>
        <v>151.58413719376074</v>
      </c>
      <c r="T43" s="62">
        <f t="shared" si="34"/>
        <v>310.105543138185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81.051064606478832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8.3120294997204454</v>
      </c>
      <c r="AC43" s="24">
        <f t="shared" si="3"/>
        <v>89.36309410619927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1.1368683772161603E-13</v>
      </c>
      <c r="AJ43" s="14">
        <f>AI43*VLOOKUP('Données projet'!$B$10,Paramètres!$A$1:$I$89,3,0)*VLOOKUP('Données projet'!$B$10,Paramètres!$A$1:$I$89,5,0)</f>
        <v>6.7984728957526396E-14</v>
      </c>
      <c r="AK43" s="14">
        <f t="shared" si="35"/>
        <v>1.0682447123141398E-12</v>
      </c>
      <c r="AL43" s="22">
        <f t="shared" si="4"/>
        <v>1.978932943548152E-12</v>
      </c>
      <c r="AM43" s="62">
        <f t="shared" si="5"/>
        <v>293.3333333333353</v>
      </c>
      <c r="AN43" s="62">
        <f ca="1">AVERAGE(OFFSET($AM$3,0,0,'Données projet'!$E$10+1,1))-AVERAGE(OFFSET($H$3,0,0,'Données projet'!$E$10+1,1))</f>
        <v>147.72913422715322</v>
      </c>
      <c r="AO43" s="62">
        <f t="shared" si="36"/>
        <v>361.07991692964799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43.740616948582385</v>
      </c>
      <c r="AV43" s="23">
        <f>EXP(-LN(2)/25)*AV42+(1-EXP(-LN(2)/25))/(LN(2)/25)*Calculateur!AQ43*Calculateur!AS43*VLOOKUP('Données projet'!$B$10,Paramètres!$A$1:$I$89,3,0)*0.475*44/12</f>
        <v>33.306973272629243</v>
      </c>
      <c r="AW43" s="23">
        <f>EXP(-LN(2)/2)*AW42+(1-EXP(-LN(2)/2))/(LN(2)/2)*AQ43*AT43*VLOOKUP('Données projet'!$B$10,Paramètres!$A$1:$I$89,3,0)*0.475*44/12</f>
        <v>1.3614807749033888</v>
      </c>
      <c r="AX43" s="23">
        <f t="shared" si="6"/>
        <v>78.40907099611502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191</v>
      </c>
      <c r="BB43" s="13">
        <f>VLOOKUP(A43,'Données projet'!$A$87:$I$107,9,0)</f>
        <v>9.6</v>
      </c>
      <c r="BC43" s="13">
        <f t="array" ref="BC43">INDEX(BB:BB,MIN(IF(ISNUMBER(BB43:BB239),ROW(BB43:BB239),"")))</f>
        <v>9.6</v>
      </c>
      <c r="BD43" s="13">
        <f>IF('Données projet'!$A$88&gt;35,BD42+BC43-BL42,IF(A43&lt;'Données projet'!$A$88,$BA$205^A43,IF(A43='Données projet'!$A$88,'Données projet'!$B$88,BD42+BC43-BL42)))</f>
        <v>190.99999999999994</v>
      </c>
      <c r="BE43" s="14">
        <f>BD43*VLOOKUP('Données projet'!$B$11,Paramètres!$A$1:$I$89,3,0)*VLOOKUP('Données projet'!$B$11,Paramètres!$A$1:$I$89,5,0)</f>
        <v>166.85759999999996</v>
      </c>
      <c r="BF43" s="14">
        <f t="shared" si="37"/>
        <v>42.385468111966098</v>
      </c>
      <c r="BG43" s="22">
        <f t="shared" si="7"/>
        <v>364.43167696167421</v>
      </c>
      <c r="BH43" s="62">
        <f t="shared" si="8"/>
        <v>657.76501029500753</v>
      </c>
      <c r="BI43" s="62">
        <f ca="1">AVERAGE(OFFSET($BH$3,0,0,'Données projet'!$E$11+1,1))-AVERAGE(OFFSET($H$3,0,0,'Données projet'!$E$11+1,1))</f>
        <v>236.12531905695994</v>
      </c>
      <c r="BJ43" s="62">
        <f t="shared" si="38"/>
        <v>270.64539221029258</v>
      </c>
      <c r="BK43" s="16">
        <f>IF(ISNA(VLOOKUP(A43,'Données projet'!$A$87:$I$107,3,0)),0,VLOOKUP(A43,'Données projet'!$A$87:$I$107,3,0))</f>
        <v>5</v>
      </c>
      <c r="BL43" s="16">
        <f>IF(ISNA(VLOOKUP(A43,'Données projet'!$A$87:$I$107,4,0)),0,VLOOKUP(A43,'Données projet'!$A$87:$I$107,4,0))</f>
        <v>33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2">
        <f t="shared" si="32"/>
        <v>7.7857606202588796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70">
        <f t="shared" si="1"/>
        <v>349.59571641361754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0</v>
      </c>
      <c r="O44" s="14">
        <f>N44*VLOOKUP('Données projet'!$B$9,Paramètres!$A$1:$I$89,3,0)*VLOOKUP('Données projet'!$B$9,Paramètres!$A$1:$I$89,5,0)</f>
        <v>0</v>
      </c>
      <c r="P44" s="14" t="e">
        <f t="shared" si="33"/>
        <v>#NUM!</v>
      </c>
      <c r="Q44" s="22" t="e">
        <f t="shared" si="53"/>
        <v>#NUM!</v>
      </c>
      <c r="R44" s="62" t="e">
        <f t="shared" si="0"/>
        <v>#NUM!</v>
      </c>
      <c r="S44" s="62">
        <f ca="1">AVERAGE(OFFSET($R$3,0,0,'Données projet'!$E$9+1,1))-AVERAGE(OFFSET($H$3,0,0,'Données projet'!$E$9+1,1))</f>
        <v>151.58413719376074</v>
      </c>
      <c r="T44" s="62">
        <f t="shared" si="34"/>
        <v>310.105543138185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79.46170266581376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5.8774924246749531</v>
      </c>
      <c r="AC44" s="24">
        <f t="shared" si="3"/>
        <v>85.339195090488715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1.1368683772161603E-13</v>
      </c>
      <c r="AJ44" s="14">
        <f>AI44*VLOOKUP('Données projet'!$B$10,Paramètres!$A$1:$I$89,3,0)*VLOOKUP('Données projet'!$B$10,Paramètres!$A$1:$I$89,5,0)</f>
        <v>6.7984728957526396E-14</v>
      </c>
      <c r="AK44" s="14">
        <f t="shared" si="35"/>
        <v>1.0682447123141398E-12</v>
      </c>
      <c r="AL44" s="22">
        <f t="shared" si="4"/>
        <v>1.978932943548152E-12</v>
      </c>
      <c r="AM44" s="62">
        <f t="shared" si="5"/>
        <v>293.3333333333353</v>
      </c>
      <c r="AN44" s="62">
        <f ca="1">AVERAGE(OFFSET($AM$3,0,0,'Données projet'!$E$10+1,1))-AVERAGE(OFFSET($H$3,0,0,'Données projet'!$E$10+1,1))</f>
        <v>147.72913422715322</v>
      </c>
      <c r="AO44" s="62">
        <f t="shared" si="36"/>
        <v>361.07991692964799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42.882890129362679</v>
      </c>
      <c r="AV44" s="23">
        <f>EXP(-LN(2)/25)*AV43+(1-EXP(-LN(2)/25))/(LN(2)/25)*Calculateur!AQ44*Calculateur!AS44*VLOOKUP('Données projet'!$B$10,Paramètres!$A$1:$I$89,3,0)*0.475*44/12</f>
        <v>32.396192336951593</v>
      </c>
      <c r="AW44" s="23">
        <f>EXP(-LN(2)/2)*AW43+(1-EXP(-LN(2)/2))/(LN(2)/2)*AQ44*AT44*VLOOKUP('Données projet'!$B$10,Paramètres!$A$1:$I$89,3,0)*0.475*44/12</f>
        <v>0.96271228838930178</v>
      </c>
      <c r="AX44" s="23">
        <f t="shared" si="6"/>
        <v>76.241794754703562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8.6</v>
      </c>
      <c r="BD44" s="13">
        <f>IF('Données projet'!$A$88&gt;35,BD43+BC44-BL43,IF(A44&lt;'Données projet'!$A$88,$BA$205^A44,IF(A44='Données projet'!$A$88,'Données projet'!$B$88,BD43+BC44-BL43)))</f>
        <v>166.59999999999994</v>
      </c>
      <c r="BE44" s="14">
        <f>BD44*VLOOKUP('Données projet'!$B$11,Paramètres!$A$1:$I$89,3,0)*VLOOKUP('Données projet'!$B$11,Paramètres!$A$1:$I$89,5,0)</f>
        <v>145.54175999999998</v>
      </c>
      <c r="BF44" s="14">
        <f t="shared" si="37"/>
        <v>37.563662342876064</v>
      </c>
      <c r="BG44" s="22">
        <f t="shared" si="7"/>
        <v>318.90861058050911</v>
      </c>
      <c r="BH44" s="62">
        <f t="shared" si="8"/>
        <v>612.24194391384242</v>
      </c>
      <c r="BI44" s="62">
        <f ca="1">AVERAGE(OFFSET($BH$3,0,0,'Données projet'!$E$11+1,1))-AVERAGE(OFFSET($H$3,0,0,'Données projet'!$E$11+1,1))</f>
        <v>236.12531905695994</v>
      </c>
      <c r="BJ44" s="62">
        <f t="shared" si="38"/>
        <v>270.64539221029258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2">
        <f t="shared" si="32"/>
        <v>7.9533172071366991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70">
        <f t="shared" si="1"/>
        <v>350.92906080242972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0</v>
      </c>
      <c r="O45" s="14">
        <f>N45*VLOOKUP('Données projet'!$B$9,Paramètres!$A$1:$I$89,3,0)*VLOOKUP('Données projet'!$B$9,Paramètres!$A$1:$I$89,5,0)</f>
        <v>0</v>
      </c>
      <c r="P45" s="14" t="e">
        <f t="shared" si="33"/>
        <v>#NUM!</v>
      </c>
      <c r="Q45" s="22" t="e">
        <f t="shared" si="53"/>
        <v>#NUM!</v>
      </c>
      <c r="R45" s="62" t="e">
        <f t="shared" si="0"/>
        <v>#NUM!</v>
      </c>
      <c r="S45" s="62">
        <f ca="1">AVERAGE(OFFSET($R$3,0,0,'Données projet'!$E$9+1,1))-AVERAGE(OFFSET($H$3,0,0,'Données projet'!$E$9+1,1))</f>
        <v>151.58413719376074</v>
      </c>
      <c r="T45" s="62">
        <f t="shared" si="34"/>
        <v>310.105543138185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77.903507143390073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4.1560147498602227</v>
      </c>
      <c r="AC45" s="24">
        <f t="shared" si="3"/>
        <v>82.059521893250292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1.1368683772161603E-13</v>
      </c>
      <c r="AJ45" s="14">
        <f>AI45*VLOOKUP('Données projet'!$B$10,Paramètres!$A$1:$I$89,3,0)*VLOOKUP('Données projet'!$B$10,Paramètres!$A$1:$I$89,5,0)</f>
        <v>6.7984728957526396E-14</v>
      </c>
      <c r="AK45" s="14">
        <f t="shared" si="35"/>
        <v>1.0682447123141398E-12</v>
      </c>
      <c r="AL45" s="22">
        <f t="shared" si="4"/>
        <v>1.978932943548152E-12</v>
      </c>
      <c r="AM45" s="62">
        <f t="shared" si="5"/>
        <v>293.3333333333353</v>
      </c>
      <c r="AN45" s="62">
        <f ca="1">AVERAGE(OFFSET($AM$3,0,0,'Données projet'!$E$10+1,1))-AVERAGE(OFFSET($H$3,0,0,'Données projet'!$E$10+1,1))</f>
        <v>147.72913422715322</v>
      </c>
      <c r="AO45" s="62">
        <f t="shared" si="36"/>
        <v>361.07991692964799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42.041982809906166</v>
      </c>
      <c r="AV45" s="23">
        <f>EXP(-LN(2)/25)*AV44+(1-EXP(-LN(2)/25))/(LN(2)/25)*Calculateur!AQ45*Calculateur!AS45*VLOOKUP('Données projet'!$B$10,Paramètres!$A$1:$I$89,3,0)*0.475*44/12</f>
        <v>31.510316753855939</v>
      </c>
      <c r="AW45" s="23">
        <f>EXP(-LN(2)/2)*AW44+(1-EXP(-LN(2)/2))/(LN(2)/2)*AQ45*AT45*VLOOKUP('Données projet'!$B$10,Paramètres!$A$1:$I$89,3,0)*0.475*44/12</f>
        <v>0.68074038745169452</v>
      </c>
      <c r="AX45" s="23">
        <f t="shared" si="6"/>
        <v>74.233039951213797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8.6</v>
      </c>
      <c r="BD45" s="13">
        <f>IF('Données projet'!$A$88&gt;35,BD44+BC45-BL44,IF(A45&lt;'Données projet'!$A$88,$BA$205^A45,IF(A45='Données projet'!$A$88,'Données projet'!$B$88,BD44+BC45-BL44)))</f>
        <v>175.19999999999993</v>
      </c>
      <c r="BE45" s="14">
        <f>BD45*VLOOKUP('Données projet'!$B$11,Paramètres!$A$1:$I$89,3,0)*VLOOKUP('Données projet'!$B$11,Paramètres!$A$1:$I$89,5,0)</f>
        <v>153.05471999999995</v>
      </c>
      <c r="BF45" s="14">
        <f t="shared" si="37"/>
        <v>39.271965088385166</v>
      </c>
      <c r="BG45" s="22">
        <f t="shared" si="7"/>
        <v>334.96897652893739</v>
      </c>
      <c r="BH45" s="62">
        <f t="shared" si="8"/>
        <v>628.3023098622707</v>
      </c>
      <c r="BI45" s="62">
        <f ca="1">AVERAGE(OFFSET($BH$3,0,0,'Données projet'!$E$11+1,1))-AVERAGE(OFFSET($H$3,0,0,'Données projet'!$E$11+1,1))</f>
        <v>236.12531905695994</v>
      </c>
      <c r="BJ45" s="62">
        <f t="shared" si="38"/>
        <v>270.64539221029258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2">
        <f t="shared" si="32"/>
        <v>8.1204100194831259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70">
        <f t="shared" si="1"/>
        <v>352.26159745059977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0</v>
      </c>
      <c r="O46" s="14">
        <f>N46*VLOOKUP('Données projet'!$B$9,Paramètres!$A$1:$I$89,3,0)*VLOOKUP('Données projet'!$B$9,Paramètres!$A$1:$I$89,5,0)</f>
        <v>0</v>
      </c>
      <c r="P46" s="14" t="e">
        <f t="shared" si="33"/>
        <v>#NUM!</v>
      </c>
      <c r="Q46" s="22" t="e">
        <f t="shared" si="53"/>
        <v>#NUM!</v>
      </c>
      <c r="R46" s="62" t="e">
        <f t="shared" si="0"/>
        <v>#NUM!</v>
      </c>
      <c r="S46" s="62">
        <f ca="1">AVERAGE(OFFSET($R$3,0,0,'Données projet'!$E$9+1,1))-AVERAGE(OFFSET($H$3,0,0,'Données projet'!$E$9+1,1))</f>
        <v>151.58413719376074</v>
      </c>
      <c r="T46" s="62">
        <f t="shared" si="34"/>
        <v>310.105543138185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76.375866884755695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2.9387462123374766</v>
      </c>
      <c r="AC46" s="24">
        <f t="shared" si="3"/>
        <v>79.314613097093172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1.1368683772161603E-13</v>
      </c>
      <c r="AJ46" s="14">
        <f>AI46*VLOOKUP('Données projet'!$B$10,Paramètres!$A$1:$I$89,3,0)*VLOOKUP('Données projet'!$B$10,Paramètres!$A$1:$I$89,5,0)</f>
        <v>6.7984728957526396E-14</v>
      </c>
      <c r="AK46" s="14">
        <f t="shared" si="35"/>
        <v>1.0682447123141398E-12</v>
      </c>
      <c r="AL46" s="22">
        <f t="shared" si="4"/>
        <v>1.978932943548152E-12</v>
      </c>
      <c r="AM46" s="62">
        <f t="shared" si="5"/>
        <v>293.3333333333353</v>
      </c>
      <c r="AN46" s="62">
        <f ca="1">AVERAGE(OFFSET($AM$3,0,0,'Données projet'!$E$10+1,1))-AVERAGE(OFFSET($H$3,0,0,'Données projet'!$E$10+1,1))</f>
        <v>147.72913422715322</v>
      </c>
      <c r="AO46" s="62">
        <f t="shared" si="36"/>
        <v>361.07991692964799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41.217565170081379</v>
      </c>
      <c r="AV46" s="23">
        <f>EXP(-LN(2)/25)*AV45+(1-EXP(-LN(2)/25))/(LN(2)/25)*Calculateur!AQ46*Calculateur!AS46*VLOOKUP('Données projet'!$B$10,Paramètres!$A$1:$I$89,3,0)*0.475*44/12</f>
        <v>30.648665485166209</v>
      </c>
      <c r="AW46" s="23">
        <f>EXP(-LN(2)/2)*AW45+(1-EXP(-LN(2)/2))/(LN(2)/2)*AQ46*AT46*VLOOKUP('Données projet'!$B$10,Paramètres!$A$1:$I$89,3,0)*0.475*44/12</f>
        <v>0.48135614419465095</v>
      </c>
      <c r="AX46" s="23">
        <f t="shared" si="6"/>
        <v>72.34758679944224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8.6</v>
      </c>
      <c r="BD46" s="13">
        <f>IF('Données projet'!$A$88&gt;35,BD45+BC46-BL45,IF(A46&lt;'Données projet'!$A$88,$BA$205^A46,IF(A46='Données projet'!$A$88,'Données projet'!$B$88,BD45+BC46-BL45)))</f>
        <v>183.79999999999993</v>
      </c>
      <c r="BE46" s="14">
        <f>BD46*VLOOKUP('Données projet'!$B$11,Paramètres!$A$1:$I$89,3,0)*VLOOKUP('Données projet'!$B$11,Paramètres!$A$1:$I$89,5,0)</f>
        <v>160.56767999999997</v>
      </c>
      <c r="BF46" s="14">
        <f t="shared" si="37"/>
        <v>40.970530810309882</v>
      </c>
      <c r="BG46" s="22">
        <f t="shared" si="7"/>
        <v>351.01238382795628</v>
      </c>
      <c r="BH46" s="62">
        <f t="shared" si="8"/>
        <v>644.3457171612896</v>
      </c>
      <c r="BI46" s="62">
        <f ca="1">AVERAGE(OFFSET($BH$3,0,0,'Données projet'!$E$11+1,1))-AVERAGE(OFFSET($H$3,0,0,'Données projet'!$E$11+1,1))</f>
        <v>236.12531905695994</v>
      </c>
      <c r="BJ46" s="62">
        <f t="shared" si="38"/>
        <v>270.64539221029258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2">
        <f t="shared" si="32"/>
        <v>8.2870510840880431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70">
        <f t="shared" si="1"/>
        <v>353.59334730478662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0</v>
      </c>
      <c r="O47" s="14">
        <f>N47*VLOOKUP('Données projet'!$B$9,Paramètres!$A$1:$I$89,3,0)*VLOOKUP('Données projet'!$B$9,Paramètres!$A$1:$I$89,5,0)</f>
        <v>0</v>
      </c>
      <c r="P47" s="14" t="e">
        <f t="shared" si="33"/>
        <v>#NUM!</v>
      </c>
      <c r="Q47" s="22" t="e">
        <f t="shared" si="53"/>
        <v>#NUM!</v>
      </c>
      <c r="R47" s="62" t="e">
        <f t="shared" si="0"/>
        <v>#NUM!</v>
      </c>
      <c r="S47" s="62">
        <f ca="1">AVERAGE(OFFSET($R$3,0,0,'Données projet'!$E$9+1,1))-AVERAGE(OFFSET($H$3,0,0,'Données projet'!$E$9+1,1))</f>
        <v>151.58413719376074</v>
      </c>
      <c r="T47" s="62">
        <f t="shared" si="34"/>
        <v>310.105543138185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74.878182719824579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2.0780073749301113</v>
      </c>
      <c r="AC47" s="24">
        <f t="shared" si="3"/>
        <v>76.956190094754689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1.1368683772161603E-13</v>
      </c>
      <c r="AJ47" s="14">
        <f>AI47*VLOOKUP('Données projet'!$B$10,Paramètres!$A$1:$I$89,3,0)*VLOOKUP('Données projet'!$B$10,Paramètres!$A$1:$I$89,5,0)</f>
        <v>6.7984728957526396E-14</v>
      </c>
      <c r="AK47" s="14">
        <f t="shared" si="35"/>
        <v>1.0682447123141398E-12</v>
      </c>
      <c r="AL47" s="22">
        <f t="shared" si="4"/>
        <v>1.978932943548152E-12</v>
      </c>
      <c r="AM47" s="62">
        <f t="shared" si="5"/>
        <v>293.3333333333353</v>
      </c>
      <c r="AN47" s="62">
        <f ca="1">AVERAGE(OFFSET($AM$3,0,0,'Données projet'!$E$10+1,1))-AVERAGE(OFFSET($H$3,0,0,'Données projet'!$E$10+1,1))</f>
        <v>147.72913422715322</v>
      </c>
      <c r="AO47" s="62">
        <f t="shared" si="36"/>
        <v>361.07991692964799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40.409313857328442</v>
      </c>
      <c r="AV47" s="23">
        <f>EXP(-LN(2)/25)*AV46+(1-EXP(-LN(2)/25))/(LN(2)/25)*Calculateur!AQ47*Calculateur!AS47*VLOOKUP('Données projet'!$B$10,Paramètres!$A$1:$I$89,3,0)*0.475*44/12</f>
        <v>29.81057611573107</v>
      </c>
      <c r="AW47" s="23">
        <f>EXP(-LN(2)/2)*AW46+(1-EXP(-LN(2)/2))/(LN(2)/2)*AQ47*AT47*VLOOKUP('Données projet'!$B$10,Paramètres!$A$1:$I$89,3,0)*0.475*44/12</f>
        <v>0.34037019372584731</v>
      </c>
      <c r="AX47" s="23">
        <f t="shared" si="6"/>
        <v>70.560260166785355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8.6</v>
      </c>
      <c r="BD47" s="13">
        <f>IF('Données projet'!$A$88&gt;35,BD46+BC47-BL46,IF(A47&lt;'Données projet'!$A$88,$BA$205^A47,IF(A47='Données projet'!$A$88,'Données projet'!$B$88,BD46+BC47-BL46)))</f>
        <v>192.39999999999992</v>
      </c>
      <c r="BE47" s="14">
        <f>BD47*VLOOKUP('Données projet'!$B$11,Paramètres!$A$1:$I$89,3,0)*VLOOKUP('Données projet'!$B$11,Paramètres!$A$1:$I$89,5,0)</f>
        <v>168.08063999999996</v>
      </c>
      <c r="BF47" s="14">
        <f t="shared" si="37"/>
        <v>42.659867131343425</v>
      </c>
      <c r="BG47" s="22">
        <f t="shared" si="7"/>
        <v>367.03971658708974</v>
      </c>
      <c r="BH47" s="62">
        <f t="shared" si="8"/>
        <v>660.373049920423</v>
      </c>
      <c r="BI47" s="62">
        <f ca="1">AVERAGE(OFFSET($BH$3,0,0,'Données projet'!$E$11+1,1))-AVERAGE(OFFSET($H$3,0,0,'Données projet'!$E$11+1,1))</f>
        <v>236.12531905695994</v>
      </c>
      <c r="BJ47" s="62">
        <f t="shared" si="38"/>
        <v>270.64539221029258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2">
        <f t="shared" si="32"/>
        <v>8.4532518498676339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70">
        <f t="shared" si="1"/>
        <v>354.92433030518612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0</v>
      </c>
      <c r="O48" s="14">
        <f>N48*VLOOKUP('Données projet'!$B$9,Paramètres!$A$1:$I$89,3,0)*VLOOKUP('Données projet'!$B$9,Paramètres!$A$1:$I$89,5,0)</f>
        <v>0</v>
      </c>
      <c r="P48" s="14" t="e">
        <f t="shared" si="33"/>
        <v>#NUM!</v>
      </c>
      <c r="Q48" s="22" t="e">
        <f t="shared" si="53"/>
        <v>#NUM!</v>
      </c>
      <c r="R48" s="62" t="e">
        <f t="shared" si="0"/>
        <v>#NUM!</v>
      </c>
      <c r="S48" s="62">
        <f ca="1">AVERAGE(OFFSET($R$3,0,0,'Données projet'!$E$9+1,1))-AVERAGE(OFFSET($H$3,0,0,'Données projet'!$E$9+1,1))</f>
        <v>151.58413719376074</v>
      </c>
      <c r="T48" s="62">
        <f t="shared" si="34"/>
        <v>310.105543138185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73.40986722787062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1.4693731061687383</v>
      </c>
      <c r="AC48" s="24">
        <f t="shared" si="3"/>
        <v>74.879240334039352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1.1368683772161603E-13</v>
      </c>
      <c r="AJ48" s="14">
        <f>AI48*VLOOKUP('Données projet'!$B$10,Paramètres!$A$1:$I$89,3,0)*VLOOKUP('Données projet'!$B$10,Paramètres!$A$1:$I$89,5,0)</f>
        <v>6.7984728957526396E-14</v>
      </c>
      <c r="AK48" s="14">
        <f t="shared" si="35"/>
        <v>1.0682447123141398E-12</v>
      </c>
      <c r="AL48" s="22">
        <f t="shared" si="4"/>
        <v>1.978932943548152E-12</v>
      </c>
      <c r="AM48" s="62">
        <f t="shared" si="5"/>
        <v>293.3333333333353</v>
      </c>
      <c r="AN48" s="62">
        <f ca="1">AVERAGE(OFFSET($AM$3,0,0,'Données projet'!$E$10+1,1))-AVERAGE(OFFSET($H$3,0,0,'Données projet'!$E$10+1,1))</f>
        <v>147.72913422715322</v>
      </c>
      <c r="AO48" s="62">
        <f t="shared" si="36"/>
        <v>361.07991692964799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39.616911859833969</v>
      </c>
      <c r="AV48" s="23">
        <f>EXP(-LN(2)/25)*AV47+(1-EXP(-LN(2)/25))/(LN(2)/25)*Calculateur!AQ48*Calculateur!AS48*VLOOKUP('Données projet'!$B$10,Paramètres!$A$1:$I$89,3,0)*0.475*44/12</f>
        <v>28.99540434417634</v>
      </c>
      <c r="AW48" s="23">
        <f>EXP(-LN(2)/2)*AW47+(1-EXP(-LN(2)/2))/(LN(2)/2)*AQ48*AT48*VLOOKUP('Données projet'!$B$10,Paramètres!$A$1:$I$89,3,0)*0.475*44/12</f>
        <v>0.24067807209732553</v>
      </c>
      <c r="AX48" s="23">
        <f t="shared" si="6"/>
        <v>68.852994276107637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201</v>
      </c>
      <c r="BB48" s="13">
        <f>VLOOKUP(A48,'Données projet'!$A$87:$I$107,9,0)</f>
        <v>8.6</v>
      </c>
      <c r="BC48" s="13">
        <f t="array" ref="BC48">INDEX(BB:BB,MIN(IF(ISNUMBER(BB48:BB244),ROW(BB48:BB244),"")))</f>
        <v>8.6</v>
      </c>
      <c r="BD48" s="13">
        <f>IF('Données projet'!$A$88&gt;35,BD47+BC48-BL47,IF(A48&lt;'Données projet'!$A$88,$BA$205^A48,IF(A48='Données projet'!$A$88,'Données projet'!$B$88,BD47+BC48-BL47)))</f>
        <v>200.99999999999991</v>
      </c>
      <c r="BE48" s="14">
        <f>BD48*VLOOKUP('Données projet'!$B$11,Paramètres!$A$1:$I$89,3,0)*VLOOKUP('Données projet'!$B$11,Paramètres!$A$1:$I$89,5,0)</f>
        <v>175.59359999999995</v>
      </c>
      <c r="BF48" s="14">
        <f t="shared" si="37"/>
        <v>44.340433728638573</v>
      </c>
      <c r="BG48" s="22">
        <f t="shared" si="7"/>
        <v>383.05177541071203</v>
      </c>
      <c r="BH48" s="62">
        <f t="shared" si="8"/>
        <v>676.38510874404528</v>
      </c>
      <c r="BI48" s="62">
        <f ca="1">AVERAGE(OFFSET($BH$3,0,0,'Données projet'!$E$11+1,1))-AVERAGE(OFFSET($H$3,0,0,'Données projet'!$E$11+1,1))</f>
        <v>236.12531905695994</v>
      </c>
      <c r="BJ48" s="62">
        <f t="shared" si="38"/>
        <v>270.64539221029258</v>
      </c>
      <c r="BK48" s="16">
        <f>IF(ISNA(VLOOKUP(A48,'Données projet'!$A$87:$I$107,3,0)),0,VLOOKUP(A48,'Données projet'!$A$87:$I$107,3,0))</f>
        <v>6</v>
      </c>
      <c r="BL48" s="16">
        <f>IF(ISNA(VLOOKUP(A48,'Données projet'!$A$87:$I$107,4,0)),0,VLOOKUP(A48,'Données projet'!$A$87:$I$107,4,0))</f>
        <v>31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2">
        <f t="shared" si="32"/>
        <v>8.6190232278455454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70">
        <f t="shared" si="1"/>
        <v>356.25456545516431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0</v>
      </c>
      <c r="O49" s="14">
        <f>N49*VLOOKUP('Données projet'!$B$9,Paramètres!$A$1:$I$89,3,0)*VLOOKUP('Données projet'!$B$9,Paramètres!$A$1:$I$89,5,0)</f>
        <v>0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151.58413719376074</v>
      </c>
      <c r="T49" s="62">
        <f t="shared" si="34"/>
        <v>310.105543138185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71.970344507129866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1.0390036874650557</v>
      </c>
      <c r="AC49" s="24">
        <f t="shared" si="3"/>
        <v>73.009348194594921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1.1368683772161603E-13</v>
      </c>
      <c r="AJ49" s="14">
        <f>AI49*VLOOKUP('Données projet'!$B$10,Paramètres!$A$1:$I$89,3,0)*VLOOKUP('Données projet'!$B$10,Paramètres!$A$1:$I$89,5,0)</f>
        <v>6.7984728957526396E-14</v>
      </c>
      <c r="AK49" s="14">
        <f t="shared" si="35"/>
        <v>1.0682447123141398E-12</v>
      </c>
      <c r="AL49" s="22">
        <f t="shared" si="4"/>
        <v>1.978932943548152E-12</v>
      </c>
      <c r="AM49" s="62">
        <f t="shared" si="5"/>
        <v>293.3333333333353</v>
      </c>
      <c r="AN49" s="62">
        <f ca="1">AVERAGE(OFFSET($AM$3,0,0,'Données projet'!$E$10+1,1))-AVERAGE(OFFSET($H$3,0,0,'Données projet'!$E$10+1,1))</f>
        <v>147.72913422715322</v>
      </c>
      <c r="AO49" s="62">
        <f t="shared" si="36"/>
        <v>361.07991692964799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38.840048382192869</v>
      </c>
      <c r="AV49" s="23">
        <f>EXP(-LN(2)/25)*AV48+(1-EXP(-LN(2)/25))/(LN(2)/25)*Calculateur!AQ49*Calculateur!AS49*VLOOKUP('Données projet'!$B$10,Paramètres!$A$1:$I$89,3,0)*0.475*44/12</f>
        <v>28.202523487582791</v>
      </c>
      <c r="AW49" s="23">
        <f>EXP(-LN(2)/2)*AW48+(1-EXP(-LN(2)/2))/(LN(2)/2)*AQ49*AT49*VLOOKUP('Données projet'!$B$10,Paramètres!$A$1:$I$89,3,0)*0.475*44/12</f>
        <v>0.17018509686292368</v>
      </c>
      <c r="AX49" s="23">
        <f t="shared" si="6"/>
        <v>67.21275696663858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7.8</v>
      </c>
      <c r="BD49" s="13">
        <f>IF('Données projet'!$A$88&gt;35,BD48+BC49-BL48,IF(A49&lt;'Données projet'!$A$88,$BA$205^A49,IF(A49='Données projet'!$A$88,'Données projet'!$B$88,BD48+BC49-BL48)))</f>
        <v>177.79999999999993</v>
      </c>
      <c r="BE49" s="14">
        <f>BD49*VLOOKUP('Données projet'!$B$11,Paramètres!$A$1:$I$89,3,0)*VLOOKUP('Données projet'!$B$11,Paramètres!$A$1:$I$89,5,0)</f>
        <v>155.32607999999996</v>
      </c>
      <c r="BF49" s="14">
        <f t="shared" si="37"/>
        <v>39.786487601092411</v>
      </c>
      <c r="BG49" s="22">
        <f t="shared" si="7"/>
        <v>339.82105523856922</v>
      </c>
      <c r="BH49" s="62">
        <f t="shared" si="8"/>
        <v>633.15438857190247</v>
      </c>
      <c r="BI49" s="62">
        <f ca="1">AVERAGE(OFFSET($BH$3,0,0,'Données projet'!$E$11+1,1))-AVERAGE(OFFSET($H$3,0,0,'Données projet'!$E$11+1,1))</f>
        <v>236.12531905695994</v>
      </c>
      <c r="BJ49" s="62">
        <f t="shared" si="38"/>
        <v>270.64539221029258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2">
        <f t="shared" si="32"/>
        <v>8.7843756275593741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70">
        <f t="shared" si="1"/>
        <v>357.58407088466589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0</v>
      </c>
      <c r="O50" s="14">
        <f>N50*VLOOKUP('Données projet'!$B$9,Paramètres!$A$1:$I$89,3,0)*VLOOKUP('Données projet'!$B$9,Paramètres!$A$1:$I$89,5,0)</f>
        <v>0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151.58413719376074</v>
      </c>
      <c r="T50" s="62">
        <f t="shared" si="34"/>
        <v>310.105543138185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70.559049948920674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0.73468655308436914</v>
      </c>
      <c r="AC50" s="24">
        <f t="shared" si="3"/>
        <v>71.293736502005046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1.1368683772161603E-13</v>
      </c>
      <c r="AJ50" s="14">
        <f>AI50*VLOOKUP('Données projet'!$B$10,Paramètres!$A$1:$I$89,3,0)*VLOOKUP('Données projet'!$B$10,Paramètres!$A$1:$I$89,5,0)</f>
        <v>6.7984728957526396E-14</v>
      </c>
      <c r="AK50" s="14">
        <f t="shared" si="35"/>
        <v>1.0682447123141398E-12</v>
      </c>
      <c r="AL50" s="22">
        <f t="shared" si="4"/>
        <v>1.978932943548152E-12</v>
      </c>
      <c r="AM50" s="62">
        <f t="shared" si="5"/>
        <v>293.3333333333353</v>
      </c>
      <c r="AN50" s="62">
        <f ca="1">AVERAGE(OFFSET($AM$3,0,0,'Données projet'!$E$10+1,1))-AVERAGE(OFFSET($H$3,0,0,'Données projet'!$E$10+1,1))</f>
        <v>147.72913422715322</v>
      </c>
      <c r="AO50" s="62">
        <f t="shared" si="36"/>
        <v>361.07991692964799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38.078418723508378</v>
      </c>
      <c r="AV50" s="23">
        <f>EXP(-LN(2)/25)*AV49+(1-EXP(-LN(2)/25))/(LN(2)/25)*Calculateur!AQ50*Calculateur!AS50*VLOOKUP('Données projet'!$B$10,Paramètres!$A$1:$I$89,3,0)*0.475*44/12</f>
        <v>27.431323999708589</v>
      </c>
      <c r="AW50" s="23">
        <f>EXP(-LN(2)/2)*AW49+(1-EXP(-LN(2)/2))/(LN(2)/2)*AQ50*AT50*VLOOKUP('Données projet'!$B$10,Paramètres!$A$1:$I$89,3,0)*0.475*44/12</f>
        <v>0.12033903604866278</v>
      </c>
      <c r="AX50" s="23">
        <f t="shared" si="6"/>
        <v>65.630081759265622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7.8</v>
      </c>
      <c r="BD50" s="13">
        <f>IF('Données projet'!$A$88&gt;35,BD49+BC50-BL49,IF(A50&lt;'Données projet'!$A$88,$BA$205^A50,IF(A50='Données projet'!$A$88,'Données projet'!$B$88,BD49+BC50-BL49)))</f>
        <v>185.59999999999994</v>
      </c>
      <c r="BE50" s="14">
        <f>BD50*VLOOKUP('Données projet'!$B$11,Paramètres!$A$1:$I$89,3,0)*VLOOKUP('Données projet'!$B$11,Paramètres!$A$1:$I$89,5,0)</f>
        <v>162.14015999999998</v>
      </c>
      <c r="BF50" s="14">
        <f t="shared" si="37"/>
        <v>41.324860537333677</v>
      </c>
      <c r="BG50" s="22">
        <f t="shared" si="7"/>
        <v>354.36824410252279</v>
      </c>
      <c r="BH50" s="62">
        <f t="shared" si="8"/>
        <v>647.70157743585605</v>
      </c>
      <c r="BI50" s="62">
        <f ca="1">AVERAGE(OFFSET($BH$3,0,0,'Données projet'!$E$11+1,1))-AVERAGE(OFFSET($H$3,0,0,'Données projet'!$E$11+1,1))</f>
        <v>236.12531905695994</v>
      </c>
      <c r="BJ50" s="62">
        <f t="shared" si="38"/>
        <v>270.64539221029258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2">
        <f t="shared" si="32"/>
        <v>8.9493189902812986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70">
        <f t="shared" si="1"/>
        <v>358.91286390807323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0</v>
      </c>
      <c r="O51" s="14">
        <f>N51*VLOOKUP('Données projet'!$B$9,Paramètres!$A$1:$I$89,3,0)*VLOOKUP('Données projet'!$B$9,Paramètres!$A$1:$I$89,5,0)</f>
        <v>0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151.58413719376074</v>
      </c>
      <c r="T51" s="62">
        <f t="shared" si="34"/>
        <v>310.105543138185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69.175430016193275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0.51950184373252783</v>
      </c>
      <c r="AC51" s="24">
        <f t="shared" si="3"/>
        <v>69.694931859925802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1.1368683772161603E-13</v>
      </c>
      <c r="AJ51" s="14">
        <f>AI51*VLOOKUP('Données projet'!$B$10,Paramètres!$A$1:$I$89,3,0)*VLOOKUP('Données projet'!$B$10,Paramètres!$A$1:$I$89,5,0)</f>
        <v>6.7984728957526396E-14</v>
      </c>
      <c r="AK51" s="14">
        <f t="shared" si="35"/>
        <v>1.0682447123141398E-12</v>
      </c>
      <c r="AL51" s="22">
        <f t="shared" si="4"/>
        <v>1.978932943548152E-12</v>
      </c>
      <c r="AM51" s="62">
        <f t="shared" si="5"/>
        <v>293.3333333333353</v>
      </c>
      <c r="AN51" s="62">
        <f ca="1">AVERAGE(OFFSET($AM$3,0,0,'Données projet'!$E$10+1,1))-AVERAGE(OFFSET($H$3,0,0,'Données projet'!$E$10+1,1))</f>
        <v>147.72913422715322</v>
      </c>
      <c r="AO51" s="62">
        <f t="shared" si="36"/>
        <v>361.07991692964799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37.331724157882469</v>
      </c>
      <c r="AV51" s="23">
        <f>EXP(-LN(2)/25)*AV50+(1-EXP(-LN(2)/25))/(LN(2)/25)*Calculateur!AQ51*Calculateur!AS51*VLOOKUP('Données projet'!$B$10,Paramètres!$A$1:$I$89,3,0)*0.475*44/12</f>
        <v>26.681213002385924</v>
      </c>
      <c r="AW51" s="23">
        <f>EXP(-LN(2)/2)*AW50+(1-EXP(-LN(2)/2))/(LN(2)/2)*AQ51*AT51*VLOOKUP('Données projet'!$B$10,Paramètres!$A$1:$I$89,3,0)*0.475*44/12</f>
        <v>8.5092548431461856E-2</v>
      </c>
      <c r="AX51" s="23">
        <f t="shared" si="6"/>
        <v>64.098029708699855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7.8</v>
      </c>
      <c r="BD51" s="13">
        <f>IF('Données projet'!$A$88&gt;35,BD50+BC51-BL50,IF(A51&lt;'Données projet'!$A$88,$BA$205^A51,IF(A51='Données projet'!$A$88,'Données projet'!$B$88,BD50+BC51-BL50)))</f>
        <v>193.39999999999995</v>
      </c>
      <c r="BE51" s="14">
        <f>BD51*VLOOKUP('Données projet'!$B$11,Paramètres!$A$1:$I$89,3,0)*VLOOKUP('Données projet'!$B$11,Paramètres!$A$1:$I$89,5,0)</f>
        <v>168.95424</v>
      </c>
      <c r="BF51" s="14">
        <f t="shared" si="37"/>
        <v>42.855724087026708</v>
      </c>
      <c r="BG51" s="22">
        <f t="shared" si="7"/>
        <v>368.90235411823818</v>
      </c>
      <c r="BH51" s="62">
        <f t="shared" si="8"/>
        <v>662.23568745157149</v>
      </c>
      <c r="BI51" s="62">
        <f ca="1">AVERAGE(OFFSET($BH$3,0,0,'Données projet'!$E$11+1,1))-AVERAGE(OFFSET($H$3,0,0,'Données projet'!$E$11+1,1))</f>
        <v>236.12531905695994</v>
      </c>
      <c r="BJ51" s="62">
        <f t="shared" si="38"/>
        <v>270.64539221029258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2">
        <f t="shared" si="32"/>
        <v>9.1138628193922067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70">
        <f t="shared" si="1"/>
        <v>360.24096107710801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0</v>
      </c>
      <c r="O52" s="14">
        <f>N52*VLOOKUP('Données projet'!$B$9,Paramètres!$A$1:$I$89,3,0)*VLOOKUP('Données projet'!$B$9,Paramètres!$A$1:$I$89,5,0)</f>
        <v>0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151.58413719376074</v>
      </c>
      <c r="T52" s="62">
        <f t="shared" si="34"/>
        <v>310.105543138185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67.818942026421837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0.36734327654218457</v>
      </c>
      <c r="AC52" s="24">
        <f t="shared" si="3"/>
        <v>68.186285302964023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1.1368683772161603E-13</v>
      </c>
      <c r="AJ52" s="14">
        <f>AI52*VLOOKUP('Données projet'!$B$10,Paramètres!$A$1:$I$89,3,0)*VLOOKUP('Données projet'!$B$10,Paramètres!$A$1:$I$89,5,0)</f>
        <v>6.7984728957526396E-14</v>
      </c>
      <c r="AK52" s="14">
        <f t="shared" si="35"/>
        <v>1.0682447123141398E-12</v>
      </c>
      <c r="AL52" s="22">
        <f t="shared" si="4"/>
        <v>1.978932943548152E-12</v>
      </c>
      <c r="AM52" s="62">
        <f t="shared" si="5"/>
        <v>293.3333333333353</v>
      </c>
      <c r="AN52" s="62">
        <f ca="1">AVERAGE(OFFSET($AM$3,0,0,'Données projet'!$E$10+1,1))-AVERAGE(OFFSET($H$3,0,0,'Données projet'!$E$10+1,1))</f>
        <v>147.72913422715322</v>
      </c>
      <c r="AO52" s="62">
        <f t="shared" si="36"/>
        <v>361.07991692964799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36.599671817249771</v>
      </c>
      <c r="AV52" s="23">
        <f>EXP(-LN(2)/25)*AV51+(1-EXP(-LN(2)/25))/(LN(2)/25)*Calculateur!AQ52*Calculateur!AS52*VLOOKUP('Données projet'!$B$10,Paramètres!$A$1:$I$89,3,0)*0.475*44/12</f>
        <v>25.95161382973167</v>
      </c>
      <c r="AW52" s="23">
        <f>EXP(-LN(2)/2)*AW51+(1-EXP(-LN(2)/2))/(LN(2)/2)*AQ52*AT52*VLOOKUP('Données projet'!$B$10,Paramètres!$A$1:$I$89,3,0)*0.475*44/12</f>
        <v>6.0169518024331403E-2</v>
      </c>
      <c r="AX52" s="23">
        <f t="shared" si="6"/>
        <v>62.611455165005772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7.8</v>
      </c>
      <c r="BD52" s="13">
        <f>IF('Données projet'!$A$88&gt;35,BD51+BC52-BL51,IF(A52&lt;'Données projet'!$A$88,$BA$205^A52,IF(A52='Données projet'!$A$88,'Données projet'!$B$88,BD51+BC52-BL51)))</f>
        <v>201.19999999999996</v>
      </c>
      <c r="BE52" s="14">
        <f>BD52*VLOOKUP('Données projet'!$B$11,Paramètres!$A$1:$I$89,3,0)*VLOOKUP('Données projet'!$B$11,Paramètres!$A$1:$I$89,5,0)</f>
        <v>175.76831999999999</v>
      </c>
      <c r="BF52" s="14">
        <f t="shared" si="37"/>
        <v>44.379415757690168</v>
      </c>
      <c r="BG52" s="22">
        <f t="shared" si="7"/>
        <v>383.42397311131032</v>
      </c>
      <c r="BH52" s="62">
        <f t="shared" si="8"/>
        <v>676.75730644464363</v>
      </c>
      <c r="BI52" s="62">
        <f ca="1">AVERAGE(OFFSET($BH$3,0,0,'Données projet'!$E$11+1,1))-AVERAGE(OFFSET($H$3,0,0,'Données projet'!$E$11+1,1))</f>
        <v>236.12531905695994</v>
      </c>
      <c r="BJ52" s="62">
        <f t="shared" si="38"/>
        <v>270.64539221029258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2">
        <f t="shared" si="32"/>
        <v>9.2780162082062319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70">
        <f t="shared" si="1"/>
        <v>361.56837822929248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0</v>
      </c>
      <c r="O53" s="14">
        <f>N53*VLOOKUP('Données projet'!$B$9,Paramètres!$A$1:$I$89,3,0)*VLOOKUP('Données projet'!$B$9,Paramètres!$A$1:$I$89,5,0)</f>
        <v>0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151.58413719376074</v>
      </c>
      <c r="T53" s="62">
        <f t="shared" si="34"/>
        <v>310.105543138185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66.489053938753841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0.25975092186626392</v>
      </c>
      <c r="AC53" s="24">
        <f t="shared" si="3"/>
        <v>66.748804860620112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1.1368683772161603E-13</v>
      </c>
      <c r="AJ53" s="14">
        <f>AI53*VLOOKUP('Données projet'!$B$10,Paramètres!$A$1:$I$89,3,0)*VLOOKUP('Données projet'!$B$10,Paramètres!$A$1:$I$89,5,0)</f>
        <v>6.7984728957526396E-14</v>
      </c>
      <c r="AK53" s="14">
        <f t="shared" si="35"/>
        <v>1.0682447123141398E-12</v>
      </c>
      <c r="AL53" s="22">
        <f t="shared" si="4"/>
        <v>1.978932943548152E-12</v>
      </c>
      <c r="AM53" s="62">
        <f t="shared" si="5"/>
        <v>293.3333333333353</v>
      </c>
      <c r="AN53" s="62">
        <f ca="1">AVERAGE(OFFSET($AM$3,0,0,'Données projet'!$E$10+1,1))-AVERAGE(OFFSET($H$3,0,0,'Données projet'!$E$10+1,1))</f>
        <v>147.72913422715322</v>
      </c>
      <c r="AO53" s="62">
        <f t="shared" si="36"/>
        <v>361.07991692964799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35.881974576509037</v>
      </c>
      <c r="AV53" s="23">
        <f>EXP(-LN(2)/25)*AV52+(1-EXP(-LN(2)/25))/(LN(2)/25)*Calculateur!AQ53*Calculateur!AS53*VLOOKUP('Données projet'!$B$10,Paramètres!$A$1:$I$89,3,0)*0.475*44/12</f>
        <v>25.2419655848216</v>
      </c>
      <c r="AW53" s="23">
        <f>EXP(-LN(2)/2)*AW52+(1-EXP(-LN(2)/2))/(LN(2)/2)*AQ53*AT53*VLOOKUP('Données projet'!$B$10,Paramètres!$A$1:$I$89,3,0)*0.475*44/12</f>
        <v>4.2546274215730935E-2</v>
      </c>
      <c r="AX53" s="23">
        <f t="shared" si="6"/>
        <v>61.166486435546368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209</v>
      </c>
      <c r="BB53" s="13">
        <f>VLOOKUP(A53,'Données projet'!$A$87:$I$107,9,0)</f>
        <v>7.8</v>
      </c>
      <c r="BC53" s="13">
        <f t="array" ref="BC53">INDEX(BB:BB,MIN(IF(ISNUMBER(BB53:BB249),ROW(BB53:BB249),"")))</f>
        <v>7.8</v>
      </c>
      <c r="BD53" s="13">
        <f>IF('Données projet'!$A$88&gt;35,BD52+BC53-BL52,IF(A53&lt;'Données projet'!$A$88,$BA$205^A53,IF(A53='Données projet'!$A$88,'Données projet'!$B$88,BD52+BC53-BL52)))</f>
        <v>208.99999999999997</v>
      </c>
      <c r="BE53" s="14">
        <f>BD53*VLOOKUP('Données projet'!$B$11,Paramètres!$A$1:$I$89,3,0)*VLOOKUP('Données projet'!$B$11,Paramètres!$A$1:$I$89,5,0)</f>
        <v>182.58240000000001</v>
      </c>
      <c r="BF53" s="14">
        <f t="shared" si="37"/>
        <v>45.896245406460288</v>
      </c>
      <c r="BG53" s="22">
        <f t="shared" si="7"/>
        <v>397.93364074958498</v>
      </c>
      <c r="BH53" s="62">
        <f t="shared" si="8"/>
        <v>691.2669740829183</v>
      </c>
      <c r="BI53" s="62">
        <f ca="1">AVERAGE(OFFSET($BH$3,0,0,'Données projet'!$E$11+1,1))-AVERAGE(OFFSET($H$3,0,0,'Données projet'!$E$11+1,1))</f>
        <v>236.12531905695994</v>
      </c>
      <c r="BJ53" s="62">
        <f t="shared" si="38"/>
        <v>270.64539221029258</v>
      </c>
      <c r="BK53" s="16">
        <f>IF(ISNA(VLOOKUP(A53,'Données projet'!$A$87:$I$107,3,0)),0,VLOOKUP(A53,'Données projet'!$A$87:$I$107,3,0))</f>
        <v>7</v>
      </c>
      <c r="BL53" s="16">
        <f>IF(ISNA(VLOOKUP(A53,'Données projet'!$A$87:$I$107,4,0)),0,VLOOKUP(A53,'Données projet'!$A$87:$I$107,4,0))</f>
        <v>28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2">
        <f t="shared" si="32"/>
        <v>9.4417878655064946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70">
        <f t="shared" si="1"/>
        <v>362.89513053242376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0</v>
      </c>
      <c r="O54" s="14">
        <f>N54*VLOOKUP('Données projet'!$B$9,Paramètres!$A$1:$I$89,3,0)*VLOOKUP('Données projet'!$B$9,Paramètres!$A$1:$I$89,5,0)</f>
        <v>0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151.58413719376074</v>
      </c>
      <c r="T54" s="62">
        <f t="shared" si="34"/>
        <v>310.105543138185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65.185244145333371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0.18367163827109229</v>
      </c>
      <c r="AC54" s="24">
        <f t="shared" si="3"/>
        <v>65.368915783604464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1.1368683772161603E-13</v>
      </c>
      <c r="AJ54" s="14">
        <f>AI54*VLOOKUP('Données projet'!$B$10,Paramètres!$A$1:$I$89,3,0)*VLOOKUP('Données projet'!$B$10,Paramètres!$A$1:$I$89,5,0)</f>
        <v>6.7984728957526396E-14</v>
      </c>
      <c r="AK54" s="14">
        <f t="shared" si="35"/>
        <v>1.0682447123141398E-12</v>
      </c>
      <c r="AL54" s="22">
        <f t="shared" si="4"/>
        <v>1.978932943548152E-12</v>
      </c>
      <c r="AM54" s="62">
        <f t="shared" si="5"/>
        <v>293.3333333333353</v>
      </c>
      <c r="AN54" s="62">
        <f ca="1">AVERAGE(OFFSET($AM$3,0,0,'Données projet'!$E$10+1,1))-AVERAGE(OFFSET($H$3,0,0,'Données projet'!$E$10+1,1))</f>
        <v>147.72913422715322</v>
      </c>
      <c r="AO54" s="62">
        <f t="shared" si="36"/>
        <v>361.07991692964799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35.178350940907137</v>
      </c>
      <c r="AV54" s="23">
        <f>EXP(-LN(2)/25)*AV53+(1-EXP(-LN(2)/25))/(LN(2)/25)*Calculateur!AQ54*Calculateur!AS54*VLOOKUP('Données projet'!$B$10,Paramètres!$A$1:$I$89,3,0)*0.475*44/12</f>
        <v>24.551722708487375</v>
      </c>
      <c r="AW54" s="23">
        <f>EXP(-LN(2)/2)*AW53+(1-EXP(-LN(2)/2))/(LN(2)/2)*AQ54*AT54*VLOOKUP('Données projet'!$B$10,Paramètres!$A$1:$I$89,3,0)*0.475*44/12</f>
        <v>3.0084759012165705E-2</v>
      </c>
      <c r="AX54" s="23">
        <f t="shared" si="6"/>
        <v>59.760158408406681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6.8</v>
      </c>
      <c r="BD54" s="13">
        <f>IF('Données projet'!$A$88&gt;35,BD53+BC54-BL53,IF(A54&lt;'Données projet'!$A$88,$BA$205^A54,IF(A54='Données projet'!$A$88,'Données projet'!$B$88,BD53+BC54-BL53)))</f>
        <v>187.79999999999998</v>
      </c>
      <c r="BE54" s="14">
        <f>BD54*VLOOKUP('Données projet'!$B$11,Paramètres!$A$1:$I$89,3,0)*VLOOKUP('Données projet'!$B$11,Paramètres!$A$1:$I$89,5,0)</f>
        <v>164.06208000000001</v>
      </c>
      <c r="BF54" s="14">
        <f t="shared" si="37"/>
        <v>41.75738773013461</v>
      </c>
      <c r="BG54" s="22">
        <f t="shared" si="7"/>
        <v>358.46890629665108</v>
      </c>
      <c r="BH54" s="62">
        <f t="shared" si="8"/>
        <v>651.80223962998434</v>
      </c>
      <c r="BI54" s="62">
        <f ca="1">AVERAGE(OFFSET($BH$3,0,0,'Données projet'!$E$11+1,1))-AVERAGE(OFFSET($H$3,0,0,'Données projet'!$E$11+1,1))</f>
        <v>236.12531905695994</v>
      </c>
      <c r="BJ54" s="62">
        <f t="shared" si="38"/>
        <v>270.64539221029258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2">
        <f t="shared" si="32"/>
        <v>9.6051861390214377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70">
        <f t="shared" si="1"/>
        <v>364.22123252546226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0</v>
      </c>
      <c r="O55" s="14">
        <f>N55*VLOOKUP('Données projet'!$B$9,Paramètres!$A$1:$I$89,3,0)*VLOOKUP('Données projet'!$B$9,Paramètres!$A$1:$I$89,5,0)</f>
        <v>0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151.58413719376074</v>
      </c>
      <c r="T55" s="62">
        <f t="shared" si="34"/>
        <v>310.105543138185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63.907001266716428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0.12987546093313196</v>
      </c>
      <c r="AC55" s="24">
        <f t="shared" si="3"/>
        <v>64.036876727649556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1.1368683772161603E-13</v>
      </c>
      <c r="AJ55" s="14">
        <f>AI55*VLOOKUP('Données projet'!$B$10,Paramètres!$A$1:$I$89,3,0)*VLOOKUP('Données projet'!$B$10,Paramètres!$A$1:$I$89,5,0)</f>
        <v>6.7984728957526396E-14</v>
      </c>
      <c r="AK55" s="14">
        <f t="shared" si="35"/>
        <v>1.0682447123141398E-12</v>
      </c>
      <c r="AL55" s="22">
        <f t="shared" si="4"/>
        <v>1.978932943548152E-12</v>
      </c>
      <c r="AM55" s="62">
        <f t="shared" si="5"/>
        <v>293.3333333333353</v>
      </c>
      <c r="AN55" s="62">
        <f ca="1">AVERAGE(OFFSET($AM$3,0,0,'Données projet'!$E$10+1,1))-AVERAGE(OFFSET($H$3,0,0,'Données projet'!$E$10+1,1))</f>
        <v>147.72913422715322</v>
      </c>
      <c r="AO55" s="62">
        <f t="shared" si="36"/>
        <v>361.07991692964799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34.488524935631354</v>
      </c>
      <c r="AV55" s="23">
        <f>EXP(-LN(2)/25)*AV54+(1-EXP(-LN(2)/25))/(LN(2)/25)*Calculateur!AQ55*Calculateur!AS55*VLOOKUP('Données projet'!$B$10,Paramètres!$A$1:$I$89,3,0)*0.475*44/12</f>
        <v>23.880354559904806</v>
      </c>
      <c r="AW55" s="23">
        <f>EXP(-LN(2)/2)*AW54+(1-EXP(-LN(2)/2))/(LN(2)/2)*AQ55*AT55*VLOOKUP('Données projet'!$B$10,Paramètres!$A$1:$I$89,3,0)*0.475*44/12</f>
        <v>2.1273137107865471E-2</v>
      </c>
      <c r="AX55" s="23">
        <f t="shared" si="6"/>
        <v>58.390152632644032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6.8</v>
      </c>
      <c r="BD55" s="13">
        <f>IF('Données projet'!$A$88&gt;35,BD54+BC55-BL54,IF(A55&lt;'Données projet'!$A$88,$BA$205^A55,IF(A55='Données projet'!$A$88,'Données projet'!$B$88,BD54+BC55-BL54)))</f>
        <v>194.6</v>
      </c>
      <c r="BE55" s="14">
        <f>BD55*VLOOKUP('Données projet'!$B$11,Paramètres!$A$1:$I$89,3,0)*VLOOKUP('Données projet'!$B$11,Paramètres!$A$1:$I$89,5,0)</f>
        <v>170.00256000000002</v>
      </c>
      <c r="BF55" s="14">
        <f t="shared" si="37"/>
        <v>43.090596939649579</v>
      </c>
      <c r="BG55" s="22">
        <f t="shared" si="7"/>
        <v>371.1372483365563</v>
      </c>
      <c r="BH55" s="62">
        <f t="shared" si="8"/>
        <v>664.47058166988961</v>
      </c>
      <c r="BI55" s="62">
        <f ca="1">AVERAGE(OFFSET($BH$3,0,0,'Données projet'!$E$11+1,1))-AVERAGE(OFFSET($H$3,0,0,'Données projet'!$E$11+1,1))</f>
        <v>236.12531905695994</v>
      </c>
      <c r="BJ55" s="62">
        <f t="shared" si="38"/>
        <v>270.64539221029258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2">
        <f t="shared" si="32"/>
        <v>9.768219037044215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70">
        <f t="shared" si="1"/>
        <v>365.54669815618524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0</v>
      </c>
      <c r="O56" s="14">
        <f>N56*VLOOKUP('Données projet'!$B$9,Paramètres!$A$1:$I$89,3,0)*VLOOKUP('Données projet'!$B$9,Paramètres!$A$1:$I$89,5,0)</f>
        <v>0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151.58413719376074</v>
      </c>
      <c r="T56" s="62">
        <f t="shared" si="34"/>
        <v>310.105543138185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62.653823951297994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9.1835819135546143E-2</v>
      </c>
      <c r="AC56" s="24">
        <f t="shared" si="3"/>
        <v>62.745659770433541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1.1368683772161603E-13</v>
      </c>
      <c r="AJ56" s="14">
        <f>AI56*VLOOKUP('Données projet'!$B$10,Paramètres!$A$1:$I$89,3,0)*VLOOKUP('Données projet'!$B$10,Paramètres!$A$1:$I$89,5,0)</f>
        <v>6.7984728957526396E-14</v>
      </c>
      <c r="AK56" s="14">
        <f t="shared" si="35"/>
        <v>1.0682447123141398E-12</v>
      </c>
      <c r="AL56" s="22">
        <f t="shared" si="4"/>
        <v>1.978932943548152E-12</v>
      </c>
      <c r="AM56" s="62">
        <f t="shared" si="5"/>
        <v>293.3333333333353</v>
      </c>
      <c r="AN56" s="62">
        <f ca="1">AVERAGE(OFFSET($AM$3,0,0,'Données projet'!$E$10+1,1))-AVERAGE(OFFSET($H$3,0,0,'Données projet'!$E$10+1,1))</f>
        <v>147.72913422715322</v>
      </c>
      <c r="AO56" s="62">
        <f t="shared" si="36"/>
        <v>361.07991692964799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33.812225997566706</v>
      </c>
      <c r="AV56" s="23">
        <f>EXP(-LN(2)/25)*AV55+(1-EXP(-LN(2)/25))/(LN(2)/25)*Calculateur!AQ56*Calculateur!AS56*VLOOKUP('Données projet'!$B$10,Paramètres!$A$1:$I$89,3,0)*0.475*44/12</f>
        <v>23.227345008650943</v>
      </c>
      <c r="AW56" s="23">
        <f>EXP(-LN(2)/2)*AW55+(1-EXP(-LN(2)/2))/(LN(2)/2)*AQ56*AT56*VLOOKUP('Données projet'!$B$10,Paramètres!$A$1:$I$89,3,0)*0.475*44/12</f>
        <v>1.5042379506082854E-2</v>
      </c>
      <c r="AX56" s="23">
        <f t="shared" si="6"/>
        <v>57.054613385723734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6.8</v>
      </c>
      <c r="BD56" s="13">
        <f>IF('Données projet'!$A$88&gt;35,BD55+BC56-BL55,IF(A56&lt;'Données projet'!$A$88,$BA$205^A56,IF(A56='Données projet'!$A$88,'Données projet'!$B$88,BD55+BC56-BL55)))</f>
        <v>201.4</v>
      </c>
      <c r="BE56" s="14">
        <f>BD56*VLOOKUP('Données projet'!$B$11,Paramètres!$A$1:$I$89,3,0)*VLOOKUP('Données projet'!$B$11,Paramètres!$A$1:$I$89,5,0)</f>
        <v>175.94304000000002</v>
      </c>
      <c r="BF56" s="14">
        <f t="shared" si="37"/>
        <v>44.418393276556458</v>
      </c>
      <c r="BG56" s="22">
        <f t="shared" si="7"/>
        <v>383.79616295666915</v>
      </c>
      <c r="BH56" s="62">
        <f t="shared" si="8"/>
        <v>677.12949629000241</v>
      </c>
      <c r="BI56" s="62">
        <f ca="1">AVERAGE(OFFSET($BH$3,0,0,'Données projet'!$E$11+1,1))-AVERAGE(OFFSET($H$3,0,0,'Données projet'!$E$11+1,1))</f>
        <v>236.12531905695994</v>
      </c>
      <c r="BJ56" s="62">
        <f t="shared" si="38"/>
        <v>270.64539221029258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2">
        <f t="shared" si="32"/>
        <v>9.9308942483743348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70">
        <f t="shared" si="1"/>
        <v>366.87154081591859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0</v>
      </c>
      <c r="O57" s="14">
        <f>N57*VLOOKUP('Données projet'!$B$9,Paramètres!$A$1:$I$89,3,0)*VLOOKUP('Données projet'!$B$9,Paramètres!$A$1:$I$89,5,0)</f>
        <v>0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151.58413719376074</v>
      </c>
      <c r="T57" s="62">
        <f t="shared" si="34"/>
        <v>310.105543138185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61.425220678672225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6.4937730466565979E-2</v>
      </c>
      <c r="AC57" s="24">
        <f t="shared" si="3"/>
        <v>61.490158409138793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1.1368683772161603E-13</v>
      </c>
      <c r="AJ57" s="14">
        <f>AI57*VLOOKUP('Données projet'!$B$10,Paramètres!$A$1:$I$89,3,0)*VLOOKUP('Données projet'!$B$10,Paramètres!$A$1:$I$89,5,0)</f>
        <v>6.7984728957526396E-14</v>
      </c>
      <c r="AK57" s="14">
        <f t="shared" si="35"/>
        <v>1.0682447123141398E-12</v>
      </c>
      <c r="AL57" s="22">
        <f t="shared" si="4"/>
        <v>1.978932943548152E-12</v>
      </c>
      <c r="AM57" s="62">
        <f t="shared" si="5"/>
        <v>293.3333333333353</v>
      </c>
      <c r="AN57" s="62">
        <f ca="1">AVERAGE(OFFSET($AM$3,0,0,'Données projet'!$E$10+1,1))-AVERAGE(OFFSET($H$3,0,0,'Données projet'!$E$10+1,1))</f>
        <v>147.72913422715322</v>
      </c>
      <c r="AO57" s="62">
        <f t="shared" si="36"/>
        <v>361.07991692964799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33.149188869175887</v>
      </c>
      <c r="AV57" s="23">
        <f>EXP(-LN(2)/25)*AV56+(1-EXP(-LN(2)/25))/(LN(2)/25)*Calculateur!AQ57*Calculateur!AS57*VLOOKUP('Données projet'!$B$10,Paramètres!$A$1:$I$89,3,0)*0.475*44/12</f>
        <v>22.592192037916394</v>
      </c>
      <c r="AW57" s="23">
        <f>EXP(-LN(2)/2)*AW56+(1-EXP(-LN(2)/2))/(LN(2)/2)*AQ57*AT57*VLOOKUP('Données projet'!$B$10,Paramètres!$A$1:$I$89,3,0)*0.475*44/12</f>
        <v>1.0636568553932737E-2</v>
      </c>
      <c r="AX57" s="23">
        <f t="shared" si="6"/>
        <v>55.752017475646213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6.8</v>
      </c>
      <c r="BD57" s="13">
        <f>IF('Données projet'!$A$88&gt;35,BD56+BC57-BL56,IF(A57&lt;'Données projet'!$A$88,$BA$205^A57,IF(A57='Données projet'!$A$88,'Données projet'!$B$88,BD56+BC57-BL56)))</f>
        <v>208.20000000000002</v>
      </c>
      <c r="BE57" s="14">
        <f>BD57*VLOOKUP('Données projet'!$B$11,Paramètres!$A$1:$I$89,3,0)*VLOOKUP('Données projet'!$B$11,Paramètres!$A$1:$I$89,5,0)</f>
        <v>181.88352000000006</v>
      </c>
      <c r="BF57" s="14">
        <f t="shared" si="37"/>
        <v>45.74098045051349</v>
      </c>
      <c r="BG57" s="22">
        <f t="shared" si="7"/>
        <v>396.44600495131112</v>
      </c>
      <c r="BH57" s="62">
        <f t="shared" si="8"/>
        <v>689.77933828464438</v>
      </c>
      <c r="BI57" s="62">
        <f ca="1">AVERAGE(OFFSET($BH$3,0,0,'Données projet'!$E$11+1,1))-AVERAGE(OFFSET($H$3,0,0,'Données projet'!$E$11+1,1))</f>
        <v>236.12531905695994</v>
      </c>
      <c r="BJ57" s="62">
        <f t="shared" si="38"/>
        <v>270.64539221029258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2">
        <f t="shared" si="32"/>
        <v>10.093219160740317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70">
        <f t="shared" si="1"/>
        <v>368.19577337162264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>
        <f>N58*VLOOKUP('Données projet'!$B$9,Paramètres!$A$1:$I$89,3,0)*VLOOKUP('Données projet'!$B$9,Paramètres!$A$1:$I$89,5,0)</f>
        <v>0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151.58413719376074</v>
      </c>
      <c r="T58" s="62">
        <f t="shared" si="34"/>
        <v>310.105543138185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60.220709566848647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4.5917909567773071E-2</v>
      </c>
      <c r="AC58" s="24">
        <f t="shared" si="3"/>
        <v>60.266627476416417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1.1368683772161603E-13</v>
      </c>
      <c r="AJ58" s="14">
        <f>AI58*VLOOKUP('Données projet'!$B$10,Paramètres!$A$1:$I$89,3,0)*VLOOKUP('Données projet'!$B$10,Paramètres!$A$1:$I$89,5,0)</f>
        <v>6.7984728957526396E-14</v>
      </c>
      <c r="AK58" s="14">
        <f t="shared" si="35"/>
        <v>1.0682447123141398E-12</v>
      </c>
      <c r="AL58" s="22">
        <f t="shared" si="4"/>
        <v>1.978932943548152E-12</v>
      </c>
      <c r="AM58" s="62">
        <f t="shared" si="5"/>
        <v>293.3333333333353</v>
      </c>
      <c r="AN58" s="62">
        <f ca="1">AVERAGE(OFFSET($AM$3,0,0,'Données projet'!$E$10+1,1))-AVERAGE(OFFSET($H$3,0,0,'Données projet'!$E$10+1,1))</f>
        <v>147.72913422715322</v>
      </c>
      <c r="AO58" s="62">
        <f t="shared" si="36"/>
        <v>361.07991692964799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32.499153494460096</v>
      </c>
      <c r="AV58" s="23">
        <f>EXP(-LN(2)/25)*AV57+(1-EXP(-LN(2)/25))/(LN(2)/25)*Calculateur!AQ58*Calculateur!AS58*VLOOKUP('Données projet'!$B$10,Paramètres!$A$1:$I$89,3,0)*0.475*44/12</f>
        <v>21.974407358567827</v>
      </c>
      <c r="AW58" s="23">
        <f>EXP(-LN(2)/2)*AW57+(1-EXP(-LN(2)/2))/(LN(2)/2)*AQ58*AT58*VLOOKUP('Données projet'!$B$10,Paramètres!$A$1:$I$89,3,0)*0.475*44/12</f>
        <v>7.5211897530414289E-3</v>
      </c>
      <c r="AX58" s="23">
        <f t="shared" si="6"/>
        <v>54.481082042780962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215</v>
      </c>
      <c r="BB58" s="13">
        <f>VLOOKUP(A58,'Données projet'!$A$87:$I$107,9,0)</f>
        <v>6.8</v>
      </c>
      <c r="BC58" s="13">
        <f t="array" ref="BC58">INDEX(BB:BB,MIN(IF(ISNUMBER(BB58:BB254),ROW(BB58:BB254),"")))</f>
        <v>6.8</v>
      </c>
      <c r="BD58" s="13">
        <f>IF('Données projet'!$A$88&gt;35,BD57+BC58-BL57,IF(A58&lt;'Données projet'!$A$88,$BA$205^A58,IF(A58='Données projet'!$A$88,'Données projet'!$B$88,BD57+BC58-BL57)))</f>
        <v>215.00000000000003</v>
      </c>
      <c r="BE58" s="14">
        <f>BD58*VLOOKUP('Données projet'!$B$11,Paramètres!$A$1:$I$89,3,0)*VLOOKUP('Données projet'!$B$11,Paramètres!$A$1:$I$89,5,0)</f>
        <v>187.82400000000007</v>
      </c>
      <c r="BF58" s="14">
        <f t="shared" si="37"/>
        <v>47.05854810918273</v>
      </c>
      <c r="BG58" s="22">
        <f t="shared" si="7"/>
        <v>409.08710462349336</v>
      </c>
      <c r="BH58" s="62">
        <f t="shared" si="8"/>
        <v>702.42043795682662</v>
      </c>
      <c r="BI58" s="62">
        <f ca="1">AVERAGE(OFFSET($BH$3,0,0,'Données projet'!$E$11+1,1))-AVERAGE(OFFSET($H$3,0,0,'Données projet'!$E$11+1,1))</f>
        <v>236.12531905695994</v>
      </c>
      <c r="BJ58" s="62">
        <f t="shared" si="38"/>
        <v>270.64539221029258</v>
      </c>
      <c r="BK58" s="16">
        <f>IF(ISNA(VLOOKUP(A58,'Données projet'!$A$87:$I$107,3,0)),0,VLOOKUP(A58,'Données projet'!$A$87:$I$107,3,0))</f>
        <v>8</v>
      </c>
      <c r="BL58" s="16">
        <f>IF(ISNA(VLOOKUP(A58,'Données projet'!$A$87:$I$107,4,0)),0,VLOOKUP(A58,'Données projet'!$A$87:$I$107,4,0))</f>
        <v>25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2">
        <f t="shared" si="32"/>
        <v>10.255200877844658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70">
        <f t="shared" si="1"/>
        <v>369.51940819557939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151.58413719376074</v>
      </c>
      <c r="T59" s="62">
        <f t="shared" si="34"/>
        <v>310.105543138185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59.039818183248698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3.246886523328299E-2</v>
      </c>
      <c r="AC59" s="24">
        <f t="shared" si="3"/>
        <v>59.072287048481982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1.1368683772161603E-13</v>
      </c>
      <c r="AJ59" s="14">
        <f>AI59*VLOOKUP('Données projet'!$B$10,Paramètres!$A$1:$I$89,3,0)*VLOOKUP('Données projet'!$B$10,Paramètres!$A$1:$I$89,5,0)</f>
        <v>6.7984728957526396E-14</v>
      </c>
      <c r="AK59" s="14">
        <f t="shared" si="35"/>
        <v>1.0682447123141398E-12</v>
      </c>
      <c r="AL59" s="22">
        <f t="shared" si="4"/>
        <v>1.978932943548152E-12</v>
      </c>
      <c r="AM59" s="62">
        <f t="shared" si="5"/>
        <v>293.3333333333353</v>
      </c>
      <c r="AN59" s="62">
        <f ca="1">AVERAGE(OFFSET($AM$3,0,0,'Données projet'!$E$10+1,1))-AVERAGE(OFFSET($H$3,0,0,'Données projet'!$E$10+1,1))</f>
        <v>147.72913422715322</v>
      </c>
      <c r="AO59" s="62">
        <f t="shared" si="36"/>
        <v>361.07991692964799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31.861864916960052</v>
      </c>
      <c r="AV59" s="23">
        <f>EXP(-LN(2)/25)*AV58+(1-EXP(-LN(2)/25))/(LN(2)/25)*Calculateur!AQ59*Calculateur!AS59*VLOOKUP('Données projet'!$B$10,Paramètres!$A$1:$I$89,3,0)*0.475*44/12</f>
        <v>21.373516033763931</v>
      </c>
      <c r="AW59" s="23">
        <f>EXP(-LN(2)/2)*AW58+(1-EXP(-LN(2)/2))/(LN(2)/2)*AQ59*AT59*VLOOKUP('Données projet'!$B$10,Paramètres!$A$1:$I$89,3,0)*0.475*44/12</f>
        <v>5.3182842769663695E-3</v>
      </c>
      <c r="AX59" s="23">
        <f t="shared" si="6"/>
        <v>53.240699235000946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6</v>
      </c>
      <c r="BD59" s="13">
        <f>IF('Données projet'!$A$88&gt;35,BD58+BC59-BL58,IF(A59&lt;'Données projet'!$A$88,$BA$205^A59,IF(A59='Données projet'!$A$88,'Données projet'!$B$88,BD58+BC59-BL58)))</f>
        <v>196.00000000000003</v>
      </c>
      <c r="BE59" s="14">
        <f>BD59*VLOOKUP('Données projet'!$B$11,Paramètres!$A$1:$I$89,3,0)*VLOOKUP('Données projet'!$B$11,Paramètres!$A$1:$I$89,5,0)</f>
        <v>171.22560000000004</v>
      </c>
      <c r="BF59" s="14">
        <f t="shared" si="37"/>
        <v>43.364402348589557</v>
      </c>
      <c r="BG59" s="22">
        <f t="shared" si="7"/>
        <v>373.74425409046017</v>
      </c>
      <c r="BH59" s="62">
        <f t="shared" si="8"/>
        <v>667.07758742379349</v>
      </c>
      <c r="BI59" s="62">
        <f ca="1">AVERAGE(OFFSET($BH$3,0,0,'Données projet'!$E$11+1,1))-AVERAGE(OFFSET($H$3,0,0,'Données projet'!$E$11+1,1))</f>
        <v>236.12531905695994</v>
      </c>
      <c r="BJ59" s="62">
        <f t="shared" si="38"/>
        <v>270.64539221029258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2">
        <f t="shared" si="32"/>
        <v>10.41684623515679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70">
        <f t="shared" si="1"/>
        <v>370.842457192898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151.58413719376074</v>
      </c>
      <c r="T60" s="62">
        <f t="shared" si="34"/>
        <v>310.105543138185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57.882083359408519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2.2958954783886536E-2</v>
      </c>
      <c r="AC60" s="24">
        <f t="shared" si="3"/>
        <v>57.905042314192407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1.1368683772161603E-13</v>
      </c>
      <c r="AJ60" s="14">
        <f>AI60*VLOOKUP('Données projet'!$B$10,Paramètres!$A$1:$I$89,3,0)*VLOOKUP('Données projet'!$B$10,Paramètres!$A$1:$I$89,5,0)</f>
        <v>6.7984728957526396E-14</v>
      </c>
      <c r="AK60" s="14">
        <f t="shared" si="35"/>
        <v>1.0682447123141398E-12</v>
      </c>
      <c r="AL60" s="22">
        <f t="shared" si="4"/>
        <v>1.978932943548152E-12</v>
      </c>
      <c r="AM60" s="62">
        <f t="shared" si="5"/>
        <v>293.3333333333353</v>
      </c>
      <c r="AN60" s="62">
        <f ca="1">AVERAGE(OFFSET($AM$3,0,0,'Données projet'!$E$10+1,1))-AVERAGE(OFFSET($H$3,0,0,'Données projet'!$E$10+1,1))</f>
        <v>147.72913422715322</v>
      </c>
      <c r="AO60" s="62">
        <f t="shared" si="36"/>
        <v>361.07991692964799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31.237073179757132</v>
      </c>
      <c r="AV60" s="23">
        <f>EXP(-LN(2)/25)*AV59+(1-EXP(-LN(2)/25))/(LN(2)/25)*Calculateur!AQ60*Calculateur!AS60*VLOOKUP('Données projet'!$B$10,Paramètres!$A$1:$I$89,3,0)*0.475*44/12</f>
        <v>20.789056113836299</v>
      </c>
      <c r="AW60" s="23">
        <f>EXP(-LN(2)/2)*AW59+(1-EXP(-LN(2)/2))/(LN(2)/2)*AQ60*AT60*VLOOKUP('Données projet'!$B$10,Paramètres!$A$1:$I$89,3,0)*0.475*44/12</f>
        <v>3.7605948765207149E-3</v>
      </c>
      <c r="AX60" s="23">
        <f t="shared" si="6"/>
        <v>52.029889888469945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6</v>
      </c>
      <c r="BD60" s="13">
        <f>IF('Données projet'!$A$88&gt;35,BD59+BC60-BL59,IF(A60&lt;'Données projet'!$A$88,$BA$205^A60,IF(A60='Données projet'!$A$88,'Données projet'!$B$88,BD59+BC60-BL59)))</f>
        <v>202.00000000000003</v>
      </c>
      <c r="BE60" s="14">
        <f>BD60*VLOOKUP('Données projet'!$B$11,Paramètres!$A$1:$I$89,3,0)*VLOOKUP('Données projet'!$B$11,Paramètres!$A$1:$I$89,5,0)</f>
        <v>176.46720000000005</v>
      </c>
      <c r="BF60" s="14">
        <f t="shared" si="37"/>
        <v>44.535298821989393</v>
      </c>
      <c r="BG60" s="22">
        <f t="shared" si="7"/>
        <v>384.91268544829819</v>
      </c>
      <c r="BH60" s="62">
        <f t="shared" si="8"/>
        <v>678.24601878163151</v>
      </c>
      <c r="BI60" s="62">
        <f ca="1">AVERAGE(OFFSET($BH$3,0,0,'Données projet'!$E$11+1,1))-AVERAGE(OFFSET($H$3,0,0,'Données projet'!$E$11+1,1))</f>
        <v>236.12531905695994</v>
      </c>
      <c r="BJ60" s="62">
        <f t="shared" si="38"/>
        <v>270.64539221029258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2">
        <f t="shared" si="32"/>
        <v>10.578161814566396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70">
        <f t="shared" si="1"/>
        <v>372.16493182703641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151.58413719376074</v>
      </c>
      <c r="T61" s="62">
        <f t="shared" si="34"/>
        <v>310.105543138185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56.747051009315328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1.6234432616641495E-2</v>
      </c>
      <c r="AC61" s="24">
        <f t="shared" si="3"/>
        <v>56.76328544193197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1.1368683772161603E-13</v>
      </c>
      <c r="AJ61" s="14">
        <f>AI61*VLOOKUP('Données projet'!$B$10,Paramètres!$A$1:$I$89,3,0)*VLOOKUP('Données projet'!$B$10,Paramètres!$A$1:$I$89,5,0)</f>
        <v>6.7984728957526396E-14</v>
      </c>
      <c r="AK61" s="14">
        <f t="shared" si="35"/>
        <v>1.0682447123141398E-12</v>
      </c>
      <c r="AL61" s="22">
        <f t="shared" si="4"/>
        <v>1.978932943548152E-12</v>
      </c>
      <c r="AM61" s="62">
        <f t="shared" si="5"/>
        <v>293.3333333333353</v>
      </c>
      <c r="AN61" s="62">
        <f ca="1">AVERAGE(OFFSET($AM$3,0,0,'Données projet'!$E$10+1,1))-AVERAGE(OFFSET($H$3,0,0,'Données projet'!$E$10+1,1))</f>
        <v>147.72913422715322</v>
      </c>
      <c r="AO61" s="62">
        <f t="shared" si="36"/>
        <v>361.07991692964799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30.624533227435432</v>
      </c>
      <c r="AV61" s="23">
        <f>EXP(-LN(2)/25)*AV60+(1-EXP(-LN(2)/25))/(LN(2)/25)*Calculateur!AQ61*Calculateur!AS61*VLOOKUP('Données projet'!$B$10,Paramètres!$A$1:$I$89,3,0)*0.475*44/12</f>
        <v>20.220578281154499</v>
      </c>
      <c r="AW61" s="23">
        <f>EXP(-LN(2)/2)*AW60+(1-EXP(-LN(2)/2))/(LN(2)/2)*AQ61*AT61*VLOOKUP('Données projet'!$B$10,Paramètres!$A$1:$I$89,3,0)*0.475*44/12</f>
        <v>2.6591421384831852E-3</v>
      </c>
      <c r="AX61" s="23">
        <f t="shared" si="6"/>
        <v>50.847770650728414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6</v>
      </c>
      <c r="BD61" s="13">
        <f>IF('Données projet'!$A$88&gt;35,BD60+BC61-BL60,IF(A61&lt;'Données projet'!$A$88,$BA$205^A61,IF(A61='Données projet'!$A$88,'Données projet'!$B$88,BD60+BC61-BL60)))</f>
        <v>208.00000000000003</v>
      </c>
      <c r="BE61" s="14">
        <f>BD61*VLOOKUP('Données projet'!$B$11,Paramètres!$A$1:$I$89,3,0)*VLOOKUP('Données projet'!$B$11,Paramètres!$A$1:$I$89,5,0)</f>
        <v>181.70880000000005</v>
      </c>
      <c r="BF61" s="14">
        <f t="shared" si="37"/>
        <v>45.702153370067812</v>
      </c>
      <c r="BG61" s="22">
        <f t="shared" si="7"/>
        <v>396.07407711953482</v>
      </c>
      <c r="BH61" s="62">
        <f t="shared" si="8"/>
        <v>689.40741045286813</v>
      </c>
      <c r="BI61" s="62">
        <f ca="1">AVERAGE(OFFSET($BH$3,0,0,'Données projet'!$E$11+1,1))-AVERAGE(OFFSET($H$3,0,0,'Données projet'!$E$11+1,1))</f>
        <v>236.12531905695994</v>
      </c>
      <c r="BJ61" s="62">
        <f t="shared" si="38"/>
        <v>270.64539221029258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2">
        <f t="shared" si="32"/>
        <v>10.739153957997569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70">
        <f t="shared" si="1"/>
        <v>373.48684314351237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151.58413719376074</v>
      </c>
      <c r="T62" s="62">
        <f t="shared" si="34"/>
        <v>310.105543138185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55.634275951306094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1.1479477391943268E-2</v>
      </c>
      <c r="AC62" s="24">
        <f t="shared" si="3"/>
        <v>55.645755428698038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1.1368683772161603E-13</v>
      </c>
      <c r="AJ62" s="14">
        <f>AI62*VLOOKUP('Données projet'!$B$10,Paramètres!$A$1:$I$89,3,0)*VLOOKUP('Données projet'!$B$10,Paramètres!$A$1:$I$89,5,0)</f>
        <v>6.7984728957526396E-14</v>
      </c>
      <c r="AK62" s="14">
        <f t="shared" si="35"/>
        <v>1.0682447123141398E-12</v>
      </c>
      <c r="AL62" s="22">
        <f t="shared" si="4"/>
        <v>1.978932943548152E-12</v>
      </c>
      <c r="AM62" s="62">
        <f t="shared" si="5"/>
        <v>293.3333333333353</v>
      </c>
      <c r="AN62" s="62">
        <f ca="1">AVERAGE(OFFSET($AM$3,0,0,'Données projet'!$E$10+1,1))-AVERAGE(OFFSET($H$3,0,0,'Données projet'!$E$10+1,1))</f>
        <v>147.72913422715322</v>
      </c>
      <c r="AO62" s="62">
        <f t="shared" si="36"/>
        <v>361.07991692964799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30.024004809966282</v>
      </c>
      <c r="AV62" s="23">
        <f>EXP(-LN(2)/25)*AV61+(1-EXP(-LN(2)/25))/(LN(2)/25)*Calculateur!AQ62*Calculateur!AS62*VLOOKUP('Données projet'!$B$10,Paramètres!$A$1:$I$89,3,0)*0.475*44/12</f>
        <v>19.667645504702332</v>
      </c>
      <c r="AW62" s="23">
        <f>EXP(-LN(2)/2)*AW61+(1-EXP(-LN(2)/2))/(LN(2)/2)*AQ62*AT62*VLOOKUP('Données projet'!$B$10,Paramètres!$A$1:$I$89,3,0)*0.475*44/12</f>
        <v>1.8802974382603579E-3</v>
      </c>
      <c r="AX62" s="23">
        <f t="shared" si="6"/>
        <v>49.693530612106876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6</v>
      </c>
      <c r="BD62" s="13">
        <f>IF('Données projet'!$A$88&gt;35,BD61+BC62-BL61,IF(A62&lt;'Données projet'!$A$88,$BA$205^A62,IF(A62='Données projet'!$A$88,'Données projet'!$B$88,BD61+BC62-BL61)))</f>
        <v>214.00000000000003</v>
      </c>
      <c r="BE62" s="14">
        <f>BD62*VLOOKUP('Données projet'!$B$11,Paramètres!$A$1:$I$89,3,0)*VLOOKUP('Données projet'!$B$11,Paramètres!$A$1:$I$89,5,0)</f>
        <v>186.95040000000006</v>
      </c>
      <c r="BF62" s="14">
        <f t="shared" si="37"/>
        <v>46.865095976617653</v>
      </c>
      <c r="BG62" s="22">
        <f t="shared" si="7"/>
        <v>407.22865549260922</v>
      </c>
      <c r="BH62" s="62">
        <f t="shared" si="8"/>
        <v>700.56198882594254</v>
      </c>
      <c r="BI62" s="62">
        <f ca="1">AVERAGE(OFFSET($BH$3,0,0,'Données projet'!$E$11+1,1))-AVERAGE(OFFSET($H$3,0,0,'Données projet'!$E$11+1,1))</f>
        <v>236.12531905695994</v>
      </c>
      <c r="BJ62" s="62">
        <f t="shared" si="38"/>
        <v>270.64539221029258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2">
        <f t="shared" si="32"/>
        <v>10.89982878007377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70">
        <f t="shared" si="1"/>
        <v>374.80820179196172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151.58413719376074</v>
      </c>
      <c r="T63" s="62">
        <f t="shared" si="34"/>
        <v>310.105543138185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54.543321733458654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8.1172163083207474E-3</v>
      </c>
      <c r="AC63" s="24">
        <f t="shared" si="3"/>
        <v>54.551438949766975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1.1368683772161603E-13</v>
      </c>
      <c r="AJ63" s="14">
        <f>AI63*VLOOKUP('Données projet'!$B$10,Paramètres!$A$1:$I$89,3,0)*VLOOKUP('Données projet'!$B$10,Paramètres!$A$1:$I$89,5,0)</f>
        <v>6.7984728957526396E-14</v>
      </c>
      <c r="AK63" s="14">
        <f t="shared" si="35"/>
        <v>1.0682447123141398E-12</v>
      </c>
      <c r="AL63" s="22">
        <f t="shared" si="4"/>
        <v>1.978932943548152E-12</v>
      </c>
      <c r="AM63" s="62">
        <f t="shared" si="5"/>
        <v>293.3333333333353</v>
      </c>
      <c r="AN63" s="62">
        <f ca="1">AVERAGE(OFFSET($AM$3,0,0,'Données projet'!$E$10+1,1))-AVERAGE(OFFSET($H$3,0,0,'Données projet'!$E$10+1,1))</f>
        <v>147.72913422715322</v>
      </c>
      <c r="AO63" s="62">
        <f t="shared" si="36"/>
        <v>361.07991692964799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29.435252388477537</v>
      </c>
      <c r="AV63" s="23">
        <f>EXP(-LN(2)/25)*AV62+(1-EXP(-LN(2)/25))/(LN(2)/25)*Calculateur!AQ63*Calculateur!AS63*VLOOKUP('Données projet'!$B$10,Paramètres!$A$1:$I$89,3,0)*0.475*44/12</f>
        <v>19.129832704099719</v>
      </c>
      <c r="AW63" s="23">
        <f>EXP(-LN(2)/2)*AW62+(1-EXP(-LN(2)/2))/(LN(2)/2)*AQ63*AT63*VLOOKUP('Données projet'!$B$10,Paramètres!$A$1:$I$89,3,0)*0.475*44/12</f>
        <v>1.3295710692415928E-3</v>
      </c>
      <c r="AX63" s="23">
        <f t="shared" si="6"/>
        <v>48.566414663646498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220</v>
      </c>
      <c r="BB63" s="13">
        <f>VLOOKUP(A63,'Données projet'!$A$87:$I$107,9,0)</f>
        <v>6</v>
      </c>
      <c r="BC63" s="13">
        <f t="array" ref="BC63">INDEX(BB:BB,MIN(IF(ISNUMBER(BB63:BB259),ROW(BB63:BB259),"")))</f>
        <v>6</v>
      </c>
      <c r="BD63" s="13">
        <f>IF('Données projet'!$A$88&gt;35,BD62+BC63-BL62,IF(A63&lt;'Données projet'!$A$88,$BA$205^A63,IF(A63='Données projet'!$A$88,'Données projet'!$B$88,BD62+BC63-BL62)))</f>
        <v>220.00000000000003</v>
      </c>
      <c r="BE63" s="14">
        <f>BD63*VLOOKUP('Données projet'!$B$11,Paramètres!$A$1:$I$89,3,0)*VLOOKUP('Données projet'!$B$11,Paramètres!$A$1:$I$89,5,0)</f>
        <v>192.19200000000006</v>
      </c>
      <c r="BF63" s="14">
        <f t="shared" si="37"/>
        <v>48.02424892193244</v>
      </c>
      <c r="BG63" s="22">
        <f t="shared" si="7"/>
        <v>418.37663353903241</v>
      </c>
      <c r="BH63" s="62">
        <f t="shared" si="8"/>
        <v>711.70996687236573</v>
      </c>
      <c r="BI63" s="62">
        <f ca="1">AVERAGE(OFFSET($BH$3,0,0,'Données projet'!$E$11+1,1))-AVERAGE(OFFSET($H$3,0,0,'Données projet'!$E$11+1,1))</f>
        <v>236.12531905695994</v>
      </c>
      <c r="BJ63" s="62">
        <f t="shared" si="38"/>
        <v>270.64539221029258</v>
      </c>
      <c r="BK63" s="16">
        <f>IF(ISNA(VLOOKUP(A63,'Données projet'!$A$87:$I$107,3,0)),0,VLOOKUP(A63,'Données projet'!$A$87:$I$107,3,0))</f>
        <v>9</v>
      </c>
      <c r="BL63" s="16">
        <f>IF(ISNA(VLOOKUP(A63,'Données projet'!$A$87:$I$107,4,0)),0,VLOOKUP(A63,'Données projet'!$A$87:$I$107,4,0))</f>
        <v>22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2">
        <f t="shared" si="32"/>
        <v>11.060192179914555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70">
        <f t="shared" si="1"/>
        <v>376.12901804668445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151.58413719376074</v>
      </c>
      <c r="T64" s="62">
        <f t="shared" si="34"/>
        <v>310.105543138185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53.47376046240683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5.7397386959716339E-3</v>
      </c>
      <c r="AC64" s="24">
        <f t="shared" si="3"/>
        <v>53.479500201102802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1.1368683772161603E-13</v>
      </c>
      <c r="AJ64" s="14">
        <f>AI64*VLOOKUP('Données projet'!$B$10,Paramètres!$A$1:$I$89,3,0)*VLOOKUP('Données projet'!$B$10,Paramètres!$A$1:$I$89,5,0)</f>
        <v>6.7984728957526396E-14</v>
      </c>
      <c r="AK64" s="14">
        <f t="shared" si="35"/>
        <v>1.0682447123141398E-12</v>
      </c>
      <c r="AL64" s="22">
        <f t="shared" si="4"/>
        <v>1.978932943548152E-12</v>
      </c>
      <c r="AM64" s="62">
        <f t="shared" si="5"/>
        <v>293.3333333333353</v>
      </c>
      <c r="AN64" s="62">
        <f ca="1">AVERAGE(OFFSET($AM$3,0,0,'Données projet'!$E$10+1,1))-AVERAGE(OFFSET($H$3,0,0,'Données projet'!$E$10+1,1))</f>
        <v>147.72913422715322</v>
      </c>
      <c r="AO64" s="62">
        <f t="shared" si="36"/>
        <v>361.07991692964799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28.858045042870664</v>
      </c>
      <c r="AV64" s="23">
        <f>EXP(-LN(2)/25)*AV63+(1-EXP(-LN(2)/25))/(LN(2)/25)*Calculateur!AQ64*Calculateur!AS64*VLOOKUP('Données projet'!$B$10,Paramètres!$A$1:$I$89,3,0)*0.475*44/12</f>
        <v>18.606726422811931</v>
      </c>
      <c r="AW64" s="23">
        <f>EXP(-LN(2)/2)*AW63+(1-EXP(-LN(2)/2))/(LN(2)/2)*AQ64*AT64*VLOOKUP('Données projet'!$B$10,Paramètres!$A$1:$I$89,3,0)*0.475*44/12</f>
        <v>9.4014871913017904E-4</v>
      </c>
      <c r="AX64" s="23">
        <f t="shared" si="6"/>
        <v>47.465711614401727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5.2</v>
      </c>
      <c r="BD64" s="13">
        <f>IF('Données projet'!$A$88&gt;35,BD63+BC64-BL63,IF(A64&lt;'Données projet'!$A$88,$BA$205^A64,IF(A64='Données projet'!$A$88,'Données projet'!$B$88,BD63+BC64-BL63)))</f>
        <v>203.20000000000002</v>
      </c>
      <c r="BE64" s="14">
        <f>BD64*VLOOKUP('Données projet'!$B$11,Paramètres!$A$1:$I$89,3,0)*VLOOKUP('Données projet'!$B$11,Paramètres!$A$1:$I$89,5,0)</f>
        <v>177.51552000000004</v>
      </c>
      <c r="BF64" s="14">
        <f t="shared" si="37"/>
        <v>44.768988809542904</v>
      </c>
      <c r="BG64" s="22">
        <f t="shared" si="7"/>
        <v>387.145519509954</v>
      </c>
      <c r="BH64" s="62">
        <f t="shared" si="8"/>
        <v>680.47885284328731</v>
      </c>
      <c r="BI64" s="62">
        <f ca="1">AVERAGE(OFFSET($BH$3,0,0,'Données projet'!$E$11+1,1))-AVERAGE(OFFSET($H$3,0,0,'Données projet'!$E$11+1,1))</f>
        <v>236.12531905695994</v>
      </c>
      <c r="BJ64" s="62">
        <f t="shared" si="38"/>
        <v>270.64539221029258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2">
        <f t="shared" si="32"/>
        <v>11.220249852136822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70">
        <f t="shared" si="1"/>
        <v>377.44930182580492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151.58413719376074</v>
      </c>
      <c r="T65" s="62">
        <f t="shared" si="34"/>
        <v>310.105543138185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52.425172635512375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4.0586081541603737E-3</v>
      </c>
      <c r="AC65" s="24">
        <f t="shared" si="3"/>
        <v>52.429231243666536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1.1368683772161603E-13</v>
      </c>
      <c r="AJ65" s="14">
        <f>AI65*VLOOKUP('Données projet'!$B$10,Paramètres!$A$1:$I$89,3,0)*VLOOKUP('Données projet'!$B$10,Paramètres!$A$1:$I$89,5,0)</f>
        <v>6.7984728957526396E-14</v>
      </c>
      <c r="AK65" s="14">
        <f t="shared" si="35"/>
        <v>1.0682447123141398E-12</v>
      </c>
      <c r="AL65" s="22">
        <f t="shared" si="4"/>
        <v>1.978932943548152E-12</v>
      </c>
      <c r="AM65" s="62">
        <f t="shared" si="5"/>
        <v>293.3333333333353</v>
      </c>
      <c r="AN65" s="62">
        <f ca="1">AVERAGE(OFFSET($AM$3,0,0,'Données projet'!$E$10+1,1))-AVERAGE(OFFSET($H$3,0,0,'Données projet'!$E$10+1,1))</f>
        <v>147.72913422715322</v>
      </c>
      <c r="AO65" s="62">
        <f t="shared" si="36"/>
        <v>361.07991692964799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28.292156381249427</v>
      </c>
      <c r="AV65" s="23">
        <f>EXP(-LN(2)/25)*AV64+(1-EXP(-LN(2)/25))/(LN(2)/25)*Calculateur!AQ65*Calculateur!AS65*VLOOKUP('Données projet'!$B$10,Paramètres!$A$1:$I$89,3,0)*0.475*44/12</f>
        <v>18.097924510294924</v>
      </c>
      <c r="AW65" s="23">
        <f>EXP(-LN(2)/2)*AW64+(1-EXP(-LN(2)/2))/(LN(2)/2)*AQ65*AT65*VLOOKUP('Données projet'!$B$10,Paramètres!$A$1:$I$89,3,0)*0.475*44/12</f>
        <v>6.6478553462079651E-4</v>
      </c>
      <c r="AX65" s="23">
        <f t="shared" si="6"/>
        <v>46.390745677078968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5.2</v>
      </c>
      <c r="BD65" s="13">
        <f>IF('Données projet'!$A$88&gt;35,BD64+BC65-BL64,IF(A65&lt;'Données projet'!$A$88,$BA$205^A65,IF(A65='Données projet'!$A$88,'Données projet'!$B$88,BD64+BC65-BL64)))</f>
        <v>208.4</v>
      </c>
      <c r="BE65" s="14">
        <f>BD65*VLOOKUP('Données projet'!$B$11,Paramètres!$A$1:$I$89,3,0)*VLOOKUP('Données projet'!$B$11,Paramètres!$A$1:$I$89,5,0)</f>
        <v>182.05824000000001</v>
      </c>
      <c r="BF65" s="14">
        <f t="shared" si="37"/>
        <v>45.779803189729343</v>
      </c>
      <c r="BG65" s="22">
        <f t="shared" si="7"/>
        <v>396.81792522211191</v>
      </c>
      <c r="BH65" s="62">
        <f t="shared" si="8"/>
        <v>690.15125855544522</v>
      </c>
      <c r="BI65" s="62">
        <f ca="1">AVERAGE(OFFSET($BH$3,0,0,'Données projet'!$E$11+1,1))-AVERAGE(OFFSET($H$3,0,0,'Données projet'!$E$11+1,1))</f>
        <v>236.12531905695994</v>
      </c>
      <c r="BJ65" s="62">
        <f t="shared" si="38"/>
        <v>270.64539221029258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2">
        <f t="shared" si="32"/>
        <v>11.380007297126165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70">
        <f t="shared" si="1"/>
        <v>378.76906270916135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151.58413719376074</v>
      </c>
      <c r="T66" s="62">
        <f t="shared" si="34"/>
        <v>310.105543138185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51.397146976327896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2.869869347985817E-3</v>
      </c>
      <c r="AC66" s="24">
        <f t="shared" si="3"/>
        <v>51.400016845675879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1.1368683772161603E-13</v>
      </c>
      <c r="AJ66" s="14">
        <f>AI66*VLOOKUP('Données projet'!$B$10,Paramètres!$A$1:$I$89,3,0)*VLOOKUP('Données projet'!$B$10,Paramètres!$A$1:$I$89,5,0)</f>
        <v>6.7984728957526396E-14</v>
      </c>
      <c r="AK66" s="14">
        <f t="shared" si="35"/>
        <v>1.0682447123141398E-12</v>
      </c>
      <c r="AL66" s="22">
        <f t="shared" si="4"/>
        <v>1.978932943548152E-12</v>
      </c>
      <c r="AM66" s="62">
        <f t="shared" si="5"/>
        <v>293.3333333333353</v>
      </c>
      <c r="AN66" s="62">
        <f ca="1">AVERAGE(OFFSET($AM$3,0,0,'Données projet'!$E$10+1,1))-AVERAGE(OFFSET($H$3,0,0,'Données projet'!$E$10+1,1))</f>
        <v>147.72913422715322</v>
      </c>
      <c r="AO66" s="62">
        <f t="shared" si="36"/>
        <v>361.07991692964799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27.737364451124581</v>
      </c>
      <c r="AV66" s="23">
        <f>EXP(-LN(2)/25)*AV65+(1-EXP(-LN(2)/25))/(LN(2)/25)*Calculateur!AQ66*Calculateur!AS66*VLOOKUP('Données projet'!$B$10,Paramètres!$A$1:$I$89,3,0)*0.475*44/12</f>
        <v>17.603035812832424</v>
      </c>
      <c r="AW66" s="23">
        <f>EXP(-LN(2)/2)*AW65+(1-EXP(-LN(2)/2))/(LN(2)/2)*AQ66*AT66*VLOOKUP('Données projet'!$B$10,Paramètres!$A$1:$I$89,3,0)*0.475*44/12</f>
        <v>4.7007435956508963E-4</v>
      </c>
      <c r="AX66" s="23">
        <f t="shared" si="6"/>
        <v>45.34087033831657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5.2</v>
      </c>
      <c r="BD66" s="13">
        <f>IF('Données projet'!$A$88&gt;35,BD65+BC66-BL65,IF(A66&lt;'Données projet'!$A$88,$BA$205^A66,IF(A66='Données projet'!$A$88,'Données projet'!$B$88,BD65+BC66-BL65)))</f>
        <v>213.6</v>
      </c>
      <c r="BE66" s="14">
        <f>BD66*VLOOKUP('Données projet'!$B$11,Paramètres!$A$1:$I$89,3,0)*VLOOKUP('Données projet'!$B$11,Paramètres!$A$1:$I$89,5,0)</f>
        <v>186.60096000000001</v>
      </c>
      <c r="BF66" s="14">
        <f t="shared" si="37"/>
        <v>46.787685683664144</v>
      </c>
      <c r="BG66" s="22">
        <f t="shared" si="7"/>
        <v>406.48522456571504</v>
      </c>
      <c r="BH66" s="62">
        <f t="shared" si="8"/>
        <v>699.8185578990483</v>
      </c>
      <c r="BI66" s="62">
        <f ca="1">AVERAGE(OFFSET($BH$3,0,0,'Données projet'!$E$11+1,1))-AVERAGE(OFFSET($H$3,0,0,'Données projet'!$E$11+1,1))</f>
        <v>236.12531905695994</v>
      </c>
      <c r="BJ66" s="62">
        <f t="shared" si="38"/>
        <v>270.64539221029258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2">
        <f t="shared" si="32"/>
        <v>11.539469830637575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70">
        <f t="shared" si="1"/>
        <v>380.08830995502706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151.58413719376074</v>
      </c>
      <c r="T67" s="62">
        <f t="shared" si="34"/>
        <v>310.105543138185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50.389280273286289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2.0293040770801869E-3</v>
      </c>
      <c r="AC67" s="24">
        <f t="shared" si="3"/>
        <v>50.391309577363366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1.1368683772161603E-13</v>
      </c>
      <c r="AJ67" s="14">
        <f>AI67*VLOOKUP('Données projet'!$B$10,Paramètres!$A$1:$I$89,3,0)*VLOOKUP('Données projet'!$B$10,Paramètres!$A$1:$I$89,5,0)</f>
        <v>6.7984728957526396E-14</v>
      </c>
      <c r="AK67" s="14">
        <f t="shared" si="35"/>
        <v>1.0682447123141398E-12</v>
      </c>
      <c r="AL67" s="22">
        <f t="shared" si="4"/>
        <v>1.978932943548152E-12</v>
      </c>
      <c r="AM67" s="62">
        <f t="shared" si="5"/>
        <v>293.3333333333353</v>
      </c>
      <c r="AN67" s="62">
        <f ca="1">AVERAGE(OFFSET($AM$3,0,0,'Données projet'!$E$10+1,1))-AVERAGE(OFFSET($H$3,0,0,'Données projet'!$E$10+1,1))</f>
        <v>147.72913422715322</v>
      </c>
      <c r="AO67" s="62">
        <f t="shared" si="36"/>
        <v>361.07991692964799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27.193451652359816</v>
      </c>
      <c r="AV67" s="23">
        <f>EXP(-LN(2)/25)*AV66+(1-EXP(-LN(2)/25))/(LN(2)/25)*Calculateur!AQ67*Calculateur!AS67*VLOOKUP('Données projet'!$B$10,Paramètres!$A$1:$I$89,3,0)*0.475*44/12</f>
        <v>17.121679872827102</v>
      </c>
      <c r="AW67" s="23">
        <f>EXP(-LN(2)/2)*AW66+(1-EXP(-LN(2)/2))/(LN(2)/2)*AQ67*AT67*VLOOKUP('Données projet'!$B$10,Paramètres!$A$1:$I$89,3,0)*0.475*44/12</f>
        <v>3.3239276731039831E-4</v>
      </c>
      <c r="AX67" s="23">
        <f t="shared" si="6"/>
        <v>44.315463917954226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5.2</v>
      </c>
      <c r="BD67" s="13">
        <f>IF('Données projet'!$A$88&gt;35,BD66+BC67-BL66,IF(A67&lt;'Données projet'!$A$88,$BA$205^A67,IF(A67='Données projet'!$A$88,'Données projet'!$B$88,BD66+BC67-BL66)))</f>
        <v>218.79999999999998</v>
      </c>
      <c r="BE67" s="14">
        <f>BD67*VLOOKUP('Données projet'!$B$11,Paramètres!$A$1:$I$89,3,0)*VLOOKUP('Données projet'!$B$11,Paramètres!$A$1:$I$89,5,0)</f>
        <v>191.14368000000002</v>
      </c>
      <c r="BF67" s="14">
        <f t="shared" si="37"/>
        <v>47.792715878069586</v>
      </c>
      <c r="BG67" s="22">
        <f t="shared" si="7"/>
        <v>416.14755615430454</v>
      </c>
      <c r="BH67" s="62">
        <f t="shared" si="8"/>
        <v>709.4808894876378</v>
      </c>
      <c r="BI67" s="62">
        <f ca="1">AVERAGE(OFFSET($BH$3,0,0,'Données projet'!$E$11+1,1))-AVERAGE(OFFSET($H$3,0,0,'Données projet'!$E$11+1,1))</f>
        <v>236.12531905695994</v>
      </c>
      <c r="BJ67" s="62">
        <f t="shared" si="38"/>
        <v>270.64539221029258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2">
        <f t="shared" si="32"/>
        <v>11.698642592779086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70">
        <f t="shared" ref="H68:H131" si="56">(B68+E68+F68)*44/12+(C68+D68)*0.475*44/12</f>
        <v>381.40705251575685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151.58413719376074</v>
      </c>
      <c r="T68" s="62">
        <f t="shared" si="34"/>
        <v>310.105543138185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49.40117722155334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1.4349346739929085E-3</v>
      </c>
      <c r="AC68" s="24">
        <f t="shared" ref="AC68:AC131" si="57">SUM(Z68:AB68)</f>
        <v>49.402612156227335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1.1368683772161603E-13</v>
      </c>
      <c r="AJ68" s="14">
        <f>AI68*VLOOKUP('Données projet'!$B$10,Paramètres!$A$1:$I$89,3,0)*VLOOKUP('Données projet'!$B$10,Paramètres!$A$1:$I$89,5,0)</f>
        <v>6.7984728957526396E-14</v>
      </c>
      <c r="AK68" s="14">
        <f t="shared" si="35"/>
        <v>1.0682447123141398E-12</v>
      </c>
      <c r="AL68" s="22">
        <f t="shared" ref="AL68:AL131" si="58">(AJ68+AK68)*0.475*44/12</f>
        <v>1.978932943548152E-12</v>
      </c>
      <c r="AM68" s="62">
        <f t="shared" ref="AM68:AM131" si="59">AL68+(AD68+AE68)*44/12</f>
        <v>293.3333333333353</v>
      </c>
      <c r="AN68" s="62">
        <f ca="1">AVERAGE(OFFSET($AM$3,0,0,'Données projet'!$E$10+1,1))-AVERAGE(OFFSET($H$3,0,0,'Données projet'!$E$10+1,1))</f>
        <v>147.72913422715322</v>
      </c>
      <c r="AO68" s="62">
        <f t="shared" si="36"/>
        <v>361.07991692964799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26.660204651824781</v>
      </c>
      <c r="AV68" s="23">
        <f>EXP(-LN(2)/25)*AV67+(1-EXP(-LN(2)/25))/(LN(2)/25)*Calculateur!AQ68*Calculateur!AS68*VLOOKUP('Données projet'!$B$10,Paramètres!$A$1:$I$89,3,0)*0.475*44/12</f>
        <v>16.653486636314632</v>
      </c>
      <c r="AW68" s="23">
        <f>EXP(-LN(2)/2)*AW67+(1-EXP(-LN(2)/2))/(LN(2)/2)*AQ68*AT68*VLOOKUP('Données projet'!$B$10,Paramètres!$A$1:$I$89,3,0)*0.475*44/12</f>
        <v>2.3503717978254484E-4</v>
      </c>
      <c r="AX68" s="23">
        <f t="shared" ref="AX68:AX131" si="60">SUM(AU68:AW68)</f>
        <v>43.313926325319194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224</v>
      </c>
      <c r="BB68" s="13">
        <f>VLOOKUP(A68,'Données projet'!$A$87:$I$107,9,0)</f>
        <v>5.2</v>
      </c>
      <c r="BC68" s="13">
        <f t="array" ref="BC68">INDEX(BB:BB,MIN(IF(ISNUMBER(BB68:BB264),ROW(BB68:BB264),"")))</f>
        <v>5.2</v>
      </c>
      <c r="BD68" s="13">
        <f>IF('Données projet'!$A$88&gt;35,BD67+BC68-BL67,IF(A68&lt;'Données projet'!$A$88,$BA$205^A68,IF(A68='Données projet'!$A$88,'Données projet'!$B$88,BD67+BC68-BL67)))</f>
        <v>223.99999999999997</v>
      </c>
      <c r="BE68" s="14">
        <f>BD68*VLOOKUP('Données projet'!$B$11,Paramètres!$A$1:$I$89,3,0)*VLOOKUP('Données projet'!$B$11,Paramètres!$A$1:$I$89,5,0)</f>
        <v>195.68639999999999</v>
      </c>
      <c r="BF68" s="14">
        <f t="shared" si="37"/>
        <v>48.794969360985156</v>
      </c>
      <c r="BG68" s="22">
        <f t="shared" ref="BG68:BG131" si="61">(BE68+BF68)*0.475*44/12</f>
        <v>425.80505163704908</v>
      </c>
      <c r="BH68" s="62">
        <f t="shared" ref="BH68:BH131" si="62">BG68+(AY68+AZ68)*44/12</f>
        <v>719.13838497038239</v>
      </c>
      <c r="BI68" s="62">
        <f ca="1">AVERAGE(OFFSET($BH$3,0,0,'Données projet'!$E$11+1,1))-AVERAGE(OFFSET($H$3,0,0,'Données projet'!$E$11+1,1))</f>
        <v>236.12531905695994</v>
      </c>
      <c r="BJ68" s="62">
        <f t="shared" si="38"/>
        <v>270.64539221029258</v>
      </c>
      <c r="BK68" s="16">
        <f>IF(ISNA(VLOOKUP(A68,'Données projet'!$A$87:$I$107,3,0)),0,VLOOKUP(A68,'Données projet'!$A$87:$I$107,3,0))</f>
        <v>10</v>
      </c>
      <c r="BL68" s="16">
        <f>IF(ISNA(VLOOKUP(A68,'Données projet'!$A$87:$I$107,4,0)),0,VLOOKUP(A68,'Données projet'!$A$87:$I$107,4,0))</f>
        <v>20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2">
        <f t="shared" ref="D69:D132" si="86">IFERROR(EXP(-1.0587+0.8836*LN(C69)+0.284),0)</f>
        <v>11.857530556426889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70">
        <f t="shared" si="56"/>
        <v>382.7252990524434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151.58413719376074</v>
      </c>
      <c r="T69" s="62">
        <f t="shared" ref="T69:T132" si="88">$T$3</f>
        <v>310.105543138185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48.432450267981523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1.0146520385400934E-3</v>
      </c>
      <c r="AC69" s="24">
        <f t="shared" si="57"/>
        <v>48.433464920020064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1.1368683772161603E-13</v>
      </c>
      <c r="AJ69" s="14">
        <f>AI69*VLOOKUP('Données projet'!$B$10,Paramètres!$A$1:$I$89,3,0)*VLOOKUP('Données projet'!$B$10,Paramètres!$A$1:$I$89,5,0)</f>
        <v>6.7984728957526396E-14</v>
      </c>
      <c r="AK69" s="14">
        <f t="shared" ref="AK69:AK132" si="89">EXP(-1.0587+0.8836*LN(AJ69)+0.284)</f>
        <v>1.0682447123141398E-12</v>
      </c>
      <c r="AL69" s="22">
        <f t="shared" si="58"/>
        <v>1.978932943548152E-12</v>
      </c>
      <c r="AM69" s="62">
        <f t="shared" si="59"/>
        <v>293.3333333333353</v>
      </c>
      <c r="AN69" s="62">
        <f ca="1">AVERAGE(OFFSET($AM$3,0,0,'Données projet'!$E$10+1,1))-AVERAGE(OFFSET($H$3,0,0,'Données projet'!$E$10+1,1))</f>
        <v>147.72913422715322</v>
      </c>
      <c r="AO69" s="62">
        <f t="shared" ref="AO69:AO132" si="90">$AO$3</f>
        <v>361.07991692964799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26.137414299721684</v>
      </c>
      <c r="AV69" s="23">
        <f>EXP(-LN(2)/25)*AV68+(1-EXP(-LN(2)/25))/(LN(2)/25)*Calculateur!AQ69*Calculateur!AS69*VLOOKUP('Données projet'!$B$10,Paramètres!$A$1:$I$89,3,0)*0.475*44/12</f>
        <v>16.198096168475807</v>
      </c>
      <c r="AW69" s="23">
        <f>EXP(-LN(2)/2)*AW68+(1-EXP(-LN(2)/2))/(LN(2)/2)*AQ69*AT69*VLOOKUP('Données projet'!$B$10,Paramètres!$A$1:$I$89,3,0)*0.475*44/12</f>
        <v>1.6619638365519918E-4</v>
      </c>
      <c r="AX69" s="23">
        <f t="shared" si="60"/>
        <v>42.335676664581143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4.5999999999999996</v>
      </c>
      <c r="BD69" s="13">
        <f>IF('Données projet'!$A$88&gt;35,BD68+BC69-BL68,IF(A69&lt;'Données projet'!$A$88,$BA$205^A69,IF(A69='Données projet'!$A$88,'Données projet'!$B$88,BD68+BC69-BL68)))</f>
        <v>208.59999999999997</v>
      </c>
      <c r="BE69" s="14">
        <f>BD69*VLOOKUP('Données projet'!$B$11,Paramètres!$A$1:$I$89,3,0)*VLOOKUP('Données projet'!$B$11,Paramètres!$A$1:$I$89,5,0)</f>
        <v>182.23295999999999</v>
      </c>
      <c r="BF69" s="14">
        <f t="shared" ref="BF69:BF132" si="91">EXP(-1.0587+0.8836*LN(BE69)+0.284)</f>
        <v>45.818621592366291</v>
      </c>
      <c r="BG69" s="22">
        <f t="shared" si="61"/>
        <v>397.18983794003793</v>
      </c>
      <c r="BH69" s="62">
        <f t="shared" si="62"/>
        <v>690.52317127337119</v>
      </c>
      <c r="BI69" s="62">
        <f ca="1">AVERAGE(OFFSET($BH$3,0,0,'Données projet'!$E$11+1,1))-AVERAGE(OFFSET($H$3,0,0,'Données projet'!$E$11+1,1))</f>
        <v>236.12531905695994</v>
      </c>
      <c r="BJ69" s="62">
        <f t="shared" ref="BJ69:BJ132" si="92">$BJ$3</f>
        <v>270.64539221029258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2">
        <f t="shared" si="86"/>
        <v>12.016138535115942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70">
        <f t="shared" si="56"/>
        <v>384.04305794866019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151.58413719376074</v>
      </c>
      <c r="T70" s="62">
        <f t="shared" si="88"/>
        <v>310.105543138185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47.482719459104146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7.1746733699645424E-4</v>
      </c>
      <c r="AC70" s="24">
        <f t="shared" si="57"/>
        <v>47.483436926441144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1.1368683772161603E-13</v>
      </c>
      <c r="AJ70" s="14">
        <f>AI70*VLOOKUP('Données projet'!$B$10,Paramètres!$A$1:$I$89,3,0)*VLOOKUP('Données projet'!$B$10,Paramètres!$A$1:$I$89,5,0)</f>
        <v>6.7984728957526396E-14</v>
      </c>
      <c r="AK70" s="14">
        <f t="shared" si="89"/>
        <v>1.0682447123141398E-12</v>
      </c>
      <c r="AL70" s="22">
        <f t="shared" si="58"/>
        <v>1.978932943548152E-12</v>
      </c>
      <c r="AM70" s="62">
        <f t="shared" si="59"/>
        <v>293.3333333333353</v>
      </c>
      <c r="AN70" s="62">
        <f ca="1">AVERAGE(OFFSET($AM$3,0,0,'Données projet'!$E$10+1,1))-AVERAGE(OFFSET($H$3,0,0,'Données projet'!$E$10+1,1))</f>
        <v>147.72913422715322</v>
      </c>
      <c r="AO70" s="62">
        <f t="shared" si="90"/>
        <v>361.07991692964799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25.624875547552698</v>
      </c>
      <c r="AV70" s="23">
        <f>EXP(-LN(2)/25)*AV69+(1-EXP(-LN(2)/25))/(LN(2)/25)*Calculateur!AQ70*Calculateur!AS70*VLOOKUP('Données projet'!$B$10,Paramètres!$A$1:$I$89,3,0)*0.475*44/12</f>
        <v>15.75515837692798</v>
      </c>
      <c r="AW70" s="23">
        <f>EXP(-LN(2)/2)*AW69+(1-EXP(-LN(2)/2))/(LN(2)/2)*AQ70*AT70*VLOOKUP('Données projet'!$B$10,Paramètres!$A$1:$I$89,3,0)*0.475*44/12</f>
        <v>1.1751858989127243E-4</v>
      </c>
      <c r="AX70" s="23">
        <f t="shared" si="60"/>
        <v>41.380151443070567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4.5999999999999996</v>
      </c>
      <c r="BD70" s="13">
        <f>IF('Données projet'!$A$88&gt;35,BD69+BC70-BL69,IF(A70&lt;'Données projet'!$A$88,$BA$205^A70,IF(A70='Données projet'!$A$88,'Données projet'!$B$88,BD69+BC70-BL69)))</f>
        <v>213.19999999999996</v>
      </c>
      <c r="BE70" s="14">
        <f>BD70*VLOOKUP('Données projet'!$B$11,Paramètres!$A$1:$I$89,3,0)*VLOOKUP('Données projet'!$B$11,Paramètres!$A$1:$I$89,5,0)</f>
        <v>186.25152</v>
      </c>
      <c r="BF70" s="14">
        <f t="shared" si="91"/>
        <v>46.71025851515671</v>
      </c>
      <c r="BG70" s="22">
        <f t="shared" si="61"/>
        <v>405.74176424723129</v>
      </c>
      <c r="BH70" s="62">
        <f t="shared" si="62"/>
        <v>699.0750975805646</v>
      </c>
      <c r="BI70" s="62">
        <f ca="1">AVERAGE(OFFSET($BH$3,0,0,'Données projet'!$E$11+1,1))-AVERAGE(OFFSET($H$3,0,0,'Données projet'!$E$11+1,1))</f>
        <v>236.12531905695994</v>
      </c>
      <c r="BJ70" s="62">
        <f t="shared" si="92"/>
        <v>270.64539221029258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2">
        <f t="shared" si="86"/>
        <v>12.174471190446138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70">
        <f t="shared" si="56"/>
        <v>385.36033732336028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151.58413719376074</v>
      </c>
      <c r="T71" s="62">
        <f t="shared" si="88"/>
        <v>310.105543138185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46.551612292110264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5.0732601927004671E-4</v>
      </c>
      <c r="AC71" s="24">
        <f t="shared" si="57"/>
        <v>46.552119618129531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1.1368683772161603E-13</v>
      </c>
      <c r="AJ71" s="14">
        <f>AI71*VLOOKUP('Données projet'!$B$10,Paramètres!$A$1:$I$89,3,0)*VLOOKUP('Données projet'!$B$10,Paramètres!$A$1:$I$89,5,0)</f>
        <v>6.7984728957526396E-14</v>
      </c>
      <c r="AK71" s="14">
        <f t="shared" si="89"/>
        <v>1.0682447123141398E-12</v>
      </c>
      <c r="AL71" s="22">
        <f t="shared" si="58"/>
        <v>1.978932943548152E-12</v>
      </c>
      <c r="AM71" s="62">
        <f t="shared" si="59"/>
        <v>293.3333333333353</v>
      </c>
      <c r="AN71" s="62">
        <f ca="1">AVERAGE(OFFSET($AM$3,0,0,'Données projet'!$E$10+1,1))-AVERAGE(OFFSET($H$3,0,0,'Données projet'!$E$10+1,1))</f>
        <v>147.72913422715322</v>
      </c>
      <c r="AO71" s="62">
        <f t="shared" si="90"/>
        <v>361.07991692964799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25.122387367695975</v>
      </c>
      <c r="AV71" s="23">
        <f>EXP(-LN(2)/25)*AV70+(1-EXP(-LN(2)/25))/(LN(2)/25)*Calculateur!AQ71*Calculateur!AS71*VLOOKUP('Données projet'!$B$10,Paramètres!$A$1:$I$89,3,0)*0.475*44/12</f>
        <v>15.324332742583115</v>
      </c>
      <c r="AW71" s="23">
        <f>EXP(-LN(2)/2)*AW70+(1-EXP(-LN(2)/2))/(LN(2)/2)*AQ71*AT71*VLOOKUP('Données projet'!$B$10,Paramètres!$A$1:$I$89,3,0)*0.475*44/12</f>
        <v>8.3098191827599605E-5</v>
      </c>
      <c r="AX71" s="23">
        <f t="shared" si="60"/>
        <v>40.446803208470918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4.5999999999999996</v>
      </c>
      <c r="BD71" s="13">
        <f>IF('Données projet'!$A$88&gt;35,BD70+BC71-BL70,IF(A71&lt;'Données projet'!$A$88,$BA$205^A71,IF(A71='Données projet'!$A$88,'Données projet'!$B$88,BD70+BC71-BL70)))</f>
        <v>217.79999999999995</v>
      </c>
      <c r="BE71" s="14">
        <f>BD71*VLOOKUP('Données projet'!$B$11,Paramètres!$A$1:$I$89,3,0)*VLOOKUP('Données projet'!$B$11,Paramètres!$A$1:$I$89,5,0)</f>
        <v>190.27007999999998</v>
      </c>
      <c r="BF71" s="14">
        <f t="shared" si="91"/>
        <v>47.599658767320413</v>
      </c>
      <c r="BG71" s="22">
        <f t="shared" si="61"/>
        <v>414.28979501974965</v>
      </c>
      <c r="BH71" s="62">
        <f t="shared" si="62"/>
        <v>707.62312835308296</v>
      </c>
      <c r="BI71" s="62">
        <f ca="1">AVERAGE(OFFSET($BH$3,0,0,'Données projet'!$E$11+1,1))-AVERAGE(OFFSET($H$3,0,0,'Données projet'!$E$11+1,1))</f>
        <v>236.12531905695994</v>
      </c>
      <c r="BJ71" s="62">
        <f t="shared" si="92"/>
        <v>270.64539221029258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2">
        <f t="shared" si="86"/>
        <v>12.332533039040444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70">
        <f t="shared" si="56"/>
        <v>386.67714504299533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151.58413719376074</v>
      </c>
      <c r="T72" s="62">
        <f t="shared" si="88"/>
        <v>310.105543138185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45.638763568741837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3.5873366849822712E-4</v>
      </c>
      <c r="AC72" s="24">
        <f t="shared" si="57"/>
        <v>45.639122302410335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1.1368683772161603E-13</v>
      </c>
      <c r="AJ72" s="14">
        <f>AI72*VLOOKUP('Données projet'!$B$10,Paramètres!$A$1:$I$89,3,0)*VLOOKUP('Données projet'!$B$10,Paramètres!$A$1:$I$89,5,0)</f>
        <v>6.7984728957526396E-14</v>
      </c>
      <c r="AK72" s="14">
        <f t="shared" si="89"/>
        <v>1.0682447123141398E-12</v>
      </c>
      <c r="AL72" s="22">
        <f t="shared" si="58"/>
        <v>1.978932943548152E-12</v>
      </c>
      <c r="AM72" s="62">
        <f t="shared" si="59"/>
        <v>293.3333333333353</v>
      </c>
      <c r="AN72" s="62">
        <f ca="1">AVERAGE(OFFSET($AM$3,0,0,'Données projet'!$E$10+1,1))-AVERAGE(OFFSET($H$3,0,0,'Données projet'!$E$10+1,1))</f>
        <v>147.72913422715322</v>
      </c>
      <c r="AO72" s="62">
        <f t="shared" si="90"/>
        <v>361.07991692964799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24.629752674558716</v>
      </c>
      <c r="AV72" s="23">
        <f>EXP(-LN(2)/25)*AV71+(1-EXP(-LN(2)/25))/(LN(2)/25)*Calculateur!AQ72*Calculateur!AS72*VLOOKUP('Données projet'!$B$10,Paramètres!$A$1:$I$89,3,0)*0.475*44/12</f>
        <v>14.905288057865546</v>
      </c>
      <c r="AW72" s="23">
        <f>EXP(-LN(2)/2)*AW71+(1-EXP(-LN(2)/2))/(LN(2)/2)*AQ72*AT72*VLOOKUP('Données projet'!$B$10,Paramètres!$A$1:$I$89,3,0)*0.475*44/12</f>
        <v>5.8759294945636231E-5</v>
      </c>
      <c r="AX72" s="23">
        <f t="shared" si="60"/>
        <v>39.535099491719208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4.5999999999999996</v>
      </c>
      <c r="BD72" s="13">
        <f>IF('Données projet'!$A$88&gt;35,BD71+BC72-BL71,IF(A72&lt;'Données projet'!$A$88,$BA$205^A72,IF(A72='Données projet'!$A$88,'Données projet'!$B$88,BD71+BC72-BL71)))</f>
        <v>222.39999999999995</v>
      </c>
      <c r="BE72" s="14">
        <f>BD72*VLOOKUP('Données projet'!$B$11,Paramètres!$A$1:$I$89,3,0)*VLOOKUP('Données projet'!$B$11,Paramètres!$A$1:$I$89,5,0)</f>
        <v>194.28863999999999</v>
      </c>
      <c r="BF72" s="14">
        <f t="shared" si="91"/>
        <v>48.486875029770822</v>
      </c>
      <c r="BG72" s="22">
        <f t="shared" si="61"/>
        <v>422.83402201018413</v>
      </c>
      <c r="BH72" s="62">
        <f t="shared" si="62"/>
        <v>716.16735534351744</v>
      </c>
      <c r="BI72" s="62">
        <f ca="1">AVERAGE(OFFSET($BH$3,0,0,'Données projet'!$E$11+1,1))-AVERAGE(OFFSET($H$3,0,0,'Données projet'!$E$11+1,1))</f>
        <v>236.12531905695994</v>
      </c>
      <c r="BJ72" s="62">
        <f t="shared" si="92"/>
        <v>270.64539221029258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2">
        <f t="shared" si="86"/>
        <v>12.490328459088207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70">
        <f t="shared" si="56"/>
        <v>387.99348873291189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151.58413719376074</v>
      </c>
      <c r="T73" s="62">
        <f t="shared" si="88"/>
        <v>310.105543138185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44.743815252055924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2.5366300963502336E-4</v>
      </c>
      <c r="AC73" s="24">
        <f t="shared" si="57"/>
        <v>44.744068915065561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1.1368683772161603E-13</v>
      </c>
      <c r="AJ73" s="14">
        <f>AI73*VLOOKUP('Données projet'!$B$10,Paramètres!$A$1:$I$89,3,0)*VLOOKUP('Données projet'!$B$10,Paramètres!$A$1:$I$89,5,0)</f>
        <v>6.7984728957526396E-14</v>
      </c>
      <c r="AK73" s="14">
        <f t="shared" si="89"/>
        <v>1.0682447123141398E-12</v>
      </c>
      <c r="AL73" s="22">
        <f t="shared" si="58"/>
        <v>1.978932943548152E-12</v>
      </c>
      <c r="AM73" s="62">
        <f t="shared" si="59"/>
        <v>293.3333333333353</v>
      </c>
      <c r="AN73" s="62">
        <f ca="1">AVERAGE(OFFSET($AM$3,0,0,'Données projet'!$E$10+1,1))-AVERAGE(OFFSET($H$3,0,0,'Données projet'!$E$10+1,1))</f>
        <v>147.72913422715322</v>
      </c>
      <c r="AO73" s="62">
        <f t="shared" si="90"/>
        <v>361.07991692964799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24.146778247276387</v>
      </c>
      <c r="AV73" s="23">
        <f>EXP(-LN(2)/25)*AV72+(1-EXP(-LN(2)/25))/(LN(2)/25)*Calculateur!AQ73*Calculateur!AS73*VLOOKUP('Données projet'!$B$10,Paramètres!$A$1:$I$89,3,0)*0.475*44/12</f>
        <v>14.49770217208818</v>
      </c>
      <c r="AW73" s="23">
        <f>EXP(-LN(2)/2)*AW72+(1-EXP(-LN(2)/2))/(LN(2)/2)*AQ73*AT73*VLOOKUP('Données projet'!$B$10,Paramètres!$A$1:$I$89,3,0)*0.475*44/12</f>
        <v>4.1549095913799809E-5</v>
      </c>
      <c r="AX73" s="23">
        <f t="shared" si="60"/>
        <v>38.644521968460481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227</v>
      </c>
      <c r="BB73" s="13">
        <f>VLOOKUP(A73,'Données projet'!$A$87:$I$107,9,0)</f>
        <v>4.5999999999999996</v>
      </c>
      <c r="BC73" s="13">
        <f t="array" ref="BC73">INDEX(BB:BB,MIN(IF(ISNUMBER(BB73:BB269),ROW(BB73:BB269),"")))</f>
        <v>4.5999999999999996</v>
      </c>
      <c r="BD73" s="13">
        <f>IF('Données projet'!$A$88&gt;35,BD72+BC73-BL72,IF(A73&lt;'Données projet'!$A$88,$BA$205^A73,IF(A73='Données projet'!$A$88,'Données projet'!$B$88,BD72+BC73-BL72)))</f>
        <v>226.99999999999994</v>
      </c>
      <c r="BE73" s="14">
        <f>BD73*VLOOKUP('Données projet'!$B$11,Paramètres!$A$1:$I$89,3,0)*VLOOKUP('Données projet'!$B$11,Paramètres!$A$1:$I$89,5,0)</f>
        <v>198.30719999999997</v>
      </c>
      <c r="BF73" s="14">
        <f t="shared" si="91"/>
        <v>49.371957679623371</v>
      </c>
      <c r="BG73" s="22">
        <f t="shared" si="61"/>
        <v>431.37453295867726</v>
      </c>
      <c r="BH73" s="62">
        <f t="shared" si="62"/>
        <v>724.70786629201052</v>
      </c>
      <c r="BI73" s="62">
        <f ca="1">AVERAGE(OFFSET($BH$3,0,0,'Données projet'!$E$11+1,1))-AVERAGE(OFFSET($H$3,0,0,'Données projet'!$E$11+1,1))</f>
        <v>236.12531905695994</v>
      </c>
      <c r="BJ73" s="62">
        <f t="shared" si="92"/>
        <v>270.64539221029258</v>
      </c>
      <c r="BK73" s="16">
        <f>IF(ISNA(VLOOKUP(A73,'Données projet'!$A$87:$I$107,3,0)),0,VLOOKUP(A73,'Données projet'!$A$87:$I$107,3,0))</f>
        <v>11</v>
      </c>
      <c r="BL73" s="16">
        <f>IF(ISNA(VLOOKUP(A73,'Données projet'!$A$87:$I$107,4,0)),0,VLOOKUP(A73,'Données projet'!$A$87:$I$107,4,0))</f>
        <v>17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2">
        <f t="shared" si="86"/>
        <v>12.64786169650392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70">
        <f t="shared" si="56"/>
        <v>389.30937578807755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151.58413719376074</v>
      </c>
      <c r="T74" s="62">
        <f t="shared" si="88"/>
        <v>310.105543138185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43.866416325995644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1.7936683424911356E-4</v>
      </c>
      <c r="AC74" s="24">
        <f t="shared" si="57"/>
        <v>43.86659569282989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1.1368683772161603E-13</v>
      </c>
      <c r="AJ74" s="14">
        <f>AI74*VLOOKUP('Données projet'!$B$10,Paramètres!$A$1:$I$89,3,0)*VLOOKUP('Données projet'!$B$10,Paramètres!$A$1:$I$89,5,0)</f>
        <v>6.7984728957526396E-14</v>
      </c>
      <c r="AK74" s="14">
        <f t="shared" si="89"/>
        <v>1.0682447123141398E-12</v>
      </c>
      <c r="AL74" s="22">
        <f t="shared" si="58"/>
        <v>1.978932943548152E-12</v>
      </c>
      <c r="AM74" s="62">
        <f t="shared" si="59"/>
        <v>293.3333333333353</v>
      </c>
      <c r="AN74" s="62">
        <f ca="1">AVERAGE(OFFSET($AM$3,0,0,'Données projet'!$E$10+1,1))-AVERAGE(OFFSET($H$3,0,0,'Données projet'!$E$10+1,1))</f>
        <v>147.72913422715322</v>
      </c>
      <c r="AO74" s="62">
        <f t="shared" si="90"/>
        <v>361.07991692964799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23.673274653927752</v>
      </c>
      <c r="AV74" s="23">
        <f>EXP(-LN(2)/25)*AV73+(1-EXP(-LN(2)/25))/(LN(2)/25)*Calculateur!AQ74*Calculateur!AS74*VLOOKUP('Données projet'!$B$10,Paramètres!$A$1:$I$89,3,0)*0.475*44/12</f>
        <v>14.101261743791406</v>
      </c>
      <c r="AW74" s="23">
        <f>EXP(-LN(2)/2)*AW73+(1-EXP(-LN(2)/2))/(LN(2)/2)*AQ74*AT74*VLOOKUP('Données projet'!$B$10,Paramètres!$A$1:$I$89,3,0)*0.475*44/12</f>
        <v>2.9379647472818119E-5</v>
      </c>
      <c r="AX74" s="23">
        <f t="shared" si="60"/>
        <v>37.774565777366632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4</v>
      </c>
      <c r="BD74" s="13">
        <f>IF('Données projet'!$A$88&gt;35,BD73+BC74-BL73,IF(A74&lt;'Données projet'!$A$88,$BA$205^A74,IF(A74='Données projet'!$A$88,'Données projet'!$B$88,BD73+BC74-BL73)))</f>
        <v>213.99999999999994</v>
      </c>
      <c r="BE74" s="14">
        <f>BD74*VLOOKUP('Données projet'!$B$11,Paramètres!$A$1:$I$89,3,0)*VLOOKUP('Données projet'!$B$11,Paramètres!$A$1:$I$89,5,0)</f>
        <v>186.95039999999997</v>
      </c>
      <c r="BF74" s="14">
        <f t="shared" si="91"/>
        <v>46.865095976617653</v>
      </c>
      <c r="BG74" s="22">
        <f t="shared" si="61"/>
        <v>407.22865549260905</v>
      </c>
      <c r="BH74" s="62">
        <f t="shared" si="62"/>
        <v>700.56198882594231</v>
      </c>
      <c r="BI74" s="62">
        <f ca="1">AVERAGE(OFFSET($BH$3,0,0,'Données projet'!$E$11+1,1))-AVERAGE(OFFSET($H$3,0,0,'Données projet'!$E$11+1,1))</f>
        <v>236.12531905695994</v>
      </c>
      <c r="BJ74" s="62">
        <f t="shared" si="92"/>
        <v>270.64539221029258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2">
        <f t="shared" si="86"/>
        <v>12.80513687072917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70">
        <f t="shared" si="56"/>
        <v>390.62481338318656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151.58413719376074</v>
      </c>
      <c r="T75" s="62">
        <f t="shared" si="88"/>
        <v>310.105543138185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43.006222657714908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1.2683150481751168E-4</v>
      </c>
      <c r="AC75" s="24">
        <f t="shared" si="57"/>
        <v>43.006349489219723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1.1368683772161603E-13</v>
      </c>
      <c r="AJ75" s="14">
        <f>AI75*VLOOKUP('Données projet'!$B$10,Paramètres!$A$1:$I$89,3,0)*VLOOKUP('Données projet'!$B$10,Paramètres!$A$1:$I$89,5,0)</f>
        <v>6.7984728957526396E-14</v>
      </c>
      <c r="AK75" s="14">
        <f t="shared" si="89"/>
        <v>1.0682447123141398E-12</v>
      </c>
      <c r="AL75" s="22">
        <f t="shared" si="58"/>
        <v>1.978932943548152E-12</v>
      </c>
      <c r="AM75" s="62">
        <f t="shared" si="59"/>
        <v>293.3333333333353</v>
      </c>
      <c r="AN75" s="62">
        <f ca="1">AVERAGE(OFFSET($AM$3,0,0,'Données projet'!$E$10+1,1))-AVERAGE(OFFSET($H$3,0,0,'Données projet'!$E$10+1,1))</f>
        <v>147.72913422715322</v>
      </c>
      <c r="AO75" s="62">
        <f t="shared" si="90"/>
        <v>361.07991692964799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23.209056177236008</v>
      </c>
      <c r="AV75" s="23">
        <f>EXP(-LN(2)/25)*AV74+(1-EXP(-LN(2)/25))/(LN(2)/25)*Calculateur!AQ75*Calculateur!AS75*VLOOKUP('Données projet'!$B$10,Paramètres!$A$1:$I$89,3,0)*0.475*44/12</f>
        <v>13.715661999854303</v>
      </c>
      <c r="AW75" s="23">
        <f>EXP(-LN(2)/2)*AW74+(1-EXP(-LN(2)/2))/(LN(2)/2)*AQ75*AT75*VLOOKUP('Données projet'!$B$10,Paramètres!$A$1:$I$89,3,0)*0.475*44/12</f>
        <v>2.0774547956899908E-5</v>
      </c>
      <c r="AX75" s="23">
        <f t="shared" si="60"/>
        <v>36.924738951638268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4</v>
      </c>
      <c r="BD75" s="13">
        <f>IF('Données projet'!$A$88&gt;35,BD74+BC75-BL74,IF(A75&lt;'Données projet'!$A$88,$BA$205^A75,IF(A75='Données projet'!$A$88,'Données projet'!$B$88,BD74+BC75-BL74)))</f>
        <v>217.99999999999994</v>
      </c>
      <c r="BE75" s="14">
        <f>BD75*VLOOKUP('Données projet'!$B$11,Paramètres!$A$1:$I$89,3,0)*VLOOKUP('Données projet'!$B$11,Paramètres!$A$1:$I$89,5,0)</f>
        <v>190.44479999999999</v>
      </c>
      <c r="BF75" s="14">
        <f t="shared" si="91"/>
        <v>47.638278428909231</v>
      </c>
      <c r="BG75" s="22">
        <f t="shared" si="61"/>
        <v>414.66136159701688</v>
      </c>
      <c r="BH75" s="62">
        <f t="shared" si="62"/>
        <v>707.99469493035019</v>
      </c>
      <c r="BI75" s="62">
        <f ca="1">AVERAGE(OFFSET($BH$3,0,0,'Données projet'!$E$11+1,1))-AVERAGE(OFFSET($H$3,0,0,'Données projet'!$E$11+1,1))</f>
        <v>236.12531905695994</v>
      </c>
      <c r="BJ75" s="62">
        <f t="shared" si="92"/>
        <v>270.64539221029258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2">
        <f t="shared" si="86"/>
        <v>12.962157980203079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70">
        <f t="shared" si="56"/>
        <v>391.93980848218695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151.58413719376074</v>
      </c>
      <c r="T76" s="62">
        <f t="shared" si="88"/>
        <v>310.105543138185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42.162896862602821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8.968341712455678E-5</v>
      </c>
      <c r="AC76" s="24">
        <f t="shared" si="57"/>
        <v>42.162986546019944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1.1368683772161603E-13</v>
      </c>
      <c r="AJ76" s="14">
        <f>AI76*VLOOKUP('Données projet'!$B$10,Paramètres!$A$1:$I$89,3,0)*VLOOKUP('Données projet'!$B$10,Paramètres!$A$1:$I$89,5,0)</f>
        <v>6.7984728957526396E-14</v>
      </c>
      <c r="AK76" s="14">
        <f t="shared" si="89"/>
        <v>1.0682447123141398E-12</v>
      </c>
      <c r="AL76" s="22">
        <f t="shared" si="58"/>
        <v>1.978932943548152E-12</v>
      </c>
      <c r="AM76" s="62">
        <f t="shared" si="59"/>
        <v>293.3333333333353</v>
      </c>
      <c r="AN76" s="62">
        <f ca="1">AVERAGE(OFFSET($AM$3,0,0,'Données projet'!$E$10+1,1))-AVERAGE(OFFSET($H$3,0,0,'Données projet'!$E$10+1,1))</f>
        <v>147.72913422715322</v>
      </c>
      <c r="AO76" s="62">
        <f t="shared" si="90"/>
        <v>361.07991692964799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22.753940741726876</v>
      </c>
      <c r="AV76" s="23">
        <f>EXP(-LN(2)/25)*AV75+(1-EXP(-LN(2)/25))/(LN(2)/25)*Calculateur!AQ76*Calculateur!AS76*VLOOKUP('Données projet'!$B$10,Paramètres!$A$1:$I$89,3,0)*0.475*44/12</f>
        <v>13.340606501192971</v>
      </c>
      <c r="AW76" s="23">
        <f>EXP(-LN(2)/2)*AW75+(1-EXP(-LN(2)/2))/(LN(2)/2)*AQ76*AT76*VLOOKUP('Données projet'!$B$10,Paramètres!$A$1:$I$89,3,0)*0.475*44/12</f>
        <v>1.4689823736409063E-5</v>
      </c>
      <c r="AX76" s="23">
        <f t="shared" si="60"/>
        <v>36.094561932743581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4</v>
      </c>
      <c r="BD76" s="13">
        <f>IF('Données projet'!$A$88&gt;35,BD75+BC76-BL75,IF(A76&lt;'Données projet'!$A$88,$BA$205^A76,IF(A76='Données projet'!$A$88,'Données projet'!$B$88,BD75+BC76-BL75)))</f>
        <v>221.99999999999994</v>
      </c>
      <c r="BE76" s="14">
        <f>BD76*VLOOKUP('Données projet'!$B$11,Paramètres!$A$1:$I$89,3,0)*VLOOKUP('Données projet'!$B$11,Paramètres!$A$1:$I$89,5,0)</f>
        <v>193.93919999999997</v>
      </c>
      <c r="BF76" s="14">
        <f t="shared" si="91"/>
        <v>48.409811198069342</v>
      </c>
      <c r="BG76" s="22">
        <f t="shared" si="61"/>
        <v>422.091194503304</v>
      </c>
      <c r="BH76" s="62">
        <f t="shared" si="62"/>
        <v>715.42452783663725</v>
      </c>
      <c r="BI76" s="62">
        <f ca="1">AVERAGE(OFFSET($BH$3,0,0,'Données projet'!$E$11+1,1))-AVERAGE(OFFSET($H$3,0,0,'Données projet'!$E$11+1,1))</f>
        <v>236.12531905695994</v>
      </c>
      <c r="BJ76" s="62">
        <f t="shared" si="92"/>
        <v>270.64539221029258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2">
        <f t="shared" si="86"/>
        <v>13.118928907524445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70">
        <f t="shared" si="56"/>
        <v>393.25436784727162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151.58413719376074</v>
      </c>
      <c r="T77" s="62">
        <f t="shared" si="88"/>
        <v>310.105543138185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41.33610817195494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6.3415752408755839E-5</v>
      </c>
      <c r="AC77" s="24">
        <f t="shared" si="57"/>
        <v>41.336171587707348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1.1368683772161603E-13</v>
      </c>
      <c r="AJ77" s="14">
        <f>AI77*VLOOKUP('Données projet'!$B$10,Paramètres!$A$1:$I$89,3,0)*VLOOKUP('Données projet'!$B$10,Paramètres!$A$1:$I$89,5,0)</f>
        <v>6.7984728957526396E-14</v>
      </c>
      <c r="AK77" s="14">
        <f t="shared" si="89"/>
        <v>1.0682447123141398E-12</v>
      </c>
      <c r="AL77" s="22">
        <f t="shared" si="58"/>
        <v>1.978932943548152E-12</v>
      </c>
      <c r="AM77" s="62">
        <f t="shared" si="59"/>
        <v>293.3333333333353</v>
      </c>
      <c r="AN77" s="62">
        <f ca="1">AVERAGE(OFFSET($AM$3,0,0,'Données projet'!$E$10+1,1))-AVERAGE(OFFSET($H$3,0,0,'Données projet'!$E$10+1,1))</f>
        <v>147.72913422715322</v>
      </c>
      <c r="AO77" s="62">
        <f t="shared" si="90"/>
        <v>361.07991692964799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22.307749842315072</v>
      </c>
      <c r="AV77" s="23">
        <f>EXP(-LN(2)/25)*AV76+(1-EXP(-LN(2)/25))/(LN(2)/25)*Calculateur!AQ77*Calculateur!AS77*VLOOKUP('Données projet'!$B$10,Paramètres!$A$1:$I$89,3,0)*0.475*44/12</f>
        <v>12.975806914865844</v>
      </c>
      <c r="AW77" s="23">
        <f>EXP(-LN(2)/2)*AW76+(1-EXP(-LN(2)/2))/(LN(2)/2)*AQ77*AT77*VLOOKUP('Données projet'!$B$10,Paramètres!$A$1:$I$89,3,0)*0.475*44/12</f>
        <v>1.0387273978449956E-5</v>
      </c>
      <c r="AX77" s="23">
        <f t="shared" si="60"/>
        <v>35.283567144454899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4</v>
      </c>
      <c r="BD77" s="13">
        <f>IF('Données projet'!$A$88&gt;35,BD76+BC77-BL76,IF(A77&lt;'Données projet'!$A$88,$BA$205^A77,IF(A77='Données projet'!$A$88,'Données projet'!$B$88,BD76+BC77-BL76)))</f>
        <v>225.99999999999994</v>
      </c>
      <c r="BE77" s="14">
        <f>BD77*VLOOKUP('Données projet'!$B$11,Paramètres!$A$1:$I$89,3,0)*VLOOKUP('Données projet'!$B$11,Paramètres!$A$1:$I$89,5,0)</f>
        <v>197.43359999999996</v>
      </c>
      <c r="BF77" s="14">
        <f t="shared" si="91"/>
        <v>49.179727436837609</v>
      </c>
      <c r="BG77" s="22">
        <f t="shared" si="61"/>
        <v>429.51821195249204</v>
      </c>
      <c r="BH77" s="62">
        <f t="shared" si="62"/>
        <v>722.8515452858253</v>
      </c>
      <c r="BI77" s="62">
        <f ca="1">AVERAGE(OFFSET($BH$3,0,0,'Données projet'!$E$11+1,1))-AVERAGE(OFFSET($H$3,0,0,'Données projet'!$E$11+1,1))</f>
        <v>236.12531905695994</v>
      </c>
      <c r="BJ77" s="62">
        <f t="shared" si="92"/>
        <v>270.64539221029258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2">
        <f t="shared" si="86"/>
        <v>13.275453424326999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70">
        <f t="shared" si="56"/>
        <v>394.56849804736942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151.58413719376074</v>
      </c>
      <c r="T78" s="62">
        <f t="shared" si="88"/>
        <v>310.105543138185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40.525532303239359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4.484170856227839E-5</v>
      </c>
      <c r="AC78" s="24">
        <f t="shared" si="57"/>
        <v>40.525577144947924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1.1368683772161603E-13</v>
      </c>
      <c r="AJ78" s="14">
        <f>AI78*VLOOKUP('Données projet'!$B$10,Paramètres!$A$1:$I$89,3,0)*VLOOKUP('Données projet'!$B$10,Paramètres!$A$1:$I$89,5,0)</f>
        <v>6.7984728957526396E-14</v>
      </c>
      <c r="AK78" s="14">
        <f t="shared" si="89"/>
        <v>1.0682447123141398E-12</v>
      </c>
      <c r="AL78" s="22">
        <f t="shared" si="58"/>
        <v>1.978932943548152E-12</v>
      </c>
      <c r="AM78" s="62">
        <f t="shared" si="59"/>
        <v>293.3333333333353</v>
      </c>
      <c r="AN78" s="62">
        <f ca="1">AVERAGE(OFFSET($AM$3,0,0,'Données projet'!$E$10+1,1))-AVERAGE(OFFSET($H$3,0,0,'Données projet'!$E$10+1,1))</f>
        <v>147.72913422715322</v>
      </c>
      <c r="AO78" s="62">
        <f t="shared" si="90"/>
        <v>361.07991692964799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21.870308474291157</v>
      </c>
      <c r="AV78" s="23">
        <f>EXP(-LN(2)/25)*AV77+(1-EXP(-LN(2)/25))/(LN(2)/25)*Calculateur!AQ78*Calculateur!AS78*VLOOKUP('Données projet'!$B$10,Paramètres!$A$1:$I$89,3,0)*0.475*44/12</f>
        <v>12.620982792410809</v>
      </c>
      <c r="AW78" s="23">
        <f>EXP(-LN(2)/2)*AW77+(1-EXP(-LN(2)/2))/(LN(2)/2)*AQ78*AT78*VLOOKUP('Données projet'!$B$10,Paramètres!$A$1:$I$89,3,0)*0.475*44/12</f>
        <v>7.3449118682045322E-6</v>
      </c>
      <c r="AX78" s="23">
        <f t="shared" si="60"/>
        <v>34.491298611613836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230</v>
      </c>
      <c r="BB78" s="13">
        <f>VLOOKUP(A78,'Données projet'!$A$87:$I$107,9,0)</f>
        <v>4</v>
      </c>
      <c r="BC78" s="13">
        <f t="array" ref="BC78">INDEX(BB:BB,MIN(IF(ISNUMBER(BB78:BB274),ROW(BB78:BB274),"")))</f>
        <v>4</v>
      </c>
      <c r="BD78" s="13">
        <f>IF('Données projet'!$A$88&gt;35,BD77+BC78-BL77,IF(A78&lt;'Données projet'!$A$88,$BA$205^A78,IF(A78='Données projet'!$A$88,'Données projet'!$B$88,BD77+BC78-BL77)))</f>
        <v>229.99999999999994</v>
      </c>
      <c r="BE78" s="14">
        <f>BD78*VLOOKUP('Données projet'!$B$11,Paramètres!$A$1:$I$89,3,0)*VLOOKUP('Données projet'!$B$11,Paramètres!$A$1:$I$89,5,0)</f>
        <v>200.92799999999997</v>
      </c>
      <c r="BF78" s="14">
        <f t="shared" si="91"/>
        <v>49.948059057189042</v>
      </c>
      <c r="BG78" s="22">
        <f t="shared" si="61"/>
        <v>436.94246952460418</v>
      </c>
      <c r="BH78" s="62">
        <f t="shared" si="62"/>
        <v>730.27580285793749</v>
      </c>
      <c r="BI78" s="62">
        <f ca="1">AVERAGE(OFFSET($BH$3,0,0,'Données projet'!$E$11+1,1))-AVERAGE(OFFSET($H$3,0,0,'Données projet'!$E$11+1,1))</f>
        <v>236.12531905695994</v>
      </c>
      <c r="BJ78" s="62">
        <f t="shared" si="92"/>
        <v>270.64539221029258</v>
      </c>
      <c r="BK78" s="16">
        <f>IF(ISNA(VLOOKUP(A78,'Données projet'!$A$87:$I$107,3,0)),0,VLOOKUP(A78,'Données projet'!$A$87:$I$107,3,0))</f>
        <v>12</v>
      </c>
      <c r="BL78" s="16">
        <f>IF(ISNA(VLOOKUP(A78,'Données projet'!$A$87:$I$107,4,0)),0,VLOOKUP(A78,'Données projet'!$A$87:$I$107,4,0))</f>
        <v>15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2">
        <f t="shared" si="86"/>
        <v>13.431735195887123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70">
        <f t="shared" si="56"/>
        <v>395.88220546616998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151.58413719376074</v>
      </c>
      <c r="T79" s="62">
        <f t="shared" si="88"/>
        <v>310.105543138185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39.73085133290683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3.170787620437792E-5</v>
      </c>
      <c r="AC79" s="24">
        <f t="shared" si="57"/>
        <v>39.730883040783034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1.1368683772161603E-13</v>
      </c>
      <c r="AJ79" s="14">
        <f>AI79*VLOOKUP('Données projet'!$B$10,Paramètres!$A$1:$I$89,3,0)*VLOOKUP('Données projet'!$B$10,Paramètres!$A$1:$I$89,5,0)</f>
        <v>6.7984728957526396E-14</v>
      </c>
      <c r="AK79" s="14">
        <f t="shared" si="89"/>
        <v>1.0682447123141398E-12</v>
      </c>
      <c r="AL79" s="22">
        <f t="shared" si="58"/>
        <v>1.978932943548152E-12</v>
      </c>
      <c r="AM79" s="62">
        <f t="shared" si="59"/>
        <v>293.3333333333353</v>
      </c>
      <c r="AN79" s="62">
        <f ca="1">AVERAGE(OFFSET($AM$3,0,0,'Données projet'!$E$10+1,1))-AVERAGE(OFFSET($H$3,0,0,'Données projet'!$E$10+1,1))</f>
        <v>147.72913422715322</v>
      </c>
      <c r="AO79" s="62">
        <f t="shared" si="90"/>
        <v>361.07991692964799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21.441445064681304</v>
      </c>
      <c r="AV79" s="23">
        <f>EXP(-LN(2)/25)*AV78+(1-EXP(-LN(2)/25))/(LN(2)/25)*Calculateur!AQ79*Calculateur!AS79*VLOOKUP('Données projet'!$B$10,Paramètres!$A$1:$I$89,3,0)*0.475*44/12</f>
        <v>12.275861354243697</v>
      </c>
      <c r="AW79" s="23">
        <f>EXP(-LN(2)/2)*AW78+(1-EXP(-LN(2)/2))/(LN(2)/2)*AQ79*AT79*VLOOKUP('Données projet'!$B$10,Paramètres!$A$1:$I$89,3,0)*0.475*44/12</f>
        <v>5.1936369892249787E-6</v>
      </c>
      <c r="AX79" s="23">
        <f t="shared" si="60"/>
        <v>33.717311612561986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3.6</v>
      </c>
      <c r="BD79" s="13">
        <f>IF('Données projet'!$A$88&gt;35,BD78+BC79-BL78,IF(A79&lt;'Données projet'!$A$88,$BA$205^A79,IF(A79='Données projet'!$A$88,'Données projet'!$B$88,BD78+BC79-BL78)))</f>
        <v>218.59999999999994</v>
      </c>
      <c r="BE79" s="14">
        <f>BD79*VLOOKUP('Données projet'!$B$11,Paramètres!$A$1:$I$89,3,0)*VLOOKUP('Données projet'!$B$11,Paramètres!$A$1:$I$89,5,0)</f>
        <v>190.96895999999998</v>
      </c>
      <c r="BF79" s="14">
        <f t="shared" si="91"/>
        <v>47.754112686935557</v>
      </c>
      <c r="BG79" s="22">
        <f t="shared" si="61"/>
        <v>415.77601826307938</v>
      </c>
      <c r="BH79" s="62">
        <f t="shared" si="62"/>
        <v>709.10935159641269</v>
      </c>
      <c r="BI79" s="62">
        <f ca="1">AVERAGE(OFFSET($BH$3,0,0,'Données projet'!$E$11+1,1))-AVERAGE(OFFSET($H$3,0,0,'Données projet'!$E$11+1,1))</f>
        <v>236.12531905695994</v>
      </c>
      <c r="BJ79" s="62">
        <f t="shared" si="92"/>
        <v>270.64539221029258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2">
        <f t="shared" si="86"/>
        <v>13.587777785482281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70">
        <f t="shared" si="56"/>
        <v>397.19549630971488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151.58413719376074</v>
      </c>
      <c r="T80" s="62">
        <f t="shared" si="88"/>
        <v>310.105543138185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38.951753571694987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2.2420854281139195E-5</v>
      </c>
      <c r="AC80" s="24">
        <f t="shared" si="57"/>
        <v>38.951775992549265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1.1368683772161603E-13</v>
      </c>
      <c r="AJ80" s="14">
        <f>AI80*VLOOKUP('Données projet'!$B$10,Paramètres!$A$1:$I$89,3,0)*VLOOKUP('Données projet'!$B$10,Paramètres!$A$1:$I$89,5,0)</f>
        <v>6.7984728957526396E-14</v>
      </c>
      <c r="AK80" s="14">
        <f t="shared" si="89"/>
        <v>1.0682447123141398E-12</v>
      </c>
      <c r="AL80" s="22">
        <f t="shared" si="58"/>
        <v>1.978932943548152E-12</v>
      </c>
      <c r="AM80" s="62">
        <f t="shared" si="59"/>
        <v>293.3333333333353</v>
      </c>
      <c r="AN80" s="62">
        <f ca="1">AVERAGE(OFFSET($AM$3,0,0,'Données projet'!$E$10+1,1))-AVERAGE(OFFSET($H$3,0,0,'Données projet'!$E$10+1,1))</f>
        <v>147.72913422715322</v>
      </c>
      <c r="AO80" s="62">
        <f t="shared" si="90"/>
        <v>361.07991692964799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21.020991404953048</v>
      </c>
      <c r="AV80" s="23">
        <f>EXP(-LN(2)/25)*AV79+(1-EXP(-LN(2)/25))/(LN(2)/25)*Calculateur!AQ80*Calculateur!AS80*VLOOKUP('Données projet'!$B$10,Paramètres!$A$1:$I$89,3,0)*0.475*44/12</f>
        <v>11.940177279952412</v>
      </c>
      <c r="AW80" s="23">
        <f>EXP(-LN(2)/2)*AW79+(1-EXP(-LN(2)/2))/(LN(2)/2)*AQ80*AT80*VLOOKUP('Données projet'!$B$10,Paramètres!$A$1:$I$89,3,0)*0.475*44/12</f>
        <v>3.6724559341022665E-6</v>
      </c>
      <c r="AX80" s="23">
        <f t="shared" si="60"/>
        <v>32.961172357361392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3.6</v>
      </c>
      <c r="BD80" s="13">
        <f>IF('Données projet'!$A$88&gt;35,BD79+BC80-BL79,IF(A80&lt;'Données projet'!$A$88,$BA$205^A80,IF(A80='Données projet'!$A$88,'Données projet'!$B$88,BD79+BC80-BL79)))</f>
        <v>222.19999999999993</v>
      </c>
      <c r="BE80" s="14">
        <f>BD80*VLOOKUP('Données projet'!$B$11,Paramètres!$A$1:$I$89,3,0)*VLOOKUP('Données projet'!$B$11,Paramètres!$A$1:$I$89,5,0)</f>
        <v>194.11391999999998</v>
      </c>
      <c r="BF80" s="14">
        <f t="shared" si="91"/>
        <v>48.44834513242396</v>
      </c>
      <c r="BG80" s="22">
        <f t="shared" si="61"/>
        <v>422.46261177230502</v>
      </c>
      <c r="BH80" s="62">
        <f t="shared" si="62"/>
        <v>715.79594510563834</v>
      </c>
      <c r="BI80" s="62">
        <f ca="1">AVERAGE(OFFSET($BH$3,0,0,'Données projet'!$E$11+1,1))-AVERAGE(OFFSET($H$3,0,0,'Données projet'!$E$11+1,1))</f>
        <v>236.12531905695994</v>
      </c>
      <c r="BJ80" s="62">
        <f t="shared" si="92"/>
        <v>270.64539221029258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2">
        <f t="shared" si="86"/>
        <v>13.74358465851647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70">
        <f t="shared" si="56"/>
        <v>398.50837661358275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151.58413719376074</v>
      </c>
      <c r="T81" s="62">
        <f t="shared" si="88"/>
        <v>310.105543138185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38.187933442377798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1.585393810218896E-5</v>
      </c>
      <c r="AC81" s="24">
        <f t="shared" si="57"/>
        <v>38.1879492963159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1.1368683772161603E-13</v>
      </c>
      <c r="AJ81" s="14">
        <f>AI81*VLOOKUP('Données projet'!$B$10,Paramètres!$A$1:$I$89,3,0)*VLOOKUP('Données projet'!$B$10,Paramètres!$A$1:$I$89,5,0)</f>
        <v>6.7984728957526396E-14</v>
      </c>
      <c r="AK81" s="14">
        <f t="shared" si="89"/>
        <v>1.0682447123141398E-12</v>
      </c>
      <c r="AL81" s="22">
        <f t="shared" si="58"/>
        <v>1.978932943548152E-12</v>
      </c>
      <c r="AM81" s="62">
        <f t="shared" si="59"/>
        <v>293.3333333333353</v>
      </c>
      <c r="AN81" s="62">
        <f ca="1">AVERAGE(OFFSET($AM$3,0,0,'Données projet'!$E$10+1,1))-AVERAGE(OFFSET($H$3,0,0,'Données projet'!$E$10+1,1))</f>
        <v>147.72913422715322</v>
      </c>
      <c r="AO81" s="62">
        <f t="shared" si="90"/>
        <v>361.07991692964799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20.608782585040654</v>
      </c>
      <c r="AV81" s="23">
        <f>EXP(-LN(2)/25)*AV80+(1-EXP(-LN(2)/25))/(LN(2)/25)*Calculateur!AQ81*Calculateur!AS81*VLOOKUP('Données projet'!$B$10,Paramètres!$A$1:$I$89,3,0)*0.475*44/12</f>
        <v>11.61367250432548</v>
      </c>
      <c r="AW81" s="23">
        <f>EXP(-LN(2)/2)*AW80+(1-EXP(-LN(2)/2))/(LN(2)/2)*AQ81*AT81*VLOOKUP('Données projet'!$B$10,Paramètres!$A$1:$I$89,3,0)*0.475*44/12</f>
        <v>2.5968184946124898E-6</v>
      </c>
      <c r="AX81" s="23">
        <f t="shared" si="60"/>
        <v>32.222457686184633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3.6</v>
      </c>
      <c r="BD81" s="13">
        <f>IF('Données projet'!$A$88&gt;35,BD80+BC81-BL80,IF(A81&lt;'Données projet'!$A$88,$BA$205^A81,IF(A81='Données projet'!$A$88,'Données projet'!$B$88,BD80+BC81-BL80)))</f>
        <v>225.79999999999993</v>
      </c>
      <c r="BE81" s="14">
        <f>BD81*VLOOKUP('Données projet'!$B$11,Paramètres!$A$1:$I$89,3,0)*VLOOKUP('Données projet'!$B$11,Paramètres!$A$1:$I$89,5,0)</f>
        <v>197.25887999999995</v>
      </c>
      <c r="BF81" s="14">
        <f t="shared" si="91"/>
        <v>49.141269519991567</v>
      </c>
      <c r="BG81" s="22">
        <f t="shared" si="61"/>
        <v>429.14692708065189</v>
      </c>
      <c r="BH81" s="62">
        <f t="shared" si="62"/>
        <v>722.48026041398521</v>
      </c>
      <c r="BI81" s="62">
        <f ca="1">AVERAGE(OFFSET($BH$3,0,0,'Données projet'!$E$11+1,1))-AVERAGE(OFFSET($H$3,0,0,'Données projet'!$E$11+1,1))</f>
        <v>236.12531905695994</v>
      </c>
      <c r="BJ81" s="62">
        <f t="shared" si="92"/>
        <v>270.64539221029258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2">
        <f t="shared" si="86"/>
        <v>13.899159186428221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70">
        <f t="shared" si="56"/>
        <v>399.82085224969569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151.58413719376074</v>
      </c>
      <c r="T82" s="62">
        <f t="shared" si="88"/>
        <v>310.105543138185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37.43909135991224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1.1210427140569598E-5</v>
      </c>
      <c r="AC82" s="24">
        <f t="shared" si="57"/>
        <v>37.439102570339379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1.1368683772161603E-13</v>
      </c>
      <c r="AJ82" s="14">
        <f>AI82*VLOOKUP('Données projet'!$B$10,Paramètres!$A$1:$I$89,3,0)*VLOOKUP('Données projet'!$B$10,Paramètres!$A$1:$I$89,5,0)</f>
        <v>6.7984728957526396E-14</v>
      </c>
      <c r="AK82" s="14">
        <f t="shared" si="89"/>
        <v>1.0682447123141398E-12</v>
      </c>
      <c r="AL82" s="22">
        <f t="shared" si="58"/>
        <v>1.978932943548152E-12</v>
      </c>
      <c r="AM82" s="62">
        <f t="shared" si="59"/>
        <v>293.3333333333353</v>
      </c>
      <c r="AN82" s="62">
        <f ca="1">AVERAGE(OFFSET($AM$3,0,0,'Données projet'!$E$10+1,1))-AVERAGE(OFFSET($H$3,0,0,'Données projet'!$E$10+1,1))</f>
        <v>147.72913422715322</v>
      </c>
      <c r="AO82" s="62">
        <f t="shared" si="90"/>
        <v>361.07991692964799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20.204656928664189</v>
      </c>
      <c r="AV82" s="23">
        <f>EXP(-LN(2)/25)*AV81+(1-EXP(-LN(2)/25))/(LN(2)/25)*Calculateur!AQ82*Calculateur!AS82*VLOOKUP('Données projet'!$B$10,Paramètres!$A$1:$I$89,3,0)*0.475*44/12</f>
        <v>11.296096018958206</v>
      </c>
      <c r="AW82" s="23">
        <f>EXP(-LN(2)/2)*AW81+(1-EXP(-LN(2)/2))/(LN(2)/2)*AQ82*AT82*VLOOKUP('Données projet'!$B$10,Paramètres!$A$1:$I$89,3,0)*0.475*44/12</f>
        <v>1.8362279670511337E-6</v>
      </c>
      <c r="AX82" s="23">
        <f t="shared" si="60"/>
        <v>31.500754783850361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3.6</v>
      </c>
      <c r="BD82" s="13">
        <f>IF('Données projet'!$A$88&gt;35,BD81+BC82-BL81,IF(A82&lt;'Données projet'!$A$88,$BA$205^A82,IF(A82='Données projet'!$A$88,'Données projet'!$B$88,BD81+BC82-BL81)))</f>
        <v>229.39999999999992</v>
      </c>
      <c r="BE82" s="14">
        <f>BD82*VLOOKUP('Données projet'!$B$11,Paramètres!$A$1:$I$89,3,0)*VLOOKUP('Données projet'!$B$11,Paramètres!$A$1:$I$89,5,0)</f>
        <v>200.40383999999997</v>
      </c>
      <c r="BF82" s="14">
        <f t="shared" si="91"/>
        <v>49.832909112305636</v>
      </c>
      <c r="BG82" s="22">
        <f t="shared" si="61"/>
        <v>435.82900470393224</v>
      </c>
      <c r="BH82" s="62">
        <f t="shared" si="62"/>
        <v>729.1623380372655</v>
      </c>
      <c r="BI82" s="62">
        <f ca="1">AVERAGE(OFFSET($BH$3,0,0,'Données projet'!$E$11+1,1))-AVERAGE(OFFSET($H$3,0,0,'Données projet'!$E$11+1,1))</f>
        <v>236.12531905695994</v>
      </c>
      <c r="BJ82" s="62">
        <f t="shared" si="92"/>
        <v>270.64539221029258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2">
        <f t="shared" si="86"/>
        <v>14.054504650394959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70">
        <f t="shared" si="56"/>
        <v>401.13292893277111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151.58413719376074</v>
      </c>
      <c r="T83" s="62">
        <f t="shared" si="88"/>
        <v>310.105543138185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36.70493361393526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7.9269690510944799E-6</v>
      </c>
      <c r="AC83" s="24">
        <f t="shared" si="57"/>
        <v>36.704941540904315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1.1368683772161603E-13</v>
      </c>
      <c r="AJ83" s="14">
        <f>AI83*VLOOKUP('Données projet'!$B$10,Paramètres!$A$1:$I$89,3,0)*VLOOKUP('Données projet'!$B$10,Paramètres!$A$1:$I$89,5,0)</f>
        <v>6.7984728957526396E-14</v>
      </c>
      <c r="AK83" s="14">
        <f t="shared" si="89"/>
        <v>1.0682447123141398E-12</v>
      </c>
      <c r="AL83" s="22">
        <f t="shared" si="58"/>
        <v>1.978932943548152E-12</v>
      </c>
      <c r="AM83" s="62">
        <f t="shared" si="59"/>
        <v>293.3333333333353</v>
      </c>
      <c r="AN83" s="62">
        <f ca="1">AVERAGE(OFFSET($AM$3,0,0,'Données projet'!$E$10+1,1))-AVERAGE(OFFSET($H$3,0,0,'Données projet'!$E$10+1,1))</f>
        <v>147.72913422715322</v>
      </c>
      <c r="AO83" s="62">
        <f t="shared" si="90"/>
        <v>361.07991692964799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19.808455929916953</v>
      </c>
      <c r="AV83" s="23">
        <f>EXP(-LN(2)/25)*AV82+(1-EXP(-LN(2)/25))/(LN(2)/25)*Calculateur!AQ83*Calculateur!AS83*VLOOKUP('Données projet'!$B$10,Paramètres!$A$1:$I$89,3,0)*0.475*44/12</f>
        <v>10.987203679283922</v>
      </c>
      <c r="AW83" s="23">
        <f>EXP(-LN(2)/2)*AW82+(1-EXP(-LN(2)/2))/(LN(2)/2)*AQ83*AT83*VLOOKUP('Données projet'!$B$10,Paramètres!$A$1:$I$89,3,0)*0.475*44/12</f>
        <v>1.2984092473062451E-6</v>
      </c>
      <c r="AX83" s="23">
        <f t="shared" si="60"/>
        <v>30.795660907610124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233</v>
      </c>
      <c r="BB83" s="13">
        <f>VLOOKUP(A83,'Données projet'!$A$87:$I$107,9,0)</f>
        <v>3.6</v>
      </c>
      <c r="BC83" s="13">
        <f t="array" ref="BC83">INDEX(BB:BB,MIN(IF(ISNUMBER(BB83:BB279),ROW(BB83:BB279),"")))</f>
        <v>3.6</v>
      </c>
      <c r="BD83" s="13">
        <f>IF('Données projet'!$A$88&gt;35,BD82+BC83-BL82,IF(A83&lt;'Données projet'!$A$88,$BA$205^A83,IF(A83='Données projet'!$A$88,'Données projet'!$B$88,BD82+BC83-BL82)))</f>
        <v>232.99999999999991</v>
      </c>
      <c r="BE83" s="14">
        <f>BD83*VLOOKUP('Données projet'!$B$11,Paramètres!$A$1:$I$89,3,0)*VLOOKUP('Données projet'!$B$11,Paramètres!$A$1:$I$89,5,0)</f>
        <v>203.54879999999994</v>
      </c>
      <c r="BF83" s="14">
        <f t="shared" si="91"/>
        <v>50.523286400023487</v>
      </c>
      <c r="BG83" s="22">
        <f t="shared" si="61"/>
        <v>442.5088838133741</v>
      </c>
      <c r="BH83" s="62">
        <f t="shared" si="62"/>
        <v>735.84221714670741</v>
      </c>
      <c r="BI83" s="62">
        <f ca="1">AVERAGE(OFFSET($BH$3,0,0,'Données projet'!$E$11+1,1))-AVERAGE(OFFSET($H$3,0,0,'Données projet'!$E$11+1,1))</f>
        <v>236.12531905695994</v>
      </c>
      <c r="BJ83" s="62">
        <f t="shared" si="92"/>
        <v>270.64539221029258</v>
      </c>
      <c r="BK83" s="16">
        <f>IF(ISNA(VLOOKUP(A83,'Données projet'!$A$87:$I$107,3,0)),0,VLOOKUP(A83,'Données projet'!$A$87:$I$107,3,0))</f>
        <v>13</v>
      </c>
      <c r="BL83" s="23">
        <f>IF(ISNA(VLOOKUP(A83,'Données projet'!$A$87:$I$107,4,0)),0,VLOOKUP(A83,'Données projet'!$A$87:$I$107,4,0))</f>
        <v>13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2">
        <f t="shared" si="86"/>
        <v>14.209624244846959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70">
        <f t="shared" si="56"/>
        <v>402.44461222644168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151.58413719376074</v>
      </c>
      <c r="T84" s="62">
        <f t="shared" si="88"/>
        <v>310.105543138185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35.985172253564883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5.6052135702847988E-6</v>
      </c>
      <c r="AC84" s="24">
        <f t="shared" si="57"/>
        <v>35.985177858778457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1.1368683772161603E-13</v>
      </c>
      <c r="AJ84" s="14">
        <f>AI84*VLOOKUP('Données projet'!$B$10,Paramètres!$A$1:$I$89,3,0)*VLOOKUP('Données projet'!$B$10,Paramètres!$A$1:$I$89,5,0)</f>
        <v>6.7984728957526396E-14</v>
      </c>
      <c r="AK84" s="14">
        <f t="shared" si="89"/>
        <v>1.0682447123141398E-12</v>
      </c>
      <c r="AL84" s="22">
        <f t="shared" si="58"/>
        <v>1.978932943548152E-12</v>
      </c>
      <c r="AM84" s="62">
        <f t="shared" si="59"/>
        <v>293.3333333333353</v>
      </c>
      <c r="AN84" s="62">
        <f ca="1">AVERAGE(OFFSET($AM$3,0,0,'Données projet'!$E$10+1,1))-AVERAGE(OFFSET($H$3,0,0,'Données projet'!$E$10+1,1))</f>
        <v>147.72913422715322</v>
      </c>
      <c r="AO84" s="62">
        <f t="shared" si="90"/>
        <v>361.07991692964799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19.420024191096402</v>
      </c>
      <c r="AV84" s="23">
        <f>EXP(-LN(2)/25)*AV83+(1-EXP(-LN(2)/25))/(LN(2)/25)*Calculateur!AQ84*Calculateur!AS84*VLOOKUP('Données projet'!$B$10,Paramètres!$A$1:$I$89,3,0)*0.475*44/12</f>
        <v>10.686758016881974</v>
      </c>
      <c r="AW84" s="23">
        <f>EXP(-LN(2)/2)*AW83+(1-EXP(-LN(2)/2))/(LN(2)/2)*AQ84*AT84*VLOOKUP('Données projet'!$B$10,Paramètres!$A$1:$I$89,3,0)*0.475*44/12</f>
        <v>9.1811398352556695E-7</v>
      </c>
      <c r="AX84" s="23">
        <f t="shared" si="60"/>
        <v>30.10678312609236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3</v>
      </c>
      <c r="BD84" s="13">
        <f>IF('Données projet'!$A$88&gt;35,BD83+BC84-BL83,IF(A84&lt;'Données projet'!$A$88,$BA$205^A84,IF(A84='Données projet'!$A$88,'Données projet'!$B$88,BD83+BC84-BL83)))</f>
        <v>222.99999999999991</v>
      </c>
      <c r="BE84" s="14">
        <f>BD84*VLOOKUP('Données projet'!$B$11,Paramètres!$A$1:$I$89,3,0)*VLOOKUP('Données projet'!$B$11,Paramètres!$A$1:$I$89,5,0)</f>
        <v>194.81279999999995</v>
      </c>
      <c r="BF84" s="14">
        <f t="shared" si="91"/>
        <v>48.602440540253859</v>
      </c>
      <c r="BG84" s="22">
        <f t="shared" si="61"/>
        <v>423.9482106076087</v>
      </c>
      <c r="BH84" s="62">
        <f t="shared" si="62"/>
        <v>717.28154394094202</v>
      </c>
      <c r="BI84" s="62">
        <f ca="1">AVERAGE(OFFSET($BH$3,0,0,'Données projet'!$E$11+1,1))-AVERAGE(OFFSET($H$3,0,0,'Données projet'!$E$11+1,1))</f>
        <v>236.12531905695994</v>
      </c>
      <c r="BJ84" s="62">
        <f t="shared" si="92"/>
        <v>270.64539221029258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2">
        <f t="shared" si="86"/>
        <v>14.364521080802797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70">
        <f t="shared" si="56"/>
        <v>403.75590754906477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151.58413719376074</v>
      </c>
      <c r="T85" s="62">
        <f t="shared" si="88"/>
        <v>310.105543138185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35.279524974460287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3.96348452554724E-6</v>
      </c>
      <c r="AC85" s="24">
        <f t="shared" si="57"/>
        <v>35.279528937944811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1.1368683772161603E-13</v>
      </c>
      <c r="AJ85" s="14">
        <f>AI85*VLOOKUP('Données projet'!$B$10,Paramètres!$A$1:$I$89,3,0)*VLOOKUP('Données projet'!$B$10,Paramètres!$A$1:$I$89,5,0)</f>
        <v>6.7984728957526396E-14</v>
      </c>
      <c r="AK85" s="14">
        <f t="shared" si="89"/>
        <v>1.0682447123141398E-12</v>
      </c>
      <c r="AL85" s="22">
        <f t="shared" si="58"/>
        <v>1.978932943548152E-12</v>
      </c>
      <c r="AM85" s="62">
        <f t="shared" si="59"/>
        <v>293.3333333333353</v>
      </c>
      <c r="AN85" s="62">
        <f ca="1">AVERAGE(OFFSET($AM$3,0,0,'Données projet'!$E$10+1,1))-AVERAGE(OFFSET($H$3,0,0,'Données projet'!$E$10+1,1))</f>
        <v>147.72913422715322</v>
      </c>
      <c r="AO85" s="62">
        <f t="shared" si="90"/>
        <v>361.07991692964799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19.039209361754157</v>
      </c>
      <c r="AV85" s="23">
        <f>EXP(-LN(2)/25)*AV84+(1-EXP(-LN(2)/25))/(LN(2)/25)*Calculateur!AQ85*Calculateur!AS85*VLOOKUP('Données projet'!$B$10,Paramètres!$A$1:$I$89,3,0)*0.475*44/12</f>
        <v>10.394528056918157</v>
      </c>
      <c r="AW85" s="23">
        <f>EXP(-LN(2)/2)*AW84+(1-EXP(-LN(2)/2))/(LN(2)/2)*AQ85*AT85*VLOOKUP('Données projet'!$B$10,Paramètres!$A$1:$I$89,3,0)*0.475*44/12</f>
        <v>6.4920462365312265E-7</v>
      </c>
      <c r="AX85" s="23">
        <f t="shared" si="60"/>
        <v>29.433738067876938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3</v>
      </c>
      <c r="BD85" s="13">
        <f>IF('Données projet'!$A$88&gt;35,BD84+BC85-BL84,IF(A85&lt;'Données projet'!$A$88,$BA$205^A85,IF(A85='Données projet'!$A$88,'Données projet'!$B$88,BD84+BC85-BL84)))</f>
        <v>225.99999999999991</v>
      </c>
      <c r="BE85" s="14">
        <f>BD85*VLOOKUP('Données projet'!$B$11,Paramètres!$A$1:$I$89,3,0)*VLOOKUP('Données projet'!$B$11,Paramètres!$A$1:$I$89,5,0)</f>
        <v>197.43359999999996</v>
      </c>
      <c r="BF85" s="14">
        <f t="shared" si="91"/>
        <v>49.179727436837609</v>
      </c>
      <c r="BG85" s="22">
        <f t="shared" si="61"/>
        <v>429.51821195249204</v>
      </c>
      <c r="BH85" s="62">
        <f t="shared" si="62"/>
        <v>722.8515452858253</v>
      </c>
      <c r="BI85" s="62">
        <f ca="1">AVERAGE(OFFSET($BH$3,0,0,'Données projet'!$E$11+1,1))-AVERAGE(OFFSET($H$3,0,0,'Données projet'!$E$11+1,1))</f>
        <v>236.12531905695994</v>
      </c>
      <c r="BJ85" s="62">
        <f t="shared" si="92"/>
        <v>270.64539221029258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2">
        <f t="shared" si="86"/>
        <v>14.519198189037443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70">
        <f t="shared" si="56"/>
        <v>405.0668201792401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151.58413719376074</v>
      </c>
      <c r="T86" s="62">
        <f t="shared" si="88"/>
        <v>310.105543138185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34.587715008096588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2.8026067851423994E-6</v>
      </c>
      <c r="AC86" s="24">
        <f t="shared" si="57"/>
        <v>34.587717810703374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1.1368683772161603E-13</v>
      </c>
      <c r="AJ86" s="14">
        <f>AI86*VLOOKUP('Données projet'!$B$10,Paramètres!$A$1:$I$89,3,0)*VLOOKUP('Données projet'!$B$10,Paramètres!$A$1:$I$89,5,0)</f>
        <v>6.7984728957526396E-14</v>
      </c>
      <c r="AK86" s="14">
        <f t="shared" si="89"/>
        <v>1.0682447123141398E-12</v>
      </c>
      <c r="AL86" s="22">
        <f t="shared" si="58"/>
        <v>1.978932943548152E-12</v>
      </c>
      <c r="AM86" s="62">
        <f t="shared" si="59"/>
        <v>293.3333333333353</v>
      </c>
      <c r="AN86" s="62">
        <f ca="1">AVERAGE(OFFSET($AM$3,0,0,'Données projet'!$E$10+1,1))-AVERAGE(OFFSET($H$3,0,0,'Données projet'!$E$10+1,1))</f>
        <v>147.72913422715322</v>
      </c>
      <c r="AO86" s="62">
        <f t="shared" si="90"/>
        <v>361.07991692964799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18.665862078941203</v>
      </c>
      <c r="AV86" s="23">
        <f>EXP(-LN(2)/25)*AV85+(1-EXP(-LN(2)/25))/(LN(2)/25)*Calculateur!AQ86*Calculateur!AS86*VLOOKUP('Données projet'!$B$10,Paramètres!$A$1:$I$89,3,0)*0.475*44/12</f>
        <v>10.110289140577256</v>
      </c>
      <c r="AW86" s="23">
        <f>EXP(-LN(2)/2)*AW85+(1-EXP(-LN(2)/2))/(LN(2)/2)*AQ86*AT86*VLOOKUP('Données projet'!$B$10,Paramètres!$A$1:$I$89,3,0)*0.475*44/12</f>
        <v>4.5905699176278358E-7</v>
      </c>
      <c r="AX86" s="23">
        <f t="shared" si="60"/>
        <v>28.776151678575452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3</v>
      </c>
      <c r="BD86" s="13">
        <f>IF('Données projet'!$A$88&gt;35,BD85+BC86-BL85,IF(A86&lt;'Données projet'!$A$88,$BA$205^A86,IF(A86='Données projet'!$A$88,'Données projet'!$B$88,BD85+BC86-BL85)))</f>
        <v>228.99999999999991</v>
      </c>
      <c r="BE86" s="14">
        <f>BD86*VLOOKUP('Données projet'!$B$11,Paramètres!$A$1:$I$89,3,0)*VLOOKUP('Données projet'!$B$11,Paramètres!$A$1:$I$89,5,0)</f>
        <v>200.05439999999993</v>
      </c>
      <c r="BF86" s="14">
        <f t="shared" si="91"/>
        <v>49.756123009618186</v>
      </c>
      <c r="BG86" s="22">
        <f t="shared" si="61"/>
        <v>435.0866609084182</v>
      </c>
      <c r="BH86" s="62">
        <f t="shared" si="62"/>
        <v>728.41999424175151</v>
      </c>
      <c r="BI86" s="62">
        <f ca="1">AVERAGE(OFFSET($BH$3,0,0,'Données projet'!$E$11+1,1))-AVERAGE(OFFSET($H$3,0,0,'Données projet'!$E$11+1,1))</f>
        <v>236.12531905695994</v>
      </c>
      <c r="BJ86" s="62">
        <f t="shared" si="92"/>
        <v>270.64539221029258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2">
        <f t="shared" si="86"/>
        <v>14.673658523093403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70">
        <f t="shared" si="56"/>
        <v>406.37735526105422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151.58413719376074</v>
      </c>
      <c r="T87" s="62">
        <f t="shared" si="88"/>
        <v>310.105543138185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33.909471013210869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1.98174226277362E-6</v>
      </c>
      <c r="AC87" s="24">
        <f t="shared" si="57"/>
        <v>33.909472994953134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1.1368683772161603E-13</v>
      </c>
      <c r="AJ87" s="14">
        <f>AI87*VLOOKUP('Données projet'!$B$10,Paramètres!$A$1:$I$89,3,0)*VLOOKUP('Données projet'!$B$10,Paramètres!$A$1:$I$89,5,0)</f>
        <v>6.7984728957526396E-14</v>
      </c>
      <c r="AK87" s="14">
        <f t="shared" si="89"/>
        <v>1.0682447123141398E-12</v>
      </c>
      <c r="AL87" s="22">
        <f t="shared" si="58"/>
        <v>1.978932943548152E-12</v>
      </c>
      <c r="AM87" s="62">
        <f t="shared" si="59"/>
        <v>293.3333333333353</v>
      </c>
      <c r="AN87" s="62">
        <f ca="1">AVERAGE(OFFSET($AM$3,0,0,'Données projet'!$E$10+1,1))-AVERAGE(OFFSET($H$3,0,0,'Données projet'!$E$10+1,1))</f>
        <v>147.72913422715322</v>
      </c>
      <c r="AO87" s="62">
        <f t="shared" si="90"/>
        <v>361.07991692964799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18.299835908624853</v>
      </c>
      <c r="AV87" s="23">
        <f>EXP(-LN(2)/25)*AV86+(1-EXP(-LN(2)/25))/(LN(2)/25)*Calculateur!AQ87*Calculateur!AS87*VLOOKUP('Données projet'!$B$10,Paramètres!$A$1:$I$89,3,0)*0.475*44/12</f>
        <v>9.833822752351173</v>
      </c>
      <c r="AW87" s="23">
        <f>EXP(-LN(2)/2)*AW86+(1-EXP(-LN(2)/2))/(LN(2)/2)*AQ87*AT87*VLOOKUP('Données projet'!$B$10,Paramètres!$A$1:$I$89,3,0)*0.475*44/12</f>
        <v>3.2460231182656138E-7</v>
      </c>
      <c r="AX87" s="23">
        <f t="shared" si="60"/>
        <v>28.133658985578336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3</v>
      </c>
      <c r="BD87" s="13">
        <f>IF('Données projet'!$A$88&gt;35,BD86+BC87-BL86,IF(A87&lt;'Données projet'!$A$88,$BA$205^A87,IF(A87='Données projet'!$A$88,'Données projet'!$B$88,BD86+BC87-BL86)))</f>
        <v>231.99999999999991</v>
      </c>
      <c r="BE87" s="14">
        <f>BD87*VLOOKUP('Données projet'!$B$11,Paramètres!$A$1:$I$89,3,0)*VLOOKUP('Données projet'!$B$11,Paramètres!$A$1:$I$89,5,0)</f>
        <v>202.67519999999993</v>
      </c>
      <c r="BF87" s="14">
        <f t="shared" si="91"/>
        <v>50.33164028531364</v>
      </c>
      <c r="BG87" s="22">
        <f t="shared" si="61"/>
        <v>440.65358016358778</v>
      </c>
      <c r="BH87" s="62">
        <f t="shared" si="62"/>
        <v>733.98691349692103</v>
      </c>
      <c r="BI87" s="62">
        <f ca="1">AVERAGE(OFFSET($BH$3,0,0,'Données projet'!$E$11+1,1))-AVERAGE(OFFSET($H$3,0,0,'Données projet'!$E$11+1,1))</f>
        <v>236.12531905695994</v>
      </c>
      <c r="BJ87" s="62">
        <f t="shared" si="92"/>
        <v>270.64539221029258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2">
        <f t="shared" si="86"/>
        <v>14.827904962144244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70">
        <f t="shared" si="56"/>
        <v>407.6875178090678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151.58413719376074</v>
      </c>
      <c r="T88" s="62">
        <f t="shared" si="88"/>
        <v>310.105543138185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33.244526969376871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1.4013033925711997E-6</v>
      </c>
      <c r="AC88" s="24">
        <f t="shared" si="57"/>
        <v>33.244528370680264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1.1368683772161603E-13</v>
      </c>
      <c r="AJ88" s="14">
        <f>AI88*VLOOKUP('Données projet'!$B$10,Paramètres!$A$1:$I$89,3,0)*VLOOKUP('Données projet'!$B$10,Paramètres!$A$1:$I$89,5,0)</f>
        <v>6.7984728957526396E-14</v>
      </c>
      <c r="AK88" s="14">
        <f t="shared" si="89"/>
        <v>1.0682447123141398E-12</v>
      </c>
      <c r="AL88" s="22">
        <f t="shared" si="58"/>
        <v>1.978932943548152E-12</v>
      </c>
      <c r="AM88" s="62">
        <f t="shared" si="59"/>
        <v>293.3333333333353</v>
      </c>
      <c r="AN88" s="62">
        <f ca="1">AVERAGE(OFFSET($AM$3,0,0,'Données projet'!$E$10+1,1))-AVERAGE(OFFSET($H$3,0,0,'Données projet'!$E$10+1,1))</f>
        <v>147.72913422715322</v>
      </c>
      <c r="AO88" s="62">
        <f t="shared" si="90"/>
        <v>361.07991692964799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17.940987288254487</v>
      </c>
      <c r="AV88" s="23">
        <f>EXP(-LN(2)/25)*AV87+(1-EXP(-LN(2)/25))/(LN(2)/25)*Calculateur!AQ88*Calculateur!AS88*VLOOKUP('Données projet'!$B$10,Paramètres!$A$1:$I$89,3,0)*0.475*44/12</f>
        <v>9.5649163520498668</v>
      </c>
      <c r="AW88" s="23">
        <f>EXP(-LN(2)/2)*AW87+(1-EXP(-LN(2)/2))/(LN(2)/2)*AQ88*AT88*VLOOKUP('Données projet'!$B$10,Paramètres!$A$1:$I$89,3,0)*0.475*44/12</f>
        <v>2.2952849588139182E-7</v>
      </c>
      <c r="AX88" s="23">
        <f t="shared" si="60"/>
        <v>27.505903869832849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>
        <f>VLOOKUP(A88,'Données projet'!$A$87:$I$107,2,0)</f>
        <v>235</v>
      </c>
      <c r="BB88" s="13">
        <f>VLOOKUP(A88,'Données projet'!$A$87:$I$107,9,0)</f>
        <v>3</v>
      </c>
      <c r="BC88" s="13">
        <f t="array" ref="BC88">INDEX(BB:BB,MIN(IF(ISNUMBER(BB88:BB284),ROW(BB88:BB284),"")))</f>
        <v>3</v>
      </c>
      <c r="BD88" s="13">
        <f>IF('Données projet'!$A$88&gt;35,BD87+BC88-BL87,IF(A88&lt;'Données projet'!$A$88,$BA$205^A88,IF(A88='Données projet'!$A$88,'Données projet'!$B$88,BD87+BC88-BL87)))</f>
        <v>234.99999999999991</v>
      </c>
      <c r="BE88" s="14">
        <f>BD88*VLOOKUP('Données projet'!$B$11,Paramètres!$A$1:$I$89,3,0)*VLOOKUP('Données projet'!$B$11,Paramètres!$A$1:$I$89,5,0)</f>
        <v>205.29599999999996</v>
      </c>
      <c r="BF88" s="14">
        <f t="shared" si="91"/>
        <v>50.906291934375353</v>
      </c>
      <c r="BG88" s="22">
        <f t="shared" si="61"/>
        <v>446.21899178570357</v>
      </c>
      <c r="BH88" s="62">
        <f t="shared" si="62"/>
        <v>739.55232511903682</v>
      </c>
      <c r="BI88" s="62">
        <f ca="1">AVERAGE(OFFSET($BH$3,0,0,'Données projet'!$E$11+1,1))-AVERAGE(OFFSET($H$3,0,0,'Données projet'!$E$11+1,1))</f>
        <v>236.12531905695994</v>
      </c>
      <c r="BJ88" s="62">
        <f t="shared" si="92"/>
        <v>270.64539221029258</v>
      </c>
      <c r="BK88" s="16">
        <f>IF(ISNA(VLOOKUP(A88,'Données projet'!$A$87:$I$107,3,0)),0,VLOOKUP(A88,'Données projet'!$A$87:$I$107,3,0))</f>
        <v>14</v>
      </c>
      <c r="BL88" s="16">
        <f>IF(ISNA(VLOOKUP(A88,'Données projet'!$A$87:$I$107,4,0)),0,VLOOKUP(A88,'Données projet'!$A$87:$I$107,4,0))</f>
        <v>12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2">
        <f t="shared" si="86"/>
        <v>14.981940313719663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70">
        <f t="shared" si="56"/>
        <v>408.99731271306166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151.58413719376074</v>
      </c>
      <c r="T89" s="62">
        <f t="shared" si="88"/>
        <v>310.105543138185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32.592622072666636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9.9087113138680999E-7</v>
      </c>
      <c r="AC89" s="24">
        <f t="shared" si="57"/>
        <v>32.592623063537765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1.1368683772161603E-13</v>
      </c>
      <c r="AJ89" s="14">
        <f>AI89*VLOOKUP('Données projet'!$B$10,Paramètres!$A$1:$I$89,3,0)*VLOOKUP('Données projet'!$B$10,Paramètres!$A$1:$I$89,5,0)</f>
        <v>6.7984728957526396E-14</v>
      </c>
      <c r="AK89" s="14">
        <f t="shared" si="89"/>
        <v>1.0682447123141398E-12</v>
      </c>
      <c r="AL89" s="22">
        <f t="shared" si="58"/>
        <v>1.978932943548152E-12</v>
      </c>
      <c r="AM89" s="62">
        <f t="shared" si="59"/>
        <v>293.3333333333353</v>
      </c>
      <c r="AN89" s="62">
        <f ca="1">AVERAGE(OFFSET($AM$3,0,0,'Données projet'!$E$10+1,1))-AVERAGE(OFFSET($H$3,0,0,'Données projet'!$E$10+1,1))</f>
        <v>147.72913422715322</v>
      </c>
      <c r="AO89" s="62">
        <f t="shared" si="90"/>
        <v>361.07991692964799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17.589175470453537</v>
      </c>
      <c r="AV89" s="23">
        <f>EXP(-LN(2)/25)*AV88+(1-EXP(-LN(2)/25))/(LN(2)/25)*Calculateur!AQ89*Calculateur!AS89*VLOOKUP('Données projet'!$B$10,Paramètres!$A$1:$I$89,3,0)*0.475*44/12</f>
        <v>9.3033632114059728</v>
      </c>
      <c r="AW89" s="23">
        <f>EXP(-LN(2)/2)*AW88+(1-EXP(-LN(2)/2))/(LN(2)/2)*AQ89*AT89*VLOOKUP('Données projet'!$B$10,Paramètres!$A$1:$I$89,3,0)*0.475*44/12</f>
        <v>1.6230115591328072E-7</v>
      </c>
      <c r="AX89" s="23">
        <f t="shared" si="60"/>
        <v>26.892538844160665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2.6</v>
      </c>
      <c r="BD89" s="13">
        <f>IF('Données projet'!$A$88&gt;35,BD88+BC89-BL88,IF(A89&lt;'Données projet'!$A$88,$BA$205^A89,IF(A89='Données projet'!$A$88,'Données projet'!$B$88,BD88+BC89-BL88)))</f>
        <v>225.59999999999991</v>
      </c>
      <c r="BE89" s="14">
        <f>BD89*VLOOKUP('Données projet'!$B$11,Paramètres!$A$1:$I$89,3,0)*VLOOKUP('Données projet'!$B$11,Paramètres!$A$1:$I$89,5,0)</f>
        <v>197.08415999999994</v>
      </c>
      <c r="BF89" s="14">
        <f t="shared" si="91"/>
        <v>49.102807637925878</v>
      </c>
      <c r="BG89" s="22">
        <f t="shared" si="61"/>
        <v>428.77563530272073</v>
      </c>
      <c r="BH89" s="62">
        <f t="shared" si="62"/>
        <v>722.10896863605399</v>
      </c>
      <c r="BI89" s="62">
        <f ca="1">AVERAGE(OFFSET($BH$3,0,0,'Données projet'!$E$11+1,1))-AVERAGE(OFFSET($H$3,0,0,'Données projet'!$E$11+1,1))</f>
        <v>236.12531905695994</v>
      </c>
      <c r="BJ89" s="62">
        <f t="shared" si="92"/>
        <v>270.64539221029258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2">
        <f t="shared" si="86"/>
        <v>15.135767316300113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70">
        <f t="shared" si="56"/>
        <v>410.30674474255591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151.58413719376074</v>
      </c>
      <c r="T90" s="62">
        <f t="shared" si="88"/>
        <v>310.105543138185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31.953500633358168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7.0065169628559984E-7</v>
      </c>
      <c r="AC90" s="24">
        <f t="shared" si="57"/>
        <v>31.953501334009864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1.1368683772161603E-13</v>
      </c>
      <c r="AJ90" s="14">
        <f>AI90*VLOOKUP('Données projet'!$B$10,Paramètres!$A$1:$I$89,3,0)*VLOOKUP('Données projet'!$B$10,Paramètres!$A$1:$I$89,5,0)</f>
        <v>6.7984728957526396E-14</v>
      </c>
      <c r="AK90" s="14">
        <f t="shared" si="89"/>
        <v>1.0682447123141398E-12</v>
      </c>
      <c r="AL90" s="22">
        <f t="shared" si="58"/>
        <v>1.978932943548152E-12</v>
      </c>
      <c r="AM90" s="62">
        <f t="shared" si="59"/>
        <v>293.3333333333353</v>
      </c>
      <c r="AN90" s="62">
        <f ca="1">AVERAGE(OFFSET($AM$3,0,0,'Données projet'!$E$10+1,1))-AVERAGE(OFFSET($H$3,0,0,'Données projet'!$E$10+1,1))</f>
        <v>147.72913422715322</v>
      </c>
      <c r="AO90" s="62">
        <f t="shared" si="90"/>
        <v>361.07991692964799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17.244262467815645</v>
      </c>
      <c r="AV90" s="23">
        <f>EXP(-LN(2)/25)*AV89+(1-EXP(-LN(2)/25))/(LN(2)/25)*Calculateur!AQ90*Calculateur!AS90*VLOOKUP('Données projet'!$B$10,Paramètres!$A$1:$I$89,3,0)*0.475*44/12</f>
        <v>9.0489622551474689</v>
      </c>
      <c r="AW90" s="23">
        <f>EXP(-LN(2)/2)*AW89+(1-EXP(-LN(2)/2))/(LN(2)/2)*AQ90*AT90*VLOOKUP('Données projet'!$B$10,Paramètres!$A$1:$I$89,3,0)*0.475*44/12</f>
        <v>1.1476424794069594E-7</v>
      </c>
      <c r="AX90" s="23">
        <f t="shared" si="60"/>
        <v>26.293224837727362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2.6</v>
      </c>
      <c r="BD90" s="13">
        <f>IF('Données projet'!$A$88&gt;35,BD89+BC90-BL89,IF(A90&lt;'Données projet'!$A$88,$BA$205^A90,IF(A90='Données projet'!$A$88,'Données projet'!$B$88,BD89+BC90-BL89)))</f>
        <v>228.1999999999999</v>
      </c>
      <c r="BE90" s="14">
        <f>BD90*VLOOKUP('Données projet'!$B$11,Paramètres!$A$1:$I$89,3,0)*VLOOKUP('Données projet'!$B$11,Paramètres!$A$1:$I$89,5,0)</f>
        <v>199.35551999999996</v>
      </c>
      <c r="BF90" s="14">
        <f t="shared" si="91"/>
        <v>49.602503932783179</v>
      </c>
      <c r="BG90" s="22">
        <f t="shared" si="61"/>
        <v>433.60189168293056</v>
      </c>
      <c r="BH90" s="62">
        <f t="shared" si="62"/>
        <v>726.93522501626387</v>
      </c>
      <c r="BI90" s="62">
        <f ca="1">AVERAGE(OFFSET($BH$3,0,0,'Données projet'!$E$11+1,1))-AVERAGE(OFFSET($H$3,0,0,'Données projet'!$E$11+1,1))</f>
        <v>236.12531905695994</v>
      </c>
      <c r="BJ90" s="62">
        <f t="shared" si="92"/>
        <v>270.64539221029258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2">
        <f t="shared" si="86"/>
        <v>15.289388641788751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70">
        <f t="shared" si="56"/>
        <v>411.6158185511153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151.58413719376074</v>
      </c>
      <c r="T91" s="62">
        <f t="shared" si="88"/>
        <v>310.105543138185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31.326911975648951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4.9543556569340499E-7</v>
      </c>
      <c r="AC91" s="24">
        <f t="shared" si="57"/>
        <v>31.326912471084515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1.1368683772161603E-13</v>
      </c>
      <c r="AJ91" s="14">
        <f>AI91*VLOOKUP('Données projet'!$B$10,Paramètres!$A$1:$I$89,3,0)*VLOOKUP('Données projet'!$B$10,Paramètres!$A$1:$I$89,5,0)</f>
        <v>6.7984728957526396E-14</v>
      </c>
      <c r="AK91" s="14">
        <f t="shared" si="89"/>
        <v>1.0682447123141398E-12</v>
      </c>
      <c r="AL91" s="22">
        <f t="shared" si="58"/>
        <v>1.978932943548152E-12</v>
      </c>
      <c r="AM91" s="62">
        <f t="shared" si="59"/>
        <v>293.3333333333353</v>
      </c>
      <c r="AN91" s="62">
        <f ca="1">AVERAGE(OFFSET($AM$3,0,0,'Données projet'!$E$10+1,1))-AVERAGE(OFFSET($H$3,0,0,'Données projet'!$E$10+1,1))</f>
        <v>147.72913422715322</v>
      </c>
      <c r="AO91" s="62">
        <f t="shared" si="90"/>
        <v>361.07991692964799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16.906112998783325</v>
      </c>
      <c r="AV91" s="23">
        <f>EXP(-LN(2)/25)*AV90+(1-EXP(-LN(2)/25))/(LN(2)/25)*Calculateur!AQ91*Calculateur!AS91*VLOOKUP('Données projet'!$B$10,Paramètres!$A$1:$I$89,3,0)*0.475*44/12</f>
        <v>8.8015179064162172</v>
      </c>
      <c r="AW91" s="23">
        <f>EXP(-LN(2)/2)*AW90+(1-EXP(-LN(2)/2))/(LN(2)/2)*AQ91*AT91*VLOOKUP('Données projet'!$B$10,Paramètres!$A$1:$I$89,3,0)*0.475*44/12</f>
        <v>8.1150577956640371E-8</v>
      </c>
      <c r="AX91" s="23">
        <f t="shared" si="60"/>
        <v>25.707630986350122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2.6</v>
      </c>
      <c r="BD91" s="13">
        <f>IF('Données projet'!$A$88&gt;35,BD90+BC91-BL90,IF(A91&lt;'Données projet'!$A$88,$BA$205^A91,IF(A91='Données projet'!$A$88,'Données projet'!$B$88,BD90+BC91-BL90)))</f>
        <v>230.7999999999999</v>
      </c>
      <c r="BE91" s="14">
        <f>BD91*VLOOKUP('Données projet'!$B$11,Paramètres!$A$1:$I$89,3,0)*VLOOKUP('Données projet'!$B$11,Paramètres!$A$1:$I$89,5,0)</f>
        <v>201.62687999999994</v>
      </c>
      <c r="BF91" s="14">
        <f t="shared" si="91"/>
        <v>50.101537951964936</v>
      </c>
      <c r="BG91" s="22">
        <f t="shared" si="61"/>
        <v>438.42699459967213</v>
      </c>
      <c r="BH91" s="62">
        <f t="shared" si="62"/>
        <v>731.76032793300544</v>
      </c>
      <c r="BI91" s="62">
        <f ca="1">AVERAGE(OFFSET($BH$3,0,0,'Données projet'!$E$11+1,1))-AVERAGE(OFFSET($H$3,0,0,'Données projet'!$E$11+1,1))</f>
        <v>236.12531905695994</v>
      </c>
      <c r="BJ91" s="62">
        <f t="shared" si="92"/>
        <v>270.64539221029258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2">
        <f t="shared" si="86"/>
        <v>15.442806897867856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70">
        <f t="shared" si="56"/>
        <v>412.92453868045305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151.58413719376074</v>
      </c>
      <c r="T92" s="62">
        <f t="shared" si="88"/>
        <v>310.105543138185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30.712610339336067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3.5032584814279992E-7</v>
      </c>
      <c r="AC92" s="24">
        <f t="shared" si="57"/>
        <v>30.712610689661915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1.1368683772161603E-13</v>
      </c>
      <c r="AJ92" s="14">
        <f>AI92*VLOOKUP('Données projet'!$B$10,Paramètres!$A$1:$I$89,3,0)*VLOOKUP('Données projet'!$B$10,Paramètres!$A$1:$I$89,5,0)</f>
        <v>6.7984728957526396E-14</v>
      </c>
      <c r="AK92" s="14">
        <f t="shared" si="89"/>
        <v>1.0682447123141398E-12</v>
      </c>
      <c r="AL92" s="22">
        <f t="shared" si="58"/>
        <v>1.978932943548152E-12</v>
      </c>
      <c r="AM92" s="62">
        <f t="shared" si="59"/>
        <v>293.3333333333353</v>
      </c>
      <c r="AN92" s="62">
        <f ca="1">AVERAGE(OFFSET($AM$3,0,0,'Données projet'!$E$10+1,1))-AVERAGE(OFFSET($H$3,0,0,'Données projet'!$E$10+1,1))</f>
        <v>147.72913422715322</v>
      </c>
      <c r="AO92" s="62">
        <f t="shared" si="90"/>
        <v>361.07991692964799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16.574594434587915</v>
      </c>
      <c r="AV92" s="23">
        <f>EXP(-LN(2)/25)*AV91+(1-EXP(-LN(2)/25))/(LN(2)/25)*Calculateur!AQ92*Calculateur!AS92*VLOOKUP('Données projet'!$B$10,Paramètres!$A$1:$I$89,3,0)*0.475*44/12</f>
        <v>8.5608399364135543</v>
      </c>
      <c r="AW92" s="23">
        <f>EXP(-LN(2)/2)*AW91+(1-EXP(-LN(2)/2))/(LN(2)/2)*AQ92*AT92*VLOOKUP('Données projet'!$B$10,Paramètres!$A$1:$I$89,3,0)*0.475*44/12</f>
        <v>5.7382123970347974E-8</v>
      </c>
      <c r="AX92" s="23">
        <f t="shared" si="60"/>
        <v>25.135434428383594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2.6</v>
      </c>
      <c r="BD92" s="13">
        <f>IF('Données projet'!$A$88&gt;35,BD91+BC92-BL91,IF(A92&lt;'Données projet'!$A$88,$BA$205^A92,IF(A92='Données projet'!$A$88,'Données projet'!$B$88,BD91+BC92-BL91)))</f>
        <v>233.39999999999989</v>
      </c>
      <c r="BE92" s="14">
        <f>BD92*VLOOKUP('Données projet'!$B$11,Paramètres!$A$1:$I$89,3,0)*VLOOKUP('Données projet'!$B$11,Paramètres!$A$1:$I$89,5,0)</f>
        <v>203.89823999999993</v>
      </c>
      <c r="BF92" s="14">
        <f t="shared" si="91"/>
        <v>50.59991801943017</v>
      </c>
      <c r="BG92" s="22">
        <f t="shared" si="61"/>
        <v>443.25095855050739</v>
      </c>
      <c r="BH92" s="62">
        <f t="shared" si="62"/>
        <v>736.58429188384071</v>
      </c>
      <c r="BI92" s="62">
        <f ca="1">AVERAGE(OFFSET($BH$3,0,0,'Données projet'!$E$11+1,1))-AVERAGE(OFFSET($H$3,0,0,'Données projet'!$E$11+1,1))</f>
        <v>236.12531905695994</v>
      </c>
      <c r="BJ92" s="62">
        <f t="shared" si="92"/>
        <v>270.64539221029258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2">
        <f t="shared" si="86"/>
        <v>15.596024630246252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70">
        <f t="shared" si="56"/>
        <v>414.23290956434545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151.58413719376074</v>
      </c>
      <c r="T93" s="62">
        <f t="shared" si="88"/>
        <v>310.105543138185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30.110354783424278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2.477177828467025E-7</v>
      </c>
      <c r="AC93" s="24">
        <f t="shared" si="57"/>
        <v>30.11035503114206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1.1368683772161603E-13</v>
      </c>
      <c r="AJ93" s="14">
        <f>AI93*VLOOKUP('Données projet'!$B$10,Paramètres!$A$1:$I$89,3,0)*VLOOKUP('Données projet'!$B$10,Paramètres!$A$1:$I$89,5,0)</f>
        <v>6.7984728957526396E-14</v>
      </c>
      <c r="AK93" s="14">
        <f t="shared" si="89"/>
        <v>1.0682447123141398E-12</v>
      </c>
      <c r="AL93" s="22">
        <f t="shared" si="58"/>
        <v>1.978932943548152E-12</v>
      </c>
      <c r="AM93" s="62">
        <f t="shared" si="59"/>
        <v>293.3333333333353</v>
      </c>
      <c r="AN93" s="62">
        <f ca="1">AVERAGE(OFFSET($AM$3,0,0,'Données projet'!$E$10+1,1))-AVERAGE(OFFSET($H$3,0,0,'Données projet'!$E$10+1,1))</f>
        <v>147.72913422715322</v>
      </c>
      <c r="AO93" s="62">
        <f t="shared" si="90"/>
        <v>361.07991692964799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16.249576747230019</v>
      </c>
      <c r="AV93" s="23">
        <f>EXP(-LN(2)/25)*AV92+(1-EXP(-LN(2)/25))/(LN(2)/25)*Calculateur!AQ93*Calculateur!AS93*VLOOKUP('Données projet'!$B$10,Paramètres!$A$1:$I$89,3,0)*0.475*44/12</f>
        <v>8.3267433181573196</v>
      </c>
      <c r="AW93" s="23">
        <f>EXP(-LN(2)/2)*AW92+(1-EXP(-LN(2)/2))/(LN(2)/2)*AQ93*AT93*VLOOKUP('Données projet'!$B$10,Paramètres!$A$1:$I$89,3,0)*0.475*44/12</f>
        <v>4.0575288978320192E-8</v>
      </c>
      <c r="AX93" s="23">
        <f t="shared" si="60"/>
        <v>24.57632010596263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236</v>
      </c>
      <c r="BB93" s="13">
        <f>VLOOKUP(A93,'Données projet'!$A$87:$I$107,9,0)</f>
        <v>2.6</v>
      </c>
      <c r="BC93" s="13">
        <f t="array" ref="BC93">INDEX(BB:BB,MIN(IF(ISNUMBER(BB93:BB289),ROW(BB93:BB289),"")))</f>
        <v>2.6</v>
      </c>
      <c r="BD93" s="13">
        <f>IF('Données projet'!$A$88&gt;35,BD92+BC93-BL92,IF(A93&lt;'Données projet'!$A$88,$BA$205^A93,IF(A93='Données projet'!$A$88,'Données projet'!$B$88,BD92+BC93-BL92)))</f>
        <v>235.99999999999989</v>
      </c>
      <c r="BE93" s="14">
        <f>BD93*VLOOKUP('Données projet'!$B$11,Paramètres!$A$1:$I$89,3,0)*VLOOKUP('Données projet'!$B$11,Paramètres!$A$1:$I$89,5,0)</f>
        <v>206.16959999999992</v>
      </c>
      <c r="BF93" s="14">
        <f t="shared" si="91"/>
        <v>51.097652263007333</v>
      </c>
      <c r="BG93" s="22">
        <f t="shared" si="61"/>
        <v>448.07379769140431</v>
      </c>
      <c r="BH93" s="62">
        <f t="shared" si="62"/>
        <v>741.40713102473762</v>
      </c>
      <c r="BI93" s="62">
        <f ca="1">AVERAGE(OFFSET($BH$3,0,0,'Données projet'!$E$11+1,1))-AVERAGE(OFFSET($H$3,0,0,'Données projet'!$E$11+1,1))</f>
        <v>236.12531905695994</v>
      </c>
      <c r="BJ93" s="62">
        <f t="shared" si="92"/>
        <v>270.64539221029258</v>
      </c>
      <c r="BK93" s="16">
        <f>IF(ISNA(VLOOKUP(A93,'Données projet'!$A$87:$I$107,3,0)),0,VLOOKUP(A93,'Données projet'!$A$87:$I$107,3,0))</f>
        <v>15</v>
      </c>
      <c r="BL93" s="16">
        <f>IF(ISNA(VLOOKUP(A93,'Données projet'!$A$87:$I$107,4,0)),0,VLOOKUP(A93,'Données projet'!$A$87:$I$107,4,0))</f>
        <v>236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2">
        <f t="shared" si="86"/>
        <v>15.749044324804029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70">
        <f t="shared" si="56"/>
        <v>415.54093553236692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151.58413719376074</v>
      </c>
      <c r="T94" s="62">
        <f t="shared" si="88"/>
        <v>310.105543138185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29.519909091624303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1.7516292407139996E-7</v>
      </c>
      <c r="AC94" s="24">
        <f t="shared" si="57"/>
        <v>29.519909266787227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1.1368683772161603E-13</v>
      </c>
      <c r="AJ94" s="14">
        <f>AI94*VLOOKUP('Données projet'!$B$10,Paramètres!$A$1:$I$89,3,0)*VLOOKUP('Données projet'!$B$10,Paramètres!$A$1:$I$89,5,0)</f>
        <v>6.7984728957526396E-14</v>
      </c>
      <c r="AK94" s="14">
        <f t="shared" si="89"/>
        <v>1.0682447123141398E-12</v>
      </c>
      <c r="AL94" s="22">
        <f t="shared" si="58"/>
        <v>1.978932943548152E-12</v>
      </c>
      <c r="AM94" s="62">
        <f t="shared" si="59"/>
        <v>293.3333333333353</v>
      </c>
      <c r="AN94" s="62">
        <f ca="1">AVERAGE(OFFSET($AM$3,0,0,'Données projet'!$E$10+1,1))-AVERAGE(OFFSET($H$3,0,0,'Données projet'!$E$10+1,1))</f>
        <v>147.72913422715322</v>
      </c>
      <c r="AO94" s="62">
        <f t="shared" si="90"/>
        <v>361.07991692964799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15.930932458479999</v>
      </c>
      <c r="AV94" s="23">
        <f>EXP(-LN(2)/25)*AV93+(1-EXP(-LN(2)/25))/(LN(2)/25)*Calculateur!AQ94*Calculateur!AS94*VLOOKUP('Données projet'!$B$10,Paramètres!$A$1:$I$89,3,0)*0.475*44/12</f>
        <v>8.0990480842379071</v>
      </c>
      <c r="AW94" s="23">
        <f>EXP(-LN(2)/2)*AW93+(1-EXP(-LN(2)/2))/(LN(2)/2)*AQ94*AT94*VLOOKUP('Données projet'!$B$10,Paramètres!$A$1:$I$89,3,0)*0.475*44/12</f>
        <v>2.869106198517399E-8</v>
      </c>
      <c r="AX94" s="23">
        <f t="shared" si="60"/>
        <v>24.02998057140897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-1.1368683772161603E-13</v>
      </c>
      <c r="BE94" s="14">
        <f>BD94*VLOOKUP('Données projet'!$B$11,Paramètres!$A$1:$I$89,3,0)*VLOOKUP('Données projet'!$B$11,Paramètres!$A$1:$I$89,5,0)</f>
        <v>-9.9316821433603781E-14</v>
      </c>
      <c r="BF94" s="14" t="e">
        <f t="shared" si="91"/>
        <v>#NUM!</v>
      </c>
      <c r="BG94" s="22" t="e">
        <f t="shared" si="61"/>
        <v>#NUM!</v>
      </c>
      <c r="BH94" s="62" t="e">
        <f t="shared" si="62"/>
        <v>#NUM!</v>
      </c>
      <c r="BI94" s="62">
        <f ca="1">AVERAGE(OFFSET($BH$3,0,0,'Données projet'!$E$11+1,1))-AVERAGE(OFFSET($H$3,0,0,'Données projet'!$E$11+1,1))</f>
        <v>236.12531905695994</v>
      </c>
      <c r="BJ94" s="62">
        <f t="shared" si="92"/>
        <v>270.64539221029258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2">
        <f t="shared" si="86"/>
        <v>15.901868409640313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70">
        <f t="shared" si="56"/>
        <v>416.84862081345676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151.58413719376074</v>
      </c>
      <c r="T95" s="62">
        <f t="shared" si="88"/>
        <v>310.105543138185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28.941041679704213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1.2385889142335125E-7</v>
      </c>
      <c r="AC95" s="24">
        <f t="shared" si="57"/>
        <v>28.941041803563106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1.1368683772161603E-13</v>
      </c>
      <c r="AJ95" s="14">
        <f>AI95*VLOOKUP('Données projet'!$B$10,Paramètres!$A$1:$I$89,3,0)*VLOOKUP('Données projet'!$B$10,Paramètres!$A$1:$I$89,5,0)</f>
        <v>6.7984728957526396E-14</v>
      </c>
      <c r="AK95" s="14">
        <f t="shared" si="89"/>
        <v>1.0682447123141398E-12</v>
      </c>
      <c r="AL95" s="22">
        <f t="shared" si="58"/>
        <v>1.978932943548152E-12</v>
      </c>
      <c r="AM95" s="62">
        <f t="shared" si="59"/>
        <v>293.3333333333353</v>
      </c>
      <c r="AN95" s="62">
        <f ca="1">AVERAGE(OFFSET($AM$3,0,0,'Données projet'!$E$10+1,1))-AVERAGE(OFFSET($H$3,0,0,'Données projet'!$E$10+1,1))</f>
        <v>147.72913422715322</v>
      </c>
      <c r="AO95" s="62">
        <f t="shared" si="90"/>
        <v>361.07991692964799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15.618536589878541</v>
      </c>
      <c r="AV95" s="23">
        <f>EXP(-LN(2)/25)*AV94+(1-EXP(-LN(2)/25))/(LN(2)/25)*Calculateur!AQ95*Calculateur!AS95*VLOOKUP('Données projet'!$B$10,Paramètres!$A$1:$I$89,3,0)*0.475*44/12</f>
        <v>7.8775791884639936</v>
      </c>
      <c r="AW95" s="23">
        <f>EXP(-LN(2)/2)*AW94+(1-EXP(-LN(2)/2))/(LN(2)/2)*AQ95*AT95*VLOOKUP('Données projet'!$B$10,Paramètres!$A$1:$I$89,3,0)*0.475*44/12</f>
        <v>2.0287644489160099E-8</v>
      </c>
      <c r="AX95" s="23">
        <f t="shared" si="60"/>
        <v>23.496115798630179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-1.1368683772161603E-13</v>
      </c>
      <c r="BE95" s="14">
        <f>BD95*VLOOKUP('Données projet'!$B$11,Paramètres!$A$1:$I$89,3,0)*VLOOKUP('Données projet'!$B$11,Paramètres!$A$1:$I$89,5,0)</f>
        <v>-9.9316821433603781E-14</v>
      </c>
      <c r="BF95" s="14" t="e">
        <f t="shared" si="91"/>
        <v>#NUM!</v>
      </c>
      <c r="BG95" s="22" t="e">
        <f t="shared" si="61"/>
        <v>#NUM!</v>
      </c>
      <c r="BH95" s="62" t="e">
        <f t="shared" si="62"/>
        <v>#NUM!</v>
      </c>
      <c r="BI95" s="62">
        <f ca="1">AVERAGE(OFFSET($BH$3,0,0,'Données projet'!$E$11+1,1))-AVERAGE(OFFSET($H$3,0,0,'Données projet'!$E$11+1,1))</f>
        <v>236.12531905695994</v>
      </c>
      <c r="BJ95" s="62">
        <f t="shared" si="92"/>
        <v>270.64539221029258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2">
        <f t="shared" si="86"/>
        <v>16.054499257029473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70">
        <f t="shared" si="56"/>
        <v>418.15596953932624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151.58413719376074</v>
      </c>
      <c r="T96" s="62">
        <f t="shared" si="88"/>
        <v>310.105543138185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28.373525504657618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8.7581462035699981E-8</v>
      </c>
      <c r="AC96" s="24">
        <f t="shared" si="57"/>
        <v>28.37352559223908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1.1368683772161603E-13</v>
      </c>
      <c r="AJ96" s="14">
        <f>AI96*VLOOKUP('Données projet'!$B$10,Paramètres!$A$1:$I$89,3,0)*VLOOKUP('Données projet'!$B$10,Paramètres!$A$1:$I$89,5,0)</f>
        <v>6.7984728957526396E-14</v>
      </c>
      <c r="AK96" s="14">
        <f t="shared" si="89"/>
        <v>1.0682447123141398E-12</v>
      </c>
      <c r="AL96" s="22">
        <f t="shared" si="58"/>
        <v>1.978932943548152E-12</v>
      </c>
      <c r="AM96" s="62">
        <f t="shared" si="59"/>
        <v>293.3333333333353</v>
      </c>
      <c r="AN96" s="62">
        <f ca="1">AVERAGE(OFFSET($AM$3,0,0,'Données projet'!$E$10+1,1))-AVERAGE(OFFSET($H$3,0,0,'Données projet'!$E$10+1,1))</f>
        <v>147.72913422715322</v>
      </c>
      <c r="AO96" s="62">
        <f t="shared" si="90"/>
        <v>361.07991692964799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15.312266613717693</v>
      </c>
      <c r="AV96" s="23">
        <f>EXP(-LN(2)/25)*AV95+(1-EXP(-LN(2)/25))/(LN(2)/25)*Calculateur!AQ96*Calculateur!AS96*VLOOKUP('Données projet'!$B$10,Paramètres!$A$1:$I$89,3,0)*0.475*44/12</f>
        <v>7.6621663712915611</v>
      </c>
      <c r="AW96" s="23">
        <f>EXP(-LN(2)/2)*AW95+(1-EXP(-LN(2)/2))/(LN(2)/2)*AQ96*AT96*VLOOKUP('Données projet'!$B$10,Paramètres!$A$1:$I$89,3,0)*0.475*44/12</f>
        <v>1.4345530992586999E-8</v>
      </c>
      <c r="AX96" s="23">
        <f t="shared" si="60"/>
        <v>22.974432999354786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-1.1368683772161603E-13</v>
      </c>
      <c r="BE96" s="14">
        <f>BD96*VLOOKUP('Données projet'!$B$11,Paramètres!$A$1:$I$89,3,0)*VLOOKUP('Données projet'!$B$11,Paramètres!$A$1:$I$89,5,0)</f>
        <v>-9.9316821433603781E-14</v>
      </c>
      <c r="BF96" s="14" t="e">
        <f t="shared" si="91"/>
        <v>#NUM!</v>
      </c>
      <c r="BG96" s="22" t="e">
        <f t="shared" si="61"/>
        <v>#NUM!</v>
      </c>
      <c r="BH96" s="62" t="e">
        <f t="shared" si="62"/>
        <v>#NUM!</v>
      </c>
      <c r="BI96" s="62">
        <f ca="1">AVERAGE(OFFSET($BH$3,0,0,'Données projet'!$E$11+1,1))-AVERAGE(OFFSET($H$3,0,0,'Données projet'!$E$11+1,1))</f>
        <v>236.12531905695994</v>
      </c>
      <c r="BJ96" s="62">
        <f t="shared" si="92"/>
        <v>270.64539221029258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2">
        <f t="shared" si="86"/>
        <v>16.206939185290693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70">
        <f t="shared" si="56"/>
        <v>419.46298574771453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151.58413719376074</v>
      </c>
      <c r="T97" s="62">
        <f t="shared" si="88"/>
        <v>310.105543138185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27.817137975653001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6.1929445711675624E-8</v>
      </c>
      <c r="AC97" s="24">
        <f t="shared" si="57"/>
        <v>27.817138037582446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1.1368683772161603E-13</v>
      </c>
      <c r="AJ97" s="14">
        <f>AI97*VLOOKUP('Données projet'!$B$10,Paramètres!$A$1:$I$89,3,0)*VLOOKUP('Données projet'!$B$10,Paramètres!$A$1:$I$89,5,0)</f>
        <v>6.7984728957526396E-14</v>
      </c>
      <c r="AK97" s="14">
        <f t="shared" si="89"/>
        <v>1.0682447123141398E-12</v>
      </c>
      <c r="AL97" s="22">
        <f t="shared" si="58"/>
        <v>1.978932943548152E-12</v>
      </c>
      <c r="AM97" s="62">
        <f t="shared" si="59"/>
        <v>293.3333333333353</v>
      </c>
      <c r="AN97" s="62">
        <f ca="1">AVERAGE(OFFSET($AM$3,0,0,'Données projet'!$E$10+1,1))-AVERAGE(OFFSET($H$3,0,0,'Données projet'!$E$10+1,1))</f>
        <v>147.72913422715322</v>
      </c>
      <c r="AO97" s="62">
        <f t="shared" si="90"/>
        <v>361.07991692964799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15.012002404983118</v>
      </c>
      <c r="AV97" s="23">
        <f>EXP(-LN(2)/25)*AV96+(1-EXP(-LN(2)/25))/(LN(2)/25)*Calculateur!AQ97*Calculateur!AS97*VLOOKUP('Données projet'!$B$10,Paramètres!$A$1:$I$89,3,0)*0.475*44/12</f>
        <v>7.4526440289327756</v>
      </c>
      <c r="AW97" s="23">
        <f>EXP(-LN(2)/2)*AW96+(1-EXP(-LN(2)/2))/(LN(2)/2)*AQ97*AT97*VLOOKUP('Données projet'!$B$10,Paramètres!$A$1:$I$89,3,0)*0.475*44/12</f>
        <v>1.0143822244580051E-8</v>
      </c>
      <c r="AX97" s="23">
        <f t="shared" si="60"/>
        <v>22.464646444059717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-1.1368683772161603E-13</v>
      </c>
      <c r="BE97" s="14">
        <f>BD97*VLOOKUP('Données projet'!$B$11,Paramètres!$A$1:$I$89,3,0)*VLOOKUP('Données projet'!$B$11,Paramètres!$A$1:$I$89,5,0)</f>
        <v>-9.9316821433603781E-14</v>
      </c>
      <c r="BF97" s="14" t="e">
        <f t="shared" si="91"/>
        <v>#NUM!</v>
      </c>
      <c r="BG97" s="22" t="e">
        <f t="shared" si="61"/>
        <v>#NUM!</v>
      </c>
      <c r="BH97" s="62" t="e">
        <f t="shared" si="62"/>
        <v>#NUM!</v>
      </c>
      <c r="BI97" s="62">
        <f ca="1">AVERAGE(OFFSET($BH$3,0,0,'Données projet'!$E$11+1,1))-AVERAGE(OFFSET($H$3,0,0,'Données projet'!$E$11+1,1))</f>
        <v>236.12531905695994</v>
      </c>
      <c r="BJ97" s="62">
        <f t="shared" si="92"/>
        <v>270.64539221029258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2">
        <f t="shared" si="86"/>
        <v>16.359190460575874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70">
        <f t="shared" si="56"/>
        <v>420.76967338550281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151.58413719376074</v>
      </c>
      <c r="T98" s="62">
        <f t="shared" si="88"/>
        <v>310.105543138185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27.271660866729281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4.379073101784999E-8</v>
      </c>
      <c r="AC98" s="24">
        <f t="shared" si="57"/>
        <v>27.271660910520012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1.1368683772161603E-13</v>
      </c>
      <c r="AJ98" s="14">
        <f>AI98*VLOOKUP('Données projet'!$B$10,Paramètres!$A$1:$I$89,3,0)*VLOOKUP('Données projet'!$B$10,Paramètres!$A$1:$I$89,5,0)</f>
        <v>6.7984728957526396E-14</v>
      </c>
      <c r="AK98" s="14">
        <f t="shared" si="89"/>
        <v>1.0682447123141398E-12</v>
      </c>
      <c r="AL98" s="22">
        <f t="shared" si="58"/>
        <v>1.978932943548152E-12</v>
      </c>
      <c r="AM98" s="62">
        <f t="shared" si="59"/>
        <v>293.3333333333353</v>
      </c>
      <c r="AN98" s="62">
        <f ca="1">AVERAGE(OFFSET($AM$3,0,0,'Données projet'!$E$10+1,1))-AVERAGE(OFFSET($H$3,0,0,'Données projet'!$E$10+1,1))</f>
        <v>147.72913422715322</v>
      </c>
      <c r="AO98" s="62">
        <f t="shared" si="90"/>
        <v>361.07991692964799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14.717626194238745</v>
      </c>
      <c r="AV98" s="23">
        <f>EXP(-LN(2)/25)*AV97+(1-EXP(-LN(2)/25))/(LN(2)/25)*Calculateur!AQ98*Calculateur!AS98*VLOOKUP('Données projet'!$B$10,Paramètres!$A$1:$I$89,3,0)*0.475*44/12</f>
        <v>7.2488510860440929</v>
      </c>
      <c r="AW98" s="23">
        <f>EXP(-LN(2)/2)*AW97+(1-EXP(-LN(2)/2))/(LN(2)/2)*AQ98*AT98*VLOOKUP('Données projet'!$B$10,Paramètres!$A$1:$I$89,3,0)*0.475*44/12</f>
        <v>7.1727654962935001E-9</v>
      </c>
      <c r="AX98" s="23">
        <f t="shared" si="60"/>
        <v>21.966477287455604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-1.1368683772161603E-13</v>
      </c>
      <c r="BE98" s="14">
        <f>BD98*VLOOKUP('Données projet'!$B$11,Paramètres!$A$1:$I$89,3,0)*VLOOKUP('Données projet'!$B$11,Paramètres!$A$1:$I$89,5,0)</f>
        <v>-9.9316821433603781E-14</v>
      </c>
      <c r="BF98" s="14" t="e">
        <f t="shared" si="91"/>
        <v>#NUM!</v>
      </c>
      <c r="BG98" s="22" t="e">
        <f t="shared" si="61"/>
        <v>#NUM!</v>
      </c>
      <c r="BH98" s="62" t="e">
        <f t="shared" si="62"/>
        <v>#NUM!</v>
      </c>
      <c r="BI98" s="62">
        <f ca="1">AVERAGE(OFFSET($BH$3,0,0,'Données projet'!$E$11+1,1))-AVERAGE(OFFSET($H$3,0,0,'Données projet'!$E$11+1,1))</f>
        <v>236.12531905695994</v>
      </c>
      <c r="BJ98" s="62">
        <f t="shared" si="92"/>
        <v>270.64539221029258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2">
        <f t="shared" si="86"/>
        <v>16.51125529857994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70">
        <f t="shared" si="56"/>
        <v>422.07603631169331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151.58413719376074</v>
      </c>
      <c r="T99" s="62">
        <f t="shared" si="88"/>
        <v>310.105543138185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26.736880231203372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3.0964722855837812E-8</v>
      </c>
      <c r="AC99" s="24">
        <f t="shared" si="57"/>
        <v>26.736880262168096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1.1368683772161603E-13</v>
      </c>
      <c r="AJ99" s="14">
        <f>AI99*VLOOKUP('Données projet'!$B$10,Paramètres!$A$1:$I$89,3,0)*VLOOKUP('Données projet'!$B$10,Paramètres!$A$1:$I$89,5,0)</f>
        <v>6.7984728957526396E-14</v>
      </c>
      <c r="AK99" s="14">
        <f t="shared" si="89"/>
        <v>1.0682447123141398E-12</v>
      </c>
      <c r="AL99" s="22">
        <f t="shared" si="58"/>
        <v>1.978932943548152E-12</v>
      </c>
      <c r="AM99" s="62">
        <f t="shared" si="59"/>
        <v>293.3333333333353</v>
      </c>
      <c r="AN99" s="62">
        <f ca="1">AVERAGE(OFFSET($AM$3,0,0,'Données projet'!$E$10+1,1))-AVERAGE(OFFSET($H$3,0,0,'Données projet'!$E$10+1,1))</f>
        <v>147.72913422715322</v>
      </c>
      <c r="AO99" s="62">
        <f t="shared" si="90"/>
        <v>361.07991692964799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14.429022521435311</v>
      </c>
      <c r="AV99" s="23">
        <f>EXP(-LN(2)/25)*AV98+(1-EXP(-LN(2)/25))/(LN(2)/25)*Calculateur!AQ99*Calculateur!AS99*VLOOKUP('Données projet'!$B$10,Paramètres!$A$1:$I$89,3,0)*0.475*44/12</f>
        <v>7.0506308718957058</v>
      </c>
      <c r="AW99" s="23">
        <f>EXP(-LN(2)/2)*AW98+(1-EXP(-LN(2)/2))/(LN(2)/2)*AQ99*AT99*VLOOKUP('Données projet'!$B$10,Paramètres!$A$1:$I$89,3,0)*0.475*44/12</f>
        <v>5.0719111222900265E-9</v>
      </c>
      <c r="AX99" s="23">
        <f t="shared" si="60"/>
        <v>21.479653398402927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-1.1368683772161603E-13</v>
      </c>
      <c r="BE99" s="14">
        <f>BD99*VLOOKUP('Données projet'!$B$11,Paramètres!$A$1:$I$89,3,0)*VLOOKUP('Données projet'!$B$11,Paramètres!$A$1:$I$89,5,0)</f>
        <v>-9.9316821433603781E-14</v>
      </c>
      <c r="BF99" s="14" t="e">
        <f t="shared" si="91"/>
        <v>#NUM!</v>
      </c>
      <c r="BG99" s="22" t="e">
        <f t="shared" si="61"/>
        <v>#NUM!</v>
      </c>
      <c r="BH99" s="62" t="e">
        <f t="shared" si="62"/>
        <v>#NUM!</v>
      </c>
      <c r="BI99" s="62">
        <f ca="1">AVERAGE(OFFSET($BH$3,0,0,'Données projet'!$E$11+1,1))-AVERAGE(OFFSET($H$3,0,0,'Données projet'!$E$11+1,1))</f>
        <v>236.12531905695994</v>
      </c>
      <c r="BJ99" s="62">
        <f t="shared" si="92"/>
        <v>270.64539221029258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2">
        <f t="shared" si="86"/>
        <v>16.663135866177953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70">
        <f t="shared" si="56"/>
        <v>423.38207830025976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151.58413719376074</v>
      </c>
      <c r="T100" s="62">
        <f t="shared" si="88"/>
        <v>310.105543138185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26.212586317756145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2.1895365508924995E-8</v>
      </c>
      <c r="AC100" s="24">
        <f t="shared" si="57"/>
        <v>26.212586339651509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1.1368683772161603E-13</v>
      </c>
      <c r="AJ100" s="14">
        <f>AI100*VLOOKUP('Données projet'!$B$10,Paramètres!$A$1:$I$89,3,0)*VLOOKUP('Données projet'!$B$10,Paramètres!$A$1:$I$89,5,0)</f>
        <v>6.7984728957526396E-14</v>
      </c>
      <c r="AK100" s="14">
        <f t="shared" si="89"/>
        <v>1.0682447123141398E-12</v>
      </c>
      <c r="AL100" s="22">
        <f t="shared" si="58"/>
        <v>1.978932943548152E-12</v>
      </c>
      <c r="AM100" s="62">
        <f t="shared" si="59"/>
        <v>293.3333333333353</v>
      </c>
      <c r="AN100" s="62">
        <f ca="1">AVERAGE(OFFSET($AM$3,0,0,'Données projet'!$E$10+1,1))-AVERAGE(OFFSET($H$3,0,0,'Données projet'!$E$10+1,1))</f>
        <v>147.72913422715322</v>
      </c>
      <c r="AO100" s="62">
        <f t="shared" si="90"/>
        <v>361.07991692964799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14.146078190624692</v>
      </c>
      <c r="AV100" s="23">
        <f>EXP(-LN(2)/25)*AV99+(1-EXP(-LN(2)/25))/(LN(2)/25)*Calculateur!AQ100*Calculateur!AS100*VLOOKUP('Données projet'!$B$10,Paramètres!$A$1:$I$89,3,0)*0.475*44/12</f>
        <v>6.8578309999271543</v>
      </c>
      <c r="AW100" s="23">
        <f>EXP(-LN(2)/2)*AW99+(1-EXP(-LN(2)/2))/(LN(2)/2)*AQ100*AT100*VLOOKUP('Données projet'!$B$10,Paramètres!$A$1:$I$89,3,0)*0.475*44/12</f>
        <v>3.5863827481467509E-9</v>
      </c>
      <c r="AX100" s="23">
        <f t="shared" si="60"/>
        <v>21.003909194138227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-1.1368683772161603E-13</v>
      </c>
      <c r="BE100" s="14">
        <f>BD100*VLOOKUP('Données projet'!$B$11,Paramètres!$A$1:$I$89,3,0)*VLOOKUP('Données projet'!$B$11,Paramètres!$A$1:$I$89,5,0)</f>
        <v>-9.9316821433603781E-14</v>
      </c>
      <c r="BF100" s="14" t="e">
        <f t="shared" si="91"/>
        <v>#NUM!</v>
      </c>
      <c r="BG100" s="22" t="e">
        <f t="shared" si="61"/>
        <v>#NUM!</v>
      </c>
      <c r="BH100" s="62" t="e">
        <f t="shared" si="62"/>
        <v>#NUM!</v>
      </c>
      <c r="BI100" s="62">
        <f ca="1">AVERAGE(OFFSET($BH$3,0,0,'Données projet'!$E$11+1,1))-AVERAGE(OFFSET($H$3,0,0,'Données projet'!$E$11+1,1))</f>
        <v>236.12531905695994</v>
      </c>
      <c r="BJ100" s="62">
        <f t="shared" si="92"/>
        <v>270.64539221029258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2">
        <f t="shared" si="86"/>
        <v>16.81483428299277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70">
        <f t="shared" si="56"/>
        <v>424.68780304287895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151.58413719376074</v>
      </c>
      <c r="T101" s="62">
        <f t="shared" si="88"/>
        <v>310.105543138185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25.698573488163905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1.5482361427918906E-8</v>
      </c>
      <c r="AC101" s="24">
        <f t="shared" si="57"/>
        <v>25.698573503646266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1.1368683772161603E-13</v>
      </c>
      <c r="AJ101" s="14">
        <f>AI101*VLOOKUP('Données projet'!$B$10,Paramètres!$A$1:$I$89,3,0)*VLOOKUP('Données projet'!$B$10,Paramètres!$A$1:$I$89,5,0)</f>
        <v>6.7984728957526396E-14</v>
      </c>
      <c r="AK101" s="14">
        <f t="shared" si="89"/>
        <v>1.0682447123141398E-12</v>
      </c>
      <c r="AL101" s="22">
        <f t="shared" si="58"/>
        <v>1.978932943548152E-12</v>
      </c>
      <c r="AM101" s="62">
        <f t="shared" si="59"/>
        <v>293.3333333333353</v>
      </c>
      <c r="AN101" s="62">
        <f ca="1">AVERAGE(OFFSET($AM$3,0,0,'Données projet'!$E$10+1,1))-AVERAGE(OFFSET($H$3,0,0,'Données projet'!$E$10+1,1))</f>
        <v>147.72913422715322</v>
      </c>
      <c r="AO101" s="62">
        <f t="shared" si="90"/>
        <v>361.07991692964799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13.868682225562269</v>
      </c>
      <c r="AV101" s="23">
        <f>EXP(-LN(2)/25)*AV100+(1-EXP(-LN(2)/25))/(LN(2)/25)*Calculateur!AQ101*Calculateur!AS101*VLOOKUP('Données projet'!$B$10,Paramètres!$A$1:$I$89,3,0)*0.475*44/12</f>
        <v>6.6703032505964881</v>
      </c>
      <c r="AW101" s="23">
        <f>EXP(-LN(2)/2)*AW100+(1-EXP(-LN(2)/2))/(LN(2)/2)*AQ101*AT101*VLOOKUP('Données projet'!$B$10,Paramètres!$A$1:$I$89,3,0)*0.475*44/12</f>
        <v>2.5359555611450137E-9</v>
      </c>
      <c r="AX101" s="23">
        <f t="shared" si="60"/>
        <v>20.538985478694713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-1.1368683772161603E-13</v>
      </c>
      <c r="BE101" s="14">
        <f>BD101*VLOOKUP('Données projet'!$B$11,Paramètres!$A$1:$I$89,3,0)*VLOOKUP('Données projet'!$B$11,Paramètres!$A$1:$I$89,5,0)</f>
        <v>-9.9316821433603781E-14</v>
      </c>
      <c r="BF101" s="14" t="e">
        <f t="shared" si="91"/>
        <v>#NUM!</v>
      </c>
      <c r="BG101" s="22" t="e">
        <f t="shared" si="61"/>
        <v>#NUM!</v>
      </c>
      <c r="BH101" s="62" t="e">
        <f t="shared" si="62"/>
        <v>#NUM!</v>
      </c>
      <c r="BI101" s="62">
        <f ca="1">AVERAGE(OFFSET($BH$3,0,0,'Données projet'!$E$11+1,1))-AVERAGE(OFFSET($H$3,0,0,'Données projet'!$E$11+1,1))</f>
        <v>236.12531905695994</v>
      </c>
      <c r="BJ101" s="62">
        <f t="shared" si="92"/>
        <v>270.64539221029258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2">
        <f t="shared" si="86"/>
        <v>16.96635262289686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70">
        <f t="shared" si="56"/>
        <v>425.9932141515452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151.58413719376074</v>
      </c>
      <c r="T102" s="62">
        <f t="shared" si="88"/>
        <v>310.105543138185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25.194640136643102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1.0947682754462498E-8</v>
      </c>
      <c r="AC102" s="24">
        <f t="shared" si="57"/>
        <v>25.194640147590786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1.1368683772161603E-13</v>
      </c>
      <c r="AJ102" s="14">
        <f>AI102*VLOOKUP('Données projet'!$B$10,Paramètres!$A$1:$I$89,3,0)*VLOOKUP('Données projet'!$B$10,Paramètres!$A$1:$I$89,5,0)</f>
        <v>6.7984728957526396E-14</v>
      </c>
      <c r="AK102" s="14">
        <f t="shared" si="89"/>
        <v>1.0682447123141398E-12</v>
      </c>
      <c r="AL102" s="22">
        <f t="shared" si="58"/>
        <v>1.978932943548152E-12</v>
      </c>
      <c r="AM102" s="62">
        <f t="shared" si="59"/>
        <v>293.3333333333353</v>
      </c>
      <c r="AN102" s="62">
        <f ca="1">AVERAGE(OFFSET($AM$3,0,0,'Données projet'!$E$10+1,1))-AVERAGE(OFFSET($H$3,0,0,'Données projet'!$E$10+1,1))</f>
        <v>147.72913422715322</v>
      </c>
      <c r="AO102" s="62">
        <f t="shared" si="90"/>
        <v>361.07991692964799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13.596725826179888</v>
      </c>
      <c r="AV102" s="23">
        <f>EXP(-LN(2)/25)*AV101+(1-EXP(-LN(2)/25))/(LN(2)/25)*Calculateur!AQ102*Calculateur!AS102*VLOOKUP('Données projet'!$B$10,Paramètres!$A$1:$I$89,3,0)*0.475*44/12</f>
        <v>6.4879034574329246</v>
      </c>
      <c r="AW102" s="23">
        <f>EXP(-LN(2)/2)*AW101+(1-EXP(-LN(2)/2))/(LN(2)/2)*AQ102*AT102*VLOOKUP('Données projet'!$B$10,Paramètres!$A$1:$I$89,3,0)*0.475*44/12</f>
        <v>1.7931913740733756E-9</v>
      </c>
      <c r="AX102" s="23">
        <f t="shared" si="60"/>
        <v>20.084629285406006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-1.1368683772161603E-13</v>
      </c>
      <c r="BE102" s="14">
        <f>BD102*VLOOKUP('Données projet'!$B$11,Paramètres!$A$1:$I$89,3,0)*VLOOKUP('Données projet'!$B$11,Paramètres!$A$1:$I$89,5,0)</f>
        <v>-9.9316821433603781E-14</v>
      </c>
      <c r="BF102" s="14" t="e">
        <f t="shared" si="91"/>
        <v>#NUM!</v>
      </c>
      <c r="BG102" s="22" t="e">
        <f t="shared" si="61"/>
        <v>#NUM!</v>
      </c>
      <c r="BH102" s="62" t="e">
        <f t="shared" si="62"/>
        <v>#NUM!</v>
      </c>
      <c r="BI102" s="62">
        <f ca="1">AVERAGE(OFFSET($BH$3,0,0,'Données projet'!$E$11+1,1))-AVERAGE(OFFSET($H$3,0,0,'Données projet'!$E$11+1,1))</f>
        <v>236.12531905695994</v>
      </c>
      <c r="BJ102" s="62">
        <f t="shared" si="92"/>
        <v>270.64539221029258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2">
        <f t="shared" si="86"/>
        <v>17.117692915451709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70">
        <f t="shared" si="56"/>
        <v>427.29831516107822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151.58413719376074</v>
      </c>
      <c r="T103" s="62">
        <f t="shared" si="88"/>
        <v>310.105543138185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24.700588610776627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7.741180713959453E-9</v>
      </c>
      <c r="AC103" s="24">
        <f t="shared" si="57"/>
        <v>24.700588618517809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1.1368683772161603E-13</v>
      </c>
      <c r="AJ103" s="14">
        <f>AI103*VLOOKUP('Données projet'!$B$10,Paramètres!$A$1:$I$89,3,0)*VLOOKUP('Données projet'!$B$10,Paramètres!$A$1:$I$89,5,0)</f>
        <v>6.7984728957526396E-14</v>
      </c>
      <c r="AK103" s="14">
        <f t="shared" si="89"/>
        <v>1.0682447123141398E-12</v>
      </c>
      <c r="AL103" s="22">
        <f t="shared" si="58"/>
        <v>1.978932943548152E-12</v>
      </c>
      <c r="AM103" s="62">
        <f t="shared" si="59"/>
        <v>293.3333333333353</v>
      </c>
      <c r="AN103" s="62">
        <f ca="1">AVERAGE(OFFSET($AM$3,0,0,'Données projet'!$E$10+1,1))-AVERAGE(OFFSET($H$3,0,0,'Données projet'!$E$10+1,1))</f>
        <v>147.72913422715322</v>
      </c>
      <c r="AO103" s="62">
        <f t="shared" si="90"/>
        <v>361.07991692964799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13.330102325912371</v>
      </c>
      <c r="AV103" s="23">
        <f>EXP(-LN(2)/25)*AV102+(1-EXP(-LN(2)/25))/(LN(2)/25)*Calculateur!AQ103*Calculateur!AS103*VLOOKUP('Données projet'!$B$10,Paramètres!$A$1:$I$89,3,0)*0.475*44/12</f>
        <v>6.310491396205407</v>
      </c>
      <c r="AW103" s="23">
        <f>EXP(-LN(2)/2)*AW102+(1-EXP(-LN(2)/2))/(LN(2)/2)*AQ103*AT103*VLOOKUP('Données projet'!$B$10,Paramètres!$A$1:$I$89,3,0)*0.475*44/12</f>
        <v>1.267977780572507E-9</v>
      </c>
      <c r="AX103" s="23">
        <f t="shared" si="60"/>
        <v>19.640593723385756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-1.1368683772161603E-13</v>
      </c>
      <c r="BE103" s="14">
        <f>BD103*VLOOKUP('Données projet'!$B$11,Paramètres!$A$1:$I$89,3,0)*VLOOKUP('Données projet'!$B$11,Paramètres!$A$1:$I$89,5,0)</f>
        <v>-9.9316821433603781E-14</v>
      </c>
      <c r="BF103" s="14" t="e">
        <f t="shared" si="91"/>
        <v>#NUM!</v>
      </c>
      <c r="BG103" s="22" t="e">
        <f t="shared" si="61"/>
        <v>#NUM!</v>
      </c>
      <c r="BH103" s="62" t="e">
        <f t="shared" si="62"/>
        <v>#NUM!</v>
      </c>
      <c r="BI103" s="62">
        <f ca="1">AVERAGE(OFFSET($BH$3,0,0,'Données projet'!$E$11+1,1))-AVERAGE(OFFSET($H$3,0,0,'Données projet'!$E$11+1,1))</f>
        <v>236.12531905695994</v>
      </c>
      <c r="BJ103" s="62">
        <f t="shared" si="92"/>
        <v>270.64539221029258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2">
        <f t="shared" si="86"/>
        <v>17.268857147288056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70">
        <f t="shared" si="56"/>
        <v>428.60310953152657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151.58413719376074</v>
      </c>
      <c r="T104" s="62">
        <f t="shared" si="88"/>
        <v>310.105543138185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24.216225133990719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5.4738413772312488E-9</v>
      </c>
      <c r="AC104" s="24">
        <f t="shared" si="57"/>
        <v>24.216225139464559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1.1368683772161603E-13</v>
      </c>
      <c r="AJ104" s="14">
        <f>AI104*VLOOKUP('Données projet'!$B$10,Paramètres!$A$1:$I$89,3,0)*VLOOKUP('Données projet'!$B$10,Paramètres!$A$1:$I$89,5,0)</f>
        <v>6.7984728957526396E-14</v>
      </c>
      <c r="AK104" s="14">
        <f t="shared" si="89"/>
        <v>1.0682447123141398E-12</v>
      </c>
      <c r="AL104" s="22">
        <f t="shared" si="58"/>
        <v>1.978932943548152E-12</v>
      </c>
      <c r="AM104" s="62">
        <f t="shared" si="59"/>
        <v>293.3333333333353</v>
      </c>
      <c r="AN104" s="62">
        <f ca="1">AVERAGE(OFFSET($AM$3,0,0,'Données projet'!$E$10+1,1))-AVERAGE(OFFSET($H$3,0,0,'Données projet'!$E$10+1,1))</f>
        <v>147.72913422715322</v>
      </c>
      <c r="AO104" s="62">
        <f t="shared" si="90"/>
        <v>361.07991692964799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13.068707149860822</v>
      </c>
      <c r="AV104" s="23">
        <f>EXP(-LN(2)/25)*AV103+(1-EXP(-LN(2)/25))/(LN(2)/25)*Calculateur!AQ104*Calculateur!AS104*VLOOKUP('Données projet'!$B$10,Paramètres!$A$1:$I$89,3,0)*0.475*44/12</f>
        <v>6.13793067712185</v>
      </c>
      <c r="AW104" s="23">
        <f>EXP(-LN(2)/2)*AW103+(1-EXP(-LN(2)/2))/(LN(2)/2)*AQ104*AT104*VLOOKUP('Données projet'!$B$10,Paramètres!$A$1:$I$89,3,0)*0.475*44/12</f>
        <v>8.9659568703668793E-10</v>
      </c>
      <c r="AX104" s="23">
        <f t="shared" si="60"/>
        <v>19.206637827879266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-1.1368683772161603E-13</v>
      </c>
      <c r="BE104" s="14">
        <f>BD104*VLOOKUP('Données projet'!$B$11,Paramètres!$A$1:$I$89,3,0)*VLOOKUP('Données projet'!$B$11,Paramètres!$A$1:$I$89,5,0)</f>
        <v>-9.9316821433603781E-14</v>
      </c>
      <c r="BF104" s="14" t="e">
        <f t="shared" si="91"/>
        <v>#NUM!</v>
      </c>
      <c r="BG104" s="22" t="e">
        <f t="shared" si="61"/>
        <v>#NUM!</v>
      </c>
      <c r="BH104" s="62" t="e">
        <f t="shared" si="62"/>
        <v>#NUM!</v>
      </c>
      <c r="BI104" s="62">
        <f ca="1">AVERAGE(OFFSET($BH$3,0,0,'Données projet'!$E$11+1,1))-AVERAGE(OFFSET($H$3,0,0,'Données projet'!$E$11+1,1))</f>
        <v>236.12531905695994</v>
      </c>
      <c r="BJ104" s="62">
        <f t="shared" si="92"/>
        <v>270.64539221029258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2">
        <f t="shared" si="86"/>
        <v>17.419847263429784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70">
        <f t="shared" si="56"/>
        <v>429.9076006504734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151.58413719376074</v>
      </c>
      <c r="T105" s="62">
        <f t="shared" si="88"/>
        <v>310.105543138185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23.741359729552034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3.8705903569797265E-9</v>
      </c>
      <c r="AC105" s="24">
        <f t="shared" si="57"/>
        <v>23.741359733422623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1.1368683772161603E-13</v>
      </c>
      <c r="AJ105" s="14">
        <f>AI105*VLOOKUP('Données projet'!$B$10,Paramètres!$A$1:$I$89,3,0)*VLOOKUP('Données projet'!$B$10,Paramètres!$A$1:$I$89,5,0)</f>
        <v>6.7984728957526396E-14</v>
      </c>
      <c r="AK105" s="14">
        <f t="shared" si="89"/>
        <v>1.0682447123141398E-12</v>
      </c>
      <c r="AL105" s="22">
        <f t="shared" si="58"/>
        <v>1.978932943548152E-12</v>
      </c>
      <c r="AM105" s="62">
        <f t="shared" si="59"/>
        <v>293.3333333333353</v>
      </c>
      <c r="AN105" s="62">
        <f ca="1">AVERAGE(OFFSET($AM$3,0,0,'Données projet'!$E$10+1,1))-AVERAGE(OFFSET($H$3,0,0,'Données projet'!$E$10+1,1))</f>
        <v>147.72913422715322</v>
      </c>
      <c r="AO105" s="62">
        <f t="shared" si="90"/>
        <v>361.07991692964799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12.812437773776329</v>
      </c>
      <c r="AV105" s="23">
        <f>EXP(-LN(2)/25)*AV104+(1-EXP(-LN(2)/25))/(LN(2)/25)*Calculateur!AQ105*Calculateur!AS105*VLOOKUP('Données projet'!$B$10,Paramètres!$A$1:$I$89,3,0)*0.475*44/12</f>
        <v>5.9700886399762068</v>
      </c>
      <c r="AW105" s="23">
        <f>EXP(-LN(2)/2)*AW104+(1-EXP(-LN(2)/2))/(LN(2)/2)*AQ105*AT105*VLOOKUP('Données projet'!$B$10,Paramètres!$A$1:$I$89,3,0)*0.475*44/12</f>
        <v>6.3398889028625362E-10</v>
      </c>
      <c r="AX105" s="23">
        <f t="shared" si="60"/>
        <v>18.782526414386524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-1.1368683772161603E-13</v>
      </c>
      <c r="BE105" s="14">
        <f>BD105*VLOOKUP('Données projet'!$B$11,Paramètres!$A$1:$I$89,3,0)*VLOOKUP('Données projet'!$B$11,Paramètres!$A$1:$I$89,5,0)</f>
        <v>-9.9316821433603781E-14</v>
      </c>
      <c r="BF105" s="14" t="e">
        <f t="shared" si="91"/>
        <v>#NUM!</v>
      </c>
      <c r="BG105" s="22" t="e">
        <f t="shared" si="61"/>
        <v>#NUM!</v>
      </c>
      <c r="BH105" s="62" t="e">
        <f t="shared" si="62"/>
        <v>#NUM!</v>
      </c>
      <c r="BI105" s="62">
        <f ca="1">AVERAGE(OFFSET($BH$3,0,0,'Données projet'!$E$11+1,1))-AVERAGE(OFFSET($H$3,0,0,'Données projet'!$E$11+1,1))</f>
        <v>236.12531905695994</v>
      </c>
      <c r="BJ105" s="62">
        <f t="shared" si="92"/>
        <v>270.64539221029258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2">
        <f t="shared" si="86"/>
        <v>17.570665168564602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70">
        <f t="shared" si="56"/>
        <v>431.21179183524987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151.58413719376074</v>
      </c>
      <c r="T106" s="62">
        <f t="shared" si="88"/>
        <v>310.105543138185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23.275806146055093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2.7369206886156244E-9</v>
      </c>
      <c r="AC106" s="24">
        <f t="shared" si="57"/>
        <v>23.275806148792014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1.1368683772161603E-13</v>
      </c>
      <c r="AJ106" s="14">
        <f>AI106*VLOOKUP('Données projet'!$B$10,Paramètres!$A$1:$I$89,3,0)*VLOOKUP('Données projet'!$B$10,Paramètres!$A$1:$I$89,5,0)</f>
        <v>6.7984728957526396E-14</v>
      </c>
      <c r="AK106" s="14">
        <f t="shared" si="89"/>
        <v>1.0682447123141398E-12</v>
      </c>
      <c r="AL106" s="22">
        <f t="shared" si="58"/>
        <v>1.978932943548152E-12</v>
      </c>
      <c r="AM106" s="62">
        <f t="shared" si="59"/>
        <v>293.3333333333353</v>
      </c>
      <c r="AN106" s="62">
        <f ca="1">AVERAGE(OFFSET($AM$3,0,0,'Données projet'!$E$10+1,1))-AVERAGE(OFFSET($H$3,0,0,'Données projet'!$E$10+1,1))</f>
        <v>147.72913422715322</v>
      </c>
      <c r="AO106" s="62">
        <f t="shared" si="90"/>
        <v>361.07991692964799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12.561193683847968</v>
      </c>
      <c r="AV106" s="23">
        <f>EXP(-LN(2)/25)*AV105+(1-EXP(-LN(2)/25))/(LN(2)/25)*Calculateur!AQ106*Calculateur!AS106*VLOOKUP('Données projet'!$B$10,Paramètres!$A$1:$I$89,3,0)*0.475*44/12</f>
        <v>5.806836252162741</v>
      </c>
      <c r="AW106" s="23">
        <f>EXP(-LN(2)/2)*AW105+(1-EXP(-LN(2)/2))/(LN(2)/2)*AQ106*AT106*VLOOKUP('Données projet'!$B$10,Paramètres!$A$1:$I$89,3,0)*0.475*44/12</f>
        <v>4.4829784351834407E-10</v>
      </c>
      <c r="AX106" s="23">
        <f t="shared" si="60"/>
        <v>18.368029936459006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-1.1368683772161603E-13</v>
      </c>
      <c r="BE106" s="14">
        <f>BD106*VLOOKUP('Données projet'!$B$11,Paramètres!$A$1:$I$89,3,0)*VLOOKUP('Données projet'!$B$11,Paramètres!$A$1:$I$89,5,0)</f>
        <v>-9.9316821433603781E-14</v>
      </c>
      <c r="BF106" s="14" t="e">
        <f t="shared" si="91"/>
        <v>#NUM!</v>
      </c>
      <c r="BG106" s="22" t="e">
        <f t="shared" si="61"/>
        <v>#NUM!</v>
      </c>
      <c r="BH106" s="62" t="e">
        <f t="shared" si="62"/>
        <v>#NUM!</v>
      </c>
      <c r="BI106" s="62">
        <f ca="1">AVERAGE(OFFSET($BH$3,0,0,'Données projet'!$E$11+1,1))-AVERAGE(OFFSET($H$3,0,0,'Données projet'!$E$11+1,1))</f>
        <v>236.12531905695994</v>
      </c>
      <c r="BJ106" s="62">
        <f t="shared" si="92"/>
        <v>270.64539221029258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2">
        <f t="shared" si="86"/>
        <v>17.721312728263729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70">
        <f t="shared" si="56"/>
        <v>432.51568633505917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151.58413719376074</v>
      </c>
      <c r="T107" s="62">
        <f t="shared" si="88"/>
        <v>310.105543138185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22.819381784370879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1.9352951784898633E-9</v>
      </c>
      <c r="AC107" s="24">
        <f t="shared" si="57"/>
        <v>22.819381786306174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1.1368683772161603E-13</v>
      </c>
      <c r="AJ107" s="14">
        <f>AI107*VLOOKUP('Données projet'!$B$10,Paramètres!$A$1:$I$89,3,0)*VLOOKUP('Données projet'!$B$10,Paramètres!$A$1:$I$89,5,0)</f>
        <v>6.7984728957526396E-14</v>
      </c>
      <c r="AK107" s="14">
        <f t="shared" si="89"/>
        <v>1.0682447123141398E-12</v>
      </c>
      <c r="AL107" s="22">
        <f t="shared" si="58"/>
        <v>1.978932943548152E-12</v>
      </c>
      <c r="AM107" s="62">
        <f t="shared" si="59"/>
        <v>293.3333333333353</v>
      </c>
      <c r="AN107" s="62">
        <f ca="1">AVERAGE(OFFSET($AM$3,0,0,'Données projet'!$E$10+1,1))-AVERAGE(OFFSET($H$3,0,0,'Données projet'!$E$10+1,1))</f>
        <v>147.72913422715322</v>
      </c>
      <c r="AO107" s="62">
        <f t="shared" si="90"/>
        <v>361.07991692964799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12.314876337279339</v>
      </c>
      <c r="AV107" s="23">
        <f>EXP(-LN(2)/25)*AV106+(1-EXP(-LN(2)/25))/(LN(2)/25)*Calculateur!AQ107*Calculateur!AS107*VLOOKUP('Données projet'!$B$10,Paramètres!$A$1:$I$89,3,0)*0.475*44/12</f>
        <v>5.6480480094791039</v>
      </c>
      <c r="AW107" s="23">
        <f>EXP(-LN(2)/2)*AW106+(1-EXP(-LN(2)/2))/(LN(2)/2)*AQ107*AT107*VLOOKUP('Données projet'!$B$10,Paramètres!$A$1:$I$89,3,0)*0.475*44/12</f>
        <v>3.1699444514312686E-10</v>
      </c>
      <c r="AX107" s="23">
        <f t="shared" si="60"/>
        <v>17.962924347075436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-1.1368683772161603E-13</v>
      </c>
      <c r="BE107" s="14">
        <f>BD107*VLOOKUP('Données projet'!$B$11,Paramètres!$A$1:$I$89,3,0)*VLOOKUP('Données projet'!$B$11,Paramètres!$A$1:$I$89,5,0)</f>
        <v>-9.9316821433603781E-14</v>
      </c>
      <c r="BF107" s="14" t="e">
        <f t="shared" si="91"/>
        <v>#NUM!</v>
      </c>
      <c r="BG107" s="22" t="e">
        <f t="shared" si="61"/>
        <v>#NUM!</v>
      </c>
      <c r="BH107" s="62" t="e">
        <f t="shared" si="62"/>
        <v>#NUM!</v>
      </c>
      <c r="BI107" s="62">
        <f ca="1">AVERAGE(OFFSET($BH$3,0,0,'Données projet'!$E$11+1,1))-AVERAGE(OFFSET($H$3,0,0,'Données projet'!$E$11+1,1))</f>
        <v>236.12531905695994</v>
      </c>
      <c r="BJ107" s="62">
        <f t="shared" si="92"/>
        <v>270.64539221029258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2">
        <f t="shared" si="86"/>
        <v>17.871791770153557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70">
        <f t="shared" si="56"/>
        <v>433.81928733301731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151.58413719376074</v>
      </c>
      <c r="T108" s="62">
        <f t="shared" si="88"/>
        <v>310.105543138185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22.371907626027923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1.3684603443078122E-9</v>
      </c>
      <c r="AC108" s="24">
        <f t="shared" si="57"/>
        <v>22.371907627396382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1.1368683772161603E-13</v>
      </c>
      <c r="AJ108" s="14">
        <f>AI108*VLOOKUP('Données projet'!$B$10,Paramètres!$A$1:$I$89,3,0)*VLOOKUP('Données projet'!$B$10,Paramètres!$A$1:$I$89,5,0)</f>
        <v>6.7984728957526396E-14</v>
      </c>
      <c r="AK108" s="14">
        <f t="shared" si="89"/>
        <v>1.0682447123141398E-12</v>
      </c>
      <c r="AL108" s="22">
        <f t="shared" si="58"/>
        <v>1.978932943548152E-12</v>
      </c>
      <c r="AM108" s="62">
        <f t="shared" si="59"/>
        <v>293.3333333333353</v>
      </c>
      <c r="AN108" s="62">
        <f ca="1">AVERAGE(OFFSET($AM$3,0,0,'Données projet'!$E$10+1,1))-AVERAGE(OFFSET($H$3,0,0,'Données projet'!$E$10+1,1))</f>
        <v>147.72913422715322</v>
      </c>
      <c r="AO108" s="62">
        <f t="shared" si="90"/>
        <v>361.07991692964799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12.073389123638174</v>
      </c>
      <c r="AV108" s="23">
        <f>EXP(-LN(2)/25)*AV107+(1-EXP(-LN(2)/25))/(LN(2)/25)*Calculateur!AQ108*Calculateur!AS108*VLOOKUP('Données projet'!$B$10,Paramètres!$A$1:$I$89,3,0)*0.475*44/12</f>
        <v>5.4936018396419621</v>
      </c>
      <c r="AW108" s="23">
        <f>EXP(-LN(2)/2)*AW107+(1-EXP(-LN(2)/2))/(LN(2)/2)*AQ108*AT108*VLOOKUP('Données projet'!$B$10,Paramètres!$A$1:$I$89,3,0)*0.475*44/12</f>
        <v>2.2414892175917206E-10</v>
      </c>
      <c r="AX108" s="23">
        <f t="shared" si="60"/>
        <v>17.566990963504285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-1.1368683772161603E-13</v>
      </c>
      <c r="BE108" s="14">
        <f>BD108*VLOOKUP('Données projet'!$B$11,Paramètres!$A$1:$I$89,3,0)*VLOOKUP('Données projet'!$B$11,Paramètres!$A$1:$I$89,5,0)</f>
        <v>-9.9316821433603781E-14</v>
      </c>
      <c r="BF108" s="14" t="e">
        <f t="shared" si="91"/>
        <v>#NUM!</v>
      </c>
      <c r="BG108" s="22" t="e">
        <f t="shared" si="61"/>
        <v>#NUM!</v>
      </c>
      <c r="BH108" s="62" t="e">
        <f t="shared" si="62"/>
        <v>#NUM!</v>
      </c>
      <c r="BI108" s="62">
        <f ca="1">AVERAGE(OFFSET($BH$3,0,0,'Données projet'!$E$11+1,1))-AVERAGE(OFFSET($H$3,0,0,'Données projet'!$E$11+1,1))</f>
        <v>236.12531905695994</v>
      </c>
      <c r="BJ108" s="62">
        <f t="shared" si="92"/>
        <v>270.64539221029258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2">
        <f t="shared" si="86"/>
        <v>18.022104085041239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70">
        <f t="shared" si="56"/>
        <v>435.12259794811337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151.58413719376074</v>
      </c>
      <c r="T109" s="62">
        <f t="shared" si="88"/>
        <v>310.105543138185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21.933208162997783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9.6764758924493163E-10</v>
      </c>
      <c r="AC109" s="24">
        <f t="shared" si="57"/>
        <v>21.933208163965432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1.1368683772161603E-13</v>
      </c>
      <c r="AJ109" s="14">
        <f>AI109*VLOOKUP('Données projet'!$B$10,Paramètres!$A$1:$I$89,3,0)*VLOOKUP('Données projet'!$B$10,Paramètres!$A$1:$I$89,5,0)</f>
        <v>6.7984728957526396E-14</v>
      </c>
      <c r="AK109" s="14">
        <f t="shared" si="89"/>
        <v>1.0682447123141398E-12</v>
      </c>
      <c r="AL109" s="22">
        <f t="shared" si="58"/>
        <v>1.978932943548152E-12</v>
      </c>
      <c r="AM109" s="62">
        <f t="shared" si="59"/>
        <v>293.3333333333353</v>
      </c>
      <c r="AN109" s="62">
        <f ca="1">AVERAGE(OFFSET($AM$3,0,0,'Données projet'!$E$10+1,1))-AVERAGE(OFFSET($H$3,0,0,'Données projet'!$E$10+1,1))</f>
        <v>147.72913422715322</v>
      </c>
      <c r="AO109" s="62">
        <f t="shared" si="90"/>
        <v>361.07991692964799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11.836637326963857</v>
      </c>
      <c r="AV109" s="23">
        <f>EXP(-LN(2)/25)*AV108+(1-EXP(-LN(2)/25))/(LN(2)/25)*Calculateur!AQ109*Calculateur!AS109*VLOOKUP('Données projet'!$B$10,Paramètres!$A$1:$I$89,3,0)*0.475*44/12</f>
        <v>5.343379008440988</v>
      </c>
      <c r="AW109" s="23">
        <f>EXP(-LN(2)/2)*AW108+(1-EXP(-LN(2)/2))/(LN(2)/2)*AQ109*AT109*VLOOKUP('Données projet'!$B$10,Paramètres!$A$1:$I$89,3,0)*0.475*44/12</f>
        <v>1.5849722257156346E-10</v>
      </c>
      <c r="AX109" s="23">
        <f t="shared" si="60"/>
        <v>17.180016335563341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-1.1368683772161603E-13</v>
      </c>
      <c r="BE109" s="14">
        <f>BD109*VLOOKUP('Données projet'!$B$11,Paramètres!$A$1:$I$89,3,0)*VLOOKUP('Données projet'!$B$11,Paramètres!$A$1:$I$89,5,0)</f>
        <v>-9.9316821433603781E-14</v>
      </c>
      <c r="BF109" s="14" t="e">
        <f t="shared" si="91"/>
        <v>#NUM!</v>
      </c>
      <c r="BG109" s="22" t="e">
        <f t="shared" si="61"/>
        <v>#NUM!</v>
      </c>
      <c r="BH109" s="62" t="e">
        <f t="shared" si="62"/>
        <v>#NUM!</v>
      </c>
      <c r="BI109" s="62">
        <f ca="1">AVERAGE(OFFSET($BH$3,0,0,'Données projet'!$E$11+1,1))-AVERAGE(OFFSET($H$3,0,0,'Données projet'!$E$11+1,1))</f>
        <v>236.12531905695994</v>
      </c>
      <c r="BJ109" s="62">
        <f t="shared" si="92"/>
        <v>270.64539221029258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2">
        <f t="shared" si="86"/>
        <v>18.172251427996631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70">
        <f t="shared" si="56"/>
        <v>436.42562123709399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151.58413719376074</v>
      </c>
      <c r="T110" s="62">
        <f t="shared" si="88"/>
        <v>310.105543138185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21.503111328857415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6.842301721539061E-10</v>
      </c>
      <c r="AC110" s="24">
        <f t="shared" si="57"/>
        <v>21.503111329541646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1.1368683772161603E-13</v>
      </c>
      <c r="AJ110" s="14">
        <f>AI110*VLOOKUP('Données projet'!$B$10,Paramètres!$A$1:$I$89,3,0)*VLOOKUP('Données projet'!$B$10,Paramètres!$A$1:$I$89,5,0)</f>
        <v>6.7984728957526396E-14</v>
      </c>
      <c r="AK110" s="14">
        <f t="shared" si="89"/>
        <v>1.0682447123141398E-12</v>
      </c>
      <c r="AL110" s="22">
        <f t="shared" si="58"/>
        <v>1.978932943548152E-12</v>
      </c>
      <c r="AM110" s="62">
        <f t="shared" si="59"/>
        <v>293.3333333333353</v>
      </c>
      <c r="AN110" s="62">
        <f ca="1">AVERAGE(OFFSET($AM$3,0,0,'Données projet'!$E$10+1,1))-AVERAGE(OFFSET($H$3,0,0,'Données projet'!$E$10+1,1))</f>
        <v>147.72913422715322</v>
      </c>
      <c r="AO110" s="62">
        <f t="shared" si="90"/>
        <v>361.07991692964799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11.604528088617984</v>
      </c>
      <c r="AV110" s="23">
        <f>EXP(-LN(2)/25)*AV109+(1-EXP(-LN(2)/25))/(LN(2)/25)*Calculateur!AQ110*Calculateur!AS110*VLOOKUP('Données projet'!$B$10,Paramètres!$A$1:$I$89,3,0)*0.475*44/12</f>
        <v>5.1972640284590792</v>
      </c>
      <c r="AW110" s="23">
        <f>EXP(-LN(2)/2)*AW109+(1-EXP(-LN(2)/2))/(LN(2)/2)*AQ110*AT110*VLOOKUP('Données projet'!$B$10,Paramètres!$A$1:$I$89,3,0)*0.475*44/12</f>
        <v>1.1207446087958606E-10</v>
      </c>
      <c r="AX110" s="23">
        <f t="shared" si="60"/>
        <v>16.801792117189137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-1.1368683772161603E-13</v>
      </c>
      <c r="BE110" s="14">
        <f>BD110*VLOOKUP('Données projet'!$B$11,Paramètres!$A$1:$I$89,3,0)*VLOOKUP('Données projet'!$B$11,Paramètres!$A$1:$I$89,5,0)</f>
        <v>-9.9316821433603781E-14</v>
      </c>
      <c r="BF110" s="14" t="e">
        <f t="shared" si="91"/>
        <v>#NUM!</v>
      </c>
      <c r="BG110" s="22" t="e">
        <f t="shared" si="61"/>
        <v>#NUM!</v>
      </c>
      <c r="BH110" s="62" t="e">
        <f t="shared" si="62"/>
        <v>#NUM!</v>
      </c>
      <c r="BI110" s="62">
        <f ca="1">AVERAGE(OFFSET($BH$3,0,0,'Données projet'!$E$11+1,1))-AVERAGE(OFFSET($H$3,0,0,'Données projet'!$E$11+1,1))</f>
        <v>236.12531905695994</v>
      </c>
      <c r="BJ110" s="62">
        <f t="shared" si="92"/>
        <v>270.64539221029258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2">
        <f t="shared" si="86"/>
        <v>18.322235519392716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70">
        <f t="shared" si="56"/>
        <v>437.7283601962755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151.58413719376074</v>
      </c>
      <c r="T111" s="62">
        <f t="shared" si="88"/>
        <v>310.105543138185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21.081448431301371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4.8382379462246581E-10</v>
      </c>
      <c r="AC111" s="24">
        <f t="shared" si="57"/>
        <v>21.081448431785194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1.1368683772161603E-13</v>
      </c>
      <c r="AJ111" s="14">
        <f>AI111*VLOOKUP('Données projet'!$B$10,Paramètres!$A$1:$I$89,3,0)*VLOOKUP('Données projet'!$B$10,Paramètres!$A$1:$I$89,5,0)</f>
        <v>6.7984728957526396E-14</v>
      </c>
      <c r="AK111" s="14">
        <f t="shared" si="89"/>
        <v>1.0682447123141398E-12</v>
      </c>
      <c r="AL111" s="22">
        <f t="shared" si="58"/>
        <v>1.978932943548152E-12</v>
      </c>
      <c r="AM111" s="62">
        <f t="shared" si="59"/>
        <v>293.3333333333353</v>
      </c>
      <c r="AN111" s="62">
        <f ca="1">AVERAGE(OFFSET($AM$3,0,0,'Données projet'!$E$10+1,1))-AVERAGE(OFFSET($H$3,0,0,'Données projet'!$E$10+1,1))</f>
        <v>147.72913422715322</v>
      </c>
      <c r="AO111" s="62">
        <f t="shared" si="90"/>
        <v>361.07991692964799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11.376970370863418</v>
      </c>
      <c r="AV111" s="23">
        <f>EXP(-LN(2)/25)*AV110+(1-EXP(-LN(2)/25))/(LN(2)/25)*Calculateur!AQ111*Calculateur!AS111*VLOOKUP('Données projet'!$B$10,Paramètres!$A$1:$I$89,3,0)*0.475*44/12</f>
        <v>5.0551445702886291</v>
      </c>
      <c r="AW111" s="23">
        <f>EXP(-LN(2)/2)*AW110+(1-EXP(-LN(2)/2))/(LN(2)/2)*AQ111*AT111*VLOOKUP('Données projet'!$B$10,Paramètres!$A$1:$I$89,3,0)*0.475*44/12</f>
        <v>7.9248611285781742E-11</v>
      </c>
      <c r="AX111" s="23">
        <f t="shared" si="60"/>
        <v>16.432114941231298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-1.1368683772161603E-13</v>
      </c>
      <c r="BE111" s="14">
        <f>BD111*VLOOKUP('Données projet'!$B$11,Paramètres!$A$1:$I$89,3,0)*VLOOKUP('Données projet'!$B$11,Paramètres!$A$1:$I$89,5,0)</f>
        <v>-9.9316821433603781E-14</v>
      </c>
      <c r="BF111" s="14" t="e">
        <f t="shared" si="91"/>
        <v>#NUM!</v>
      </c>
      <c r="BG111" s="22" t="e">
        <f t="shared" si="61"/>
        <v>#NUM!</v>
      </c>
      <c r="BH111" s="62" t="e">
        <f t="shared" si="62"/>
        <v>#NUM!</v>
      </c>
      <c r="BI111" s="62">
        <f ca="1">AVERAGE(OFFSET($BH$3,0,0,'Données projet'!$E$11+1,1))-AVERAGE(OFFSET($H$3,0,0,'Données projet'!$E$11+1,1))</f>
        <v>236.12531905695994</v>
      </c>
      <c r="BJ111" s="62">
        <f t="shared" si="92"/>
        <v>270.64539221029258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2">
        <f t="shared" si="86"/>
        <v>18.472058045906209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70">
        <f t="shared" si="56"/>
        <v>439.03081776328651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151.58413719376074</v>
      </c>
      <c r="T112" s="62">
        <f t="shared" si="88"/>
        <v>310.105543138185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20.668054085977431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3.4211508607695305E-10</v>
      </c>
      <c r="AC112" s="24">
        <f t="shared" si="57"/>
        <v>20.668054086319547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1.1368683772161603E-13</v>
      </c>
      <c r="AJ112" s="14">
        <f>AI112*VLOOKUP('Données projet'!$B$10,Paramètres!$A$1:$I$89,3,0)*VLOOKUP('Données projet'!$B$10,Paramètres!$A$1:$I$89,5,0)</f>
        <v>6.7984728957526396E-14</v>
      </c>
      <c r="AK112" s="14">
        <f t="shared" si="89"/>
        <v>1.0682447123141398E-12</v>
      </c>
      <c r="AL112" s="22">
        <f t="shared" si="58"/>
        <v>1.978932943548152E-12</v>
      </c>
      <c r="AM112" s="62">
        <f t="shared" si="59"/>
        <v>293.3333333333353</v>
      </c>
      <c r="AN112" s="62">
        <f ca="1">AVERAGE(OFFSET($AM$3,0,0,'Données projet'!$E$10+1,1))-AVERAGE(OFFSET($H$3,0,0,'Données projet'!$E$10+1,1))</f>
        <v>147.72913422715322</v>
      </c>
      <c r="AO112" s="62">
        <f t="shared" si="90"/>
        <v>361.07991692964799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11.153874921157517</v>
      </c>
      <c r="AV112" s="23">
        <f>EXP(-LN(2)/25)*AV111+(1-EXP(-LN(2)/25))/(LN(2)/25)*Calculateur!AQ112*Calculateur!AS112*VLOOKUP('Données projet'!$B$10,Paramètres!$A$1:$I$89,3,0)*0.475*44/12</f>
        <v>4.9169113761755874</v>
      </c>
      <c r="AW112" s="23">
        <f>EXP(-LN(2)/2)*AW111+(1-EXP(-LN(2)/2))/(LN(2)/2)*AQ112*AT112*VLOOKUP('Données projet'!$B$10,Paramètres!$A$1:$I$89,3,0)*0.475*44/12</f>
        <v>5.6037230439793034E-11</v>
      </c>
      <c r="AX112" s="23">
        <f t="shared" si="60"/>
        <v>16.070786297389141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-1.1368683772161603E-13</v>
      </c>
      <c r="BE112" s="14">
        <f>BD112*VLOOKUP('Données projet'!$B$11,Paramètres!$A$1:$I$89,3,0)*VLOOKUP('Données projet'!$B$11,Paramètres!$A$1:$I$89,5,0)</f>
        <v>-9.9316821433603781E-14</v>
      </c>
      <c r="BF112" s="14" t="e">
        <f t="shared" si="91"/>
        <v>#NUM!</v>
      </c>
      <c r="BG112" s="22" t="e">
        <f t="shared" si="61"/>
        <v>#NUM!</v>
      </c>
      <c r="BH112" s="62" t="e">
        <f t="shared" si="62"/>
        <v>#NUM!</v>
      </c>
      <c r="BI112" s="62">
        <f ca="1">AVERAGE(OFFSET($BH$3,0,0,'Données projet'!$E$11+1,1))-AVERAGE(OFFSET($H$3,0,0,'Données projet'!$E$11+1,1))</f>
        <v>236.12531905695994</v>
      </c>
      <c r="BJ112" s="62">
        <f t="shared" si="92"/>
        <v>270.64539221029258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2">
        <f t="shared" si="86"/>
        <v>18.621720661480627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70">
        <f t="shared" si="56"/>
        <v>440.3329968187453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151.58413719376074</v>
      </c>
      <c r="T113" s="62">
        <f t="shared" si="88"/>
        <v>310.105543138185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20.26276615161964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2.4191189731123291E-10</v>
      </c>
      <c r="AC113" s="24">
        <f t="shared" si="57"/>
        <v>20.262766151861552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1.1368683772161603E-13</v>
      </c>
      <c r="AJ113" s="14">
        <f>AI113*VLOOKUP('Données projet'!$B$10,Paramètres!$A$1:$I$89,3,0)*VLOOKUP('Données projet'!$B$10,Paramètres!$A$1:$I$89,5,0)</f>
        <v>6.7984728957526396E-14</v>
      </c>
      <c r="AK113" s="14">
        <f t="shared" si="89"/>
        <v>1.0682447123141398E-12</v>
      </c>
      <c r="AL113" s="22">
        <f t="shared" si="58"/>
        <v>1.978932943548152E-12</v>
      </c>
      <c r="AM113" s="62">
        <f t="shared" si="59"/>
        <v>293.3333333333353</v>
      </c>
      <c r="AN113" s="62">
        <f ca="1">AVERAGE(OFFSET($AM$3,0,0,'Données projet'!$E$10+1,1))-AVERAGE(OFFSET($H$3,0,0,'Données projet'!$E$10+1,1))</f>
        <v>147.72913422715322</v>
      </c>
      <c r="AO113" s="62">
        <f t="shared" si="90"/>
        <v>361.07991692964799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10.935154237145561</v>
      </c>
      <c r="AV113" s="23">
        <f>EXP(-LN(2)/25)*AV112+(1-EXP(-LN(2)/25))/(LN(2)/25)*Calculateur!AQ113*Calculateur!AS113*VLOOKUP('Données projet'!$B$10,Paramètres!$A$1:$I$89,3,0)*0.475*44/12</f>
        <v>4.7824581760249343</v>
      </c>
      <c r="AW113" s="23">
        <f>EXP(-LN(2)/2)*AW112+(1-EXP(-LN(2)/2))/(LN(2)/2)*AQ113*AT113*VLOOKUP('Données projet'!$B$10,Paramètres!$A$1:$I$89,3,0)*0.475*44/12</f>
        <v>3.9624305642890877E-11</v>
      </c>
      <c r="AX113" s="23">
        <f t="shared" si="60"/>
        <v>15.717612413210121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-1.1368683772161603E-13</v>
      </c>
      <c r="BE113" s="14">
        <f>BD113*VLOOKUP('Données projet'!$B$11,Paramètres!$A$1:$I$89,3,0)*VLOOKUP('Données projet'!$B$11,Paramètres!$A$1:$I$89,5,0)</f>
        <v>-9.9316821433603781E-14</v>
      </c>
      <c r="BF113" s="14" t="e">
        <f t="shared" si="91"/>
        <v>#NUM!</v>
      </c>
      <c r="BG113" s="22" t="e">
        <f t="shared" si="61"/>
        <v>#NUM!</v>
      </c>
      <c r="BH113" s="62" t="e">
        <f t="shared" si="62"/>
        <v>#NUM!</v>
      </c>
      <c r="BI113" s="62">
        <f ca="1">AVERAGE(OFFSET($BH$3,0,0,'Données projet'!$E$11+1,1))-AVERAGE(OFFSET($H$3,0,0,'Données projet'!$E$11+1,1))</f>
        <v>236.12531905695994</v>
      </c>
      <c r="BJ113" s="62">
        <f t="shared" si="92"/>
        <v>270.64539221029258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2">
        <f t="shared" si="86"/>
        <v>18.771224988253078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70">
        <f t="shared" si="56"/>
        <v>441.634900187874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151.58413719376074</v>
      </c>
      <c r="T114" s="62">
        <f t="shared" si="88"/>
        <v>310.105543138185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19.865425666453376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1.7105754303847652E-10</v>
      </c>
      <c r="AC114" s="24">
        <f t="shared" si="57"/>
        <v>19.865425666624432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1.1368683772161603E-13</v>
      </c>
      <c r="AJ114" s="14">
        <f>AI114*VLOOKUP('Données projet'!$B$10,Paramètres!$A$1:$I$89,3,0)*VLOOKUP('Données projet'!$B$10,Paramètres!$A$1:$I$89,5,0)</f>
        <v>6.7984728957526396E-14</v>
      </c>
      <c r="AK114" s="14">
        <f t="shared" si="89"/>
        <v>1.0682447123141398E-12</v>
      </c>
      <c r="AL114" s="22">
        <f t="shared" si="58"/>
        <v>1.978932943548152E-12</v>
      </c>
      <c r="AM114" s="62">
        <f t="shared" si="59"/>
        <v>293.3333333333353</v>
      </c>
      <c r="AN114" s="62">
        <f ca="1">AVERAGE(OFFSET($AM$3,0,0,'Données projet'!$E$10+1,1))-AVERAGE(OFFSET($H$3,0,0,'Données projet'!$E$10+1,1))</f>
        <v>147.72913422715322</v>
      </c>
      <c r="AO114" s="62">
        <f t="shared" si="90"/>
        <v>361.07991692964799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10.720722532340634</v>
      </c>
      <c r="AV114" s="23">
        <f>EXP(-LN(2)/25)*AV113+(1-EXP(-LN(2)/25))/(LN(2)/25)*Calculateur!AQ114*Calculateur!AS114*VLOOKUP('Données projet'!$B$10,Paramètres!$A$1:$I$89,3,0)*0.475*44/12</f>
        <v>4.6516816057029873</v>
      </c>
      <c r="AW114" s="23">
        <f>EXP(-LN(2)/2)*AW113+(1-EXP(-LN(2)/2))/(LN(2)/2)*AQ114*AT114*VLOOKUP('Données projet'!$B$10,Paramètres!$A$1:$I$89,3,0)*0.475*44/12</f>
        <v>2.801861521989652E-11</v>
      </c>
      <c r="AX114" s="23">
        <f t="shared" si="60"/>
        <v>15.372404138071639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-1.1368683772161603E-13</v>
      </c>
      <c r="BE114" s="14">
        <f>BD114*VLOOKUP('Données projet'!$B$11,Paramètres!$A$1:$I$89,3,0)*VLOOKUP('Données projet'!$B$11,Paramètres!$A$1:$I$89,5,0)</f>
        <v>-9.9316821433603781E-14</v>
      </c>
      <c r="BF114" s="14" t="e">
        <f t="shared" si="91"/>
        <v>#NUM!</v>
      </c>
      <c r="BG114" s="22" t="e">
        <f t="shared" si="61"/>
        <v>#NUM!</v>
      </c>
      <c r="BH114" s="62" t="e">
        <f t="shared" si="62"/>
        <v>#NUM!</v>
      </c>
      <c r="BI114" s="62">
        <f ca="1">AVERAGE(OFFSET($BH$3,0,0,'Données projet'!$E$11+1,1))-AVERAGE(OFFSET($H$3,0,0,'Données projet'!$E$11+1,1))</f>
        <v>236.12531905695994</v>
      </c>
      <c r="BJ114" s="62">
        <f t="shared" si="92"/>
        <v>270.64539221029258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2">
        <f t="shared" si="86"/>
        <v>18.92057261744694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70">
        <f t="shared" si="56"/>
        <v>442.9365306420533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151.58413719376074</v>
      </c>
      <c r="T115" s="62">
        <f t="shared" si="88"/>
        <v>310.105543138185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19.475876785847454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1.2095594865561645E-10</v>
      </c>
      <c r="AC115" s="24">
        <f t="shared" si="57"/>
        <v>19.47587678596841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1.1368683772161603E-13</v>
      </c>
      <c r="AJ115" s="14">
        <f>AI115*VLOOKUP('Données projet'!$B$10,Paramètres!$A$1:$I$89,3,0)*VLOOKUP('Données projet'!$B$10,Paramètres!$A$1:$I$89,5,0)</f>
        <v>6.7984728957526396E-14</v>
      </c>
      <c r="AK115" s="14">
        <f t="shared" si="89"/>
        <v>1.0682447123141398E-12</v>
      </c>
      <c r="AL115" s="22">
        <f t="shared" si="58"/>
        <v>1.978932943548152E-12</v>
      </c>
      <c r="AM115" s="62">
        <f t="shared" si="59"/>
        <v>293.3333333333353</v>
      </c>
      <c r="AN115" s="62">
        <f ca="1">AVERAGE(OFFSET($AM$3,0,0,'Données projet'!$E$10+1,1))-AVERAGE(OFFSET($H$3,0,0,'Données projet'!$E$10+1,1))</f>
        <v>147.72913422715322</v>
      </c>
      <c r="AO115" s="62">
        <f t="shared" si="90"/>
        <v>361.07991692964799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10.510495702476506</v>
      </c>
      <c r="AV115" s="23">
        <f>EXP(-LN(2)/25)*AV114+(1-EXP(-LN(2)/25))/(LN(2)/25)*Calculateur!AQ115*Calculateur!AS115*VLOOKUP('Données projet'!$B$10,Paramètres!$A$1:$I$89,3,0)*0.475*44/12</f>
        <v>4.5244811275737353</v>
      </c>
      <c r="AW115" s="23">
        <f>EXP(-LN(2)/2)*AW114+(1-EXP(-LN(2)/2))/(LN(2)/2)*AQ115*AT115*VLOOKUP('Données projet'!$B$10,Paramètres!$A$1:$I$89,3,0)*0.475*44/12</f>
        <v>1.9812152821445439E-11</v>
      </c>
      <c r="AX115" s="23">
        <f t="shared" si="60"/>
        <v>15.034976830070052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-1.1368683772161603E-13</v>
      </c>
      <c r="BE115" s="14">
        <f>BD115*VLOOKUP('Données projet'!$B$11,Paramètres!$A$1:$I$89,3,0)*VLOOKUP('Données projet'!$B$11,Paramètres!$A$1:$I$89,5,0)</f>
        <v>-9.9316821433603781E-14</v>
      </c>
      <c r="BF115" s="14" t="e">
        <f t="shared" si="91"/>
        <v>#NUM!</v>
      </c>
      <c r="BG115" s="22" t="e">
        <f t="shared" si="61"/>
        <v>#NUM!</v>
      </c>
      <c r="BH115" s="62" t="e">
        <f t="shared" si="62"/>
        <v>#NUM!</v>
      </c>
      <c r="BI115" s="62">
        <f ca="1">AVERAGE(OFFSET($BH$3,0,0,'Données projet'!$E$11+1,1))-AVERAGE(OFFSET($H$3,0,0,'Données projet'!$E$11+1,1))</f>
        <v>236.12531905695994</v>
      </c>
      <c r="BJ115" s="62">
        <f t="shared" si="92"/>
        <v>270.64539221029258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2">
        <f t="shared" si="86"/>
        <v>19.069765110231589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70">
        <f t="shared" si="56"/>
        <v>444.23789090031983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151.58413719376074</v>
      </c>
      <c r="T116" s="62">
        <f t="shared" si="88"/>
        <v>310.105543138185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19.09396672118886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8.5528771519238262E-11</v>
      </c>
      <c r="AC116" s="24">
        <f t="shared" si="57"/>
        <v>19.093966721274388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1.1368683772161603E-13</v>
      </c>
      <c r="AJ116" s="14">
        <f>AI116*VLOOKUP('Données projet'!$B$10,Paramètres!$A$1:$I$89,3,0)*VLOOKUP('Données projet'!$B$10,Paramètres!$A$1:$I$89,5,0)</f>
        <v>6.7984728957526396E-14</v>
      </c>
      <c r="AK116" s="14">
        <f t="shared" si="89"/>
        <v>1.0682447123141398E-12</v>
      </c>
      <c r="AL116" s="22">
        <f t="shared" si="58"/>
        <v>1.978932943548152E-12</v>
      </c>
      <c r="AM116" s="62">
        <f t="shared" si="59"/>
        <v>293.3333333333353</v>
      </c>
      <c r="AN116" s="62">
        <f ca="1">AVERAGE(OFFSET($AM$3,0,0,'Données projet'!$E$10+1,1))-AVERAGE(OFFSET($H$3,0,0,'Données projet'!$E$10+1,1))</f>
        <v>147.72913422715322</v>
      </c>
      <c r="AO116" s="62">
        <f t="shared" si="90"/>
        <v>361.07991692964799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10.304391292520309</v>
      </c>
      <c r="AV116" s="23">
        <f>EXP(-LN(2)/25)*AV115+(1-EXP(-LN(2)/25))/(LN(2)/25)*Calculateur!AQ116*Calculateur!AS116*VLOOKUP('Données projet'!$B$10,Paramètres!$A$1:$I$89,3,0)*0.475*44/12</f>
        <v>4.4007589532081095</v>
      </c>
      <c r="AW116" s="23">
        <f>EXP(-LN(2)/2)*AW115+(1-EXP(-LN(2)/2))/(LN(2)/2)*AQ116*AT116*VLOOKUP('Données projet'!$B$10,Paramètres!$A$1:$I$89,3,0)*0.475*44/12</f>
        <v>1.400930760994826E-11</v>
      </c>
      <c r="AX116" s="23">
        <f t="shared" si="60"/>
        <v>14.705150245742429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-1.1368683772161603E-13</v>
      </c>
      <c r="BE116" s="14">
        <f>BD116*VLOOKUP('Données projet'!$B$11,Paramètres!$A$1:$I$89,3,0)*VLOOKUP('Données projet'!$B$11,Paramètres!$A$1:$I$89,5,0)</f>
        <v>-9.9316821433603781E-14</v>
      </c>
      <c r="BF116" s="14" t="e">
        <f t="shared" si="91"/>
        <v>#NUM!</v>
      </c>
      <c r="BG116" s="22" t="e">
        <f t="shared" si="61"/>
        <v>#NUM!</v>
      </c>
      <c r="BH116" s="62" t="e">
        <f t="shared" si="62"/>
        <v>#NUM!</v>
      </c>
      <c r="BI116" s="62">
        <f ca="1">AVERAGE(OFFSET($BH$3,0,0,'Données projet'!$E$11+1,1))-AVERAGE(OFFSET($H$3,0,0,'Données projet'!$E$11+1,1))</f>
        <v>236.12531905695994</v>
      </c>
      <c r="BJ116" s="62">
        <f t="shared" si="92"/>
        <v>270.64539221029258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2">
        <f t="shared" si="86"/>
        <v>19.218803998550822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70">
        <f t="shared" si="56"/>
        <v>445.53898363080918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151.58413719376074</v>
      </c>
      <c r="T117" s="62">
        <f t="shared" si="88"/>
        <v>310.105543138185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18.719545679956081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6.0477974327808227E-11</v>
      </c>
      <c r="AC117" s="24">
        <f t="shared" si="57"/>
        <v>18.719545680016559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1.1368683772161603E-13</v>
      </c>
      <c r="AJ117" s="14">
        <f>AI117*VLOOKUP('Données projet'!$B$10,Paramètres!$A$1:$I$89,3,0)*VLOOKUP('Données projet'!$B$10,Paramètres!$A$1:$I$89,5,0)</f>
        <v>6.7984728957526396E-14</v>
      </c>
      <c r="AK117" s="14">
        <f t="shared" si="89"/>
        <v>1.0682447123141398E-12</v>
      </c>
      <c r="AL117" s="22">
        <f t="shared" si="58"/>
        <v>1.978932943548152E-12</v>
      </c>
      <c r="AM117" s="62">
        <f t="shared" si="59"/>
        <v>293.3333333333353</v>
      </c>
      <c r="AN117" s="62">
        <f ca="1">AVERAGE(OFFSET($AM$3,0,0,'Données projet'!$E$10+1,1))-AVERAGE(OFFSET($H$3,0,0,'Données projet'!$E$10+1,1))</f>
        <v>147.72913422715322</v>
      </c>
      <c r="AO117" s="62">
        <f t="shared" si="90"/>
        <v>361.07991692964799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10.102328464332077</v>
      </c>
      <c r="AV117" s="23">
        <f>EXP(-LN(2)/25)*AV116+(1-EXP(-LN(2)/25))/(LN(2)/25)*Calculateur!AQ117*Calculateur!AS117*VLOOKUP('Données projet'!$B$10,Paramètres!$A$1:$I$89,3,0)*0.475*44/12</f>
        <v>4.2804199682067781</v>
      </c>
      <c r="AW117" s="23">
        <f>EXP(-LN(2)/2)*AW116+(1-EXP(-LN(2)/2))/(LN(2)/2)*AQ117*AT117*VLOOKUP('Données projet'!$B$10,Paramètres!$A$1:$I$89,3,0)*0.475*44/12</f>
        <v>9.9060764107227193E-12</v>
      </c>
      <c r="AX117" s="23">
        <f t="shared" si="60"/>
        <v>14.382748432548761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-1.1368683772161603E-13</v>
      </c>
      <c r="BE117" s="14">
        <f>BD117*VLOOKUP('Données projet'!$B$11,Paramètres!$A$1:$I$89,3,0)*VLOOKUP('Données projet'!$B$11,Paramètres!$A$1:$I$89,5,0)</f>
        <v>-9.9316821433603781E-14</v>
      </c>
      <c r="BF117" s="14" t="e">
        <f t="shared" si="91"/>
        <v>#NUM!</v>
      </c>
      <c r="BG117" s="22" t="e">
        <f t="shared" si="61"/>
        <v>#NUM!</v>
      </c>
      <c r="BH117" s="62" t="e">
        <f t="shared" si="62"/>
        <v>#NUM!</v>
      </c>
      <c r="BI117" s="62">
        <f ca="1">AVERAGE(OFFSET($BH$3,0,0,'Données projet'!$E$11+1,1))-AVERAGE(OFFSET($H$3,0,0,'Données projet'!$E$11+1,1))</f>
        <v>236.12531905695994</v>
      </c>
      <c r="BJ117" s="62">
        <f t="shared" si="92"/>
        <v>270.64539221029258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2">
        <f t="shared" si="86"/>
        <v>19.367690785921507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70">
        <f t="shared" si="56"/>
        <v>446.83981145214648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151.58413719376074</v>
      </c>
      <c r="T118" s="62">
        <f t="shared" si="88"/>
        <v>310.105543138185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18.352466806967595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4.2764385759619131E-11</v>
      </c>
      <c r="AC118" s="24">
        <f t="shared" si="57"/>
        <v>18.352466807010359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1.1368683772161603E-13</v>
      </c>
      <c r="AJ118" s="14">
        <f>AI118*VLOOKUP('Données projet'!$B$10,Paramètres!$A$1:$I$89,3,0)*VLOOKUP('Données projet'!$B$10,Paramètres!$A$1:$I$89,5,0)</f>
        <v>6.7984728957526396E-14</v>
      </c>
      <c r="AK118" s="14">
        <f t="shared" si="89"/>
        <v>1.0682447123141398E-12</v>
      </c>
      <c r="AL118" s="22">
        <f t="shared" si="58"/>
        <v>1.978932943548152E-12</v>
      </c>
      <c r="AM118" s="62">
        <f t="shared" si="59"/>
        <v>293.3333333333353</v>
      </c>
      <c r="AN118" s="62">
        <f ca="1">AVERAGE(OFFSET($AM$3,0,0,'Données projet'!$E$10+1,1))-AVERAGE(OFFSET($H$3,0,0,'Données projet'!$E$10+1,1))</f>
        <v>147.72913422715322</v>
      </c>
      <c r="AO118" s="62">
        <f t="shared" si="90"/>
        <v>361.07991692964799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9.9042279649584604</v>
      </c>
      <c r="AV118" s="23">
        <f>EXP(-LN(2)/25)*AV117+(1-EXP(-LN(2)/25))/(LN(2)/25)*Calculateur!AQ118*Calculateur!AS118*VLOOKUP('Données projet'!$B$10,Paramètres!$A$1:$I$89,3,0)*0.475*44/12</f>
        <v>4.1633716590786607</v>
      </c>
      <c r="AW118" s="23">
        <f>EXP(-LN(2)/2)*AW117+(1-EXP(-LN(2)/2))/(LN(2)/2)*AQ118*AT118*VLOOKUP('Données projet'!$B$10,Paramètres!$A$1:$I$89,3,0)*0.475*44/12</f>
        <v>7.0046538049741301E-12</v>
      </c>
      <c r="AX118" s="23">
        <f t="shared" si="60"/>
        <v>14.067599624044126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-1.1368683772161603E-13</v>
      </c>
      <c r="BE118" s="14">
        <f>BD118*VLOOKUP('Données projet'!$B$11,Paramètres!$A$1:$I$89,3,0)*VLOOKUP('Données projet'!$B$11,Paramètres!$A$1:$I$89,5,0)</f>
        <v>-9.9316821433603781E-14</v>
      </c>
      <c r="BF118" s="14" t="e">
        <f t="shared" si="91"/>
        <v>#NUM!</v>
      </c>
      <c r="BG118" s="22" t="e">
        <f t="shared" si="61"/>
        <v>#NUM!</v>
      </c>
      <c r="BH118" s="62" t="e">
        <f t="shared" si="62"/>
        <v>#NUM!</v>
      </c>
      <c r="BI118" s="62">
        <f ca="1">AVERAGE(OFFSET($BH$3,0,0,'Données projet'!$E$11+1,1))-AVERAGE(OFFSET($H$3,0,0,'Données projet'!$E$11+1,1))</f>
        <v>236.12531905695994</v>
      </c>
      <c r="BJ118" s="62">
        <f t="shared" si="92"/>
        <v>270.64539221029258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2">
        <f t="shared" si="86"/>
        <v>19.516426948203513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70">
        <f t="shared" si="56"/>
        <v>448.14037693478764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151.58413719376074</v>
      </c>
      <c r="T119" s="62">
        <f t="shared" si="88"/>
        <v>310.105543138185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17.992586126782406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3.0238987163904113E-11</v>
      </c>
      <c r="AC119" s="24">
        <f t="shared" si="57"/>
        <v>17.992586126812647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1.1368683772161603E-13</v>
      </c>
      <c r="AJ119" s="14">
        <f>AI119*VLOOKUP('Données projet'!$B$10,Paramètres!$A$1:$I$89,3,0)*VLOOKUP('Données projet'!$B$10,Paramètres!$A$1:$I$89,5,0)</f>
        <v>6.7984728957526396E-14</v>
      </c>
      <c r="AK119" s="14">
        <f t="shared" si="89"/>
        <v>1.0682447123141398E-12</v>
      </c>
      <c r="AL119" s="22">
        <f t="shared" si="58"/>
        <v>1.978932943548152E-12</v>
      </c>
      <c r="AM119" s="62">
        <f t="shared" si="59"/>
        <v>293.3333333333353</v>
      </c>
      <c r="AN119" s="62">
        <f ca="1">AVERAGE(OFFSET($AM$3,0,0,'Données projet'!$E$10+1,1))-AVERAGE(OFFSET($H$3,0,0,'Données projet'!$E$10+1,1))</f>
        <v>147.72913422715322</v>
      </c>
      <c r="AO119" s="62">
        <f t="shared" si="90"/>
        <v>361.07991692964799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9.7100120955481852</v>
      </c>
      <c r="AV119" s="23">
        <f>EXP(-LN(2)/25)*AV118+(1-EXP(-LN(2)/25))/(LN(2)/25)*Calculateur!AQ119*Calculateur!AS119*VLOOKUP('Données projet'!$B$10,Paramètres!$A$1:$I$89,3,0)*0.475*44/12</f>
        <v>4.0495240421189544</v>
      </c>
      <c r="AW119" s="23">
        <f>EXP(-LN(2)/2)*AW118+(1-EXP(-LN(2)/2))/(LN(2)/2)*AQ119*AT119*VLOOKUP('Données projet'!$B$10,Paramètres!$A$1:$I$89,3,0)*0.475*44/12</f>
        <v>4.9530382053613597E-12</v>
      </c>
      <c r="AX119" s="23">
        <f t="shared" si="60"/>
        <v>13.759536137672093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-1.1368683772161603E-13</v>
      </c>
      <c r="BE119" s="14">
        <f>BD119*VLOOKUP('Données projet'!$B$11,Paramètres!$A$1:$I$89,3,0)*VLOOKUP('Données projet'!$B$11,Paramètres!$A$1:$I$89,5,0)</f>
        <v>-9.9316821433603781E-14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236.12531905695994</v>
      </c>
      <c r="BJ119" s="62">
        <f t="shared" si="92"/>
        <v>270.64539221029258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2">
        <f t="shared" si="86"/>
        <v>19.665013934342443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70">
        <f t="shared" si="56"/>
        <v>449.4406826023129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151.58413719376074</v>
      </c>
      <c r="T120" s="62">
        <f t="shared" si="88"/>
        <v>310.105543138185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17.639762487230108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2.1382192879809566E-11</v>
      </c>
      <c r="AC120" s="24">
        <f t="shared" si="57"/>
        <v>17.639762487251492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1.1368683772161603E-13</v>
      </c>
      <c r="AJ120" s="14">
        <f>AI120*VLOOKUP('Données projet'!$B$10,Paramètres!$A$1:$I$89,3,0)*VLOOKUP('Données projet'!$B$10,Paramètres!$A$1:$I$89,5,0)</f>
        <v>6.7984728957526396E-14</v>
      </c>
      <c r="AK120" s="14">
        <f t="shared" si="89"/>
        <v>1.0682447123141398E-12</v>
      </c>
      <c r="AL120" s="22">
        <f t="shared" si="58"/>
        <v>1.978932943548152E-12</v>
      </c>
      <c r="AM120" s="62">
        <f t="shared" si="59"/>
        <v>293.3333333333353</v>
      </c>
      <c r="AN120" s="62">
        <f ca="1">AVERAGE(OFFSET($AM$3,0,0,'Données projet'!$E$10+1,1))-AVERAGE(OFFSET($H$3,0,0,'Données projet'!$E$10+1,1))</f>
        <v>147.72913422715322</v>
      </c>
      <c r="AO120" s="62">
        <f t="shared" si="90"/>
        <v>361.07991692964799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9.5196046808770625</v>
      </c>
      <c r="AV120" s="23">
        <f>EXP(-LN(2)/25)*AV119+(1-EXP(-LN(2)/25))/(LN(2)/25)*Calculateur!AQ120*Calculateur!AS120*VLOOKUP('Données projet'!$B$10,Paramètres!$A$1:$I$89,3,0)*0.475*44/12</f>
        <v>3.9387895942319977</v>
      </c>
      <c r="AW120" s="23">
        <f>EXP(-LN(2)/2)*AW119+(1-EXP(-LN(2)/2))/(LN(2)/2)*AQ120*AT120*VLOOKUP('Données projet'!$B$10,Paramètres!$A$1:$I$89,3,0)*0.475*44/12</f>
        <v>3.502326902487065E-12</v>
      </c>
      <c r="AX120" s="23">
        <f t="shared" si="60"/>
        <v>13.458394275112564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-1.1368683772161603E-13</v>
      </c>
      <c r="BE120" s="14">
        <f>BD120*VLOOKUP('Données projet'!$B$11,Paramètres!$A$1:$I$89,3,0)*VLOOKUP('Données projet'!$B$11,Paramètres!$A$1:$I$89,5,0)</f>
        <v>-9.9316821433603781E-14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236.12531905695994</v>
      </c>
      <c r="BJ120" s="62">
        <f t="shared" si="92"/>
        <v>270.64539221029258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2">
        <f t="shared" si="86"/>
        <v>19.813453167086145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70">
        <f t="shared" si="56"/>
        <v>450.74073093267486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151.58413719376074</v>
      </c>
      <c r="T121" s="62">
        <f t="shared" si="88"/>
        <v>310.105543138185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17.293857504048262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1.5119493581952057E-11</v>
      </c>
      <c r="AC121" s="24">
        <f t="shared" si="57"/>
        <v>17.293857504063382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1.1368683772161603E-13</v>
      </c>
      <c r="AJ121" s="14">
        <f>AI121*VLOOKUP('Données projet'!$B$10,Paramètres!$A$1:$I$89,3,0)*VLOOKUP('Données projet'!$B$10,Paramètres!$A$1:$I$89,5,0)</f>
        <v>6.7984728957526396E-14</v>
      </c>
      <c r="AK121" s="14">
        <f t="shared" si="89"/>
        <v>1.0682447123141398E-12</v>
      </c>
      <c r="AL121" s="22">
        <f t="shared" si="58"/>
        <v>1.978932943548152E-12</v>
      </c>
      <c r="AM121" s="62">
        <f t="shared" si="59"/>
        <v>293.3333333333353</v>
      </c>
      <c r="AN121" s="62">
        <f ca="1">AVERAGE(OFFSET($AM$3,0,0,'Données projet'!$E$10+1,1))-AVERAGE(OFFSET($H$3,0,0,'Données projet'!$E$10+1,1))</f>
        <v>147.72913422715322</v>
      </c>
      <c r="AO121" s="62">
        <f t="shared" si="90"/>
        <v>361.07991692964799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9.3329310394705853</v>
      </c>
      <c r="AV121" s="23">
        <f>EXP(-LN(2)/25)*AV120+(1-EXP(-LN(2)/25))/(LN(2)/25)*Calculateur!AQ121*Calculateur!AS121*VLOOKUP('Données projet'!$B$10,Paramètres!$A$1:$I$89,3,0)*0.475*44/12</f>
        <v>3.831083185645781</v>
      </c>
      <c r="AW121" s="23">
        <f>EXP(-LN(2)/2)*AW120+(1-EXP(-LN(2)/2))/(LN(2)/2)*AQ121*AT121*VLOOKUP('Données projet'!$B$10,Paramètres!$A$1:$I$89,3,0)*0.475*44/12</f>
        <v>2.4765191026806798E-12</v>
      </c>
      <c r="AX121" s="23">
        <f t="shared" si="60"/>
        <v>13.164014225118843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-1.1368683772161603E-13</v>
      </c>
      <c r="BE121" s="14">
        <f>BD121*VLOOKUP('Données projet'!$B$11,Paramètres!$A$1:$I$89,3,0)*VLOOKUP('Données projet'!$B$11,Paramètres!$A$1:$I$89,5,0)</f>
        <v>-9.9316821433603781E-14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236.12531905695994</v>
      </c>
      <c r="BJ121" s="62">
        <f t="shared" si="92"/>
        <v>270.64539221029258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2">
        <f t="shared" si="86"/>
        <v>19.961746043676328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70">
        <f t="shared" si="56"/>
        <v>452.04052435940275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151.58413719376074</v>
      </c>
      <c r="T122" s="62">
        <f t="shared" si="88"/>
        <v>310.105543138185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16.954735506605402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1.0691096439904783E-11</v>
      </c>
      <c r="AC122" s="24">
        <f t="shared" si="57"/>
        <v>16.954735506616093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1.1368683772161603E-13</v>
      </c>
      <c r="AJ122" s="14">
        <f>AI122*VLOOKUP('Données projet'!$B$10,Paramètres!$A$1:$I$89,3,0)*VLOOKUP('Données projet'!$B$10,Paramètres!$A$1:$I$89,5,0)</f>
        <v>6.7984728957526396E-14</v>
      </c>
      <c r="AK122" s="14">
        <f t="shared" si="89"/>
        <v>1.0682447123141398E-12</v>
      </c>
      <c r="AL122" s="22">
        <f t="shared" si="58"/>
        <v>1.978932943548152E-12</v>
      </c>
      <c r="AM122" s="62">
        <f t="shared" si="59"/>
        <v>293.3333333333353</v>
      </c>
      <c r="AN122" s="62">
        <f ca="1">AVERAGE(OFFSET($AM$3,0,0,'Données projet'!$E$10+1,1))-AVERAGE(OFFSET($H$3,0,0,'Données projet'!$E$10+1,1))</f>
        <v>147.72913422715322</v>
      </c>
      <c r="AO122" s="62">
        <f t="shared" si="90"/>
        <v>361.07991692964799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9.1499179543124107</v>
      </c>
      <c r="AV122" s="23">
        <f>EXP(-LN(2)/25)*AV121+(1-EXP(-LN(2)/25))/(LN(2)/25)*Calculateur!AQ122*Calculateur!AS122*VLOOKUP('Données projet'!$B$10,Paramètres!$A$1:$I$89,3,0)*0.475*44/12</f>
        <v>3.7263220144663882</v>
      </c>
      <c r="AW122" s="23">
        <f>EXP(-LN(2)/2)*AW121+(1-EXP(-LN(2)/2))/(LN(2)/2)*AQ122*AT122*VLOOKUP('Données projet'!$B$10,Paramètres!$A$1:$I$89,3,0)*0.475*44/12</f>
        <v>1.7511634512435325E-12</v>
      </c>
      <c r="AX122" s="23">
        <f t="shared" si="60"/>
        <v>12.876239968780551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-1.1368683772161603E-13</v>
      </c>
      <c r="BE122" s="14">
        <f>BD122*VLOOKUP('Données projet'!$B$11,Paramètres!$A$1:$I$89,3,0)*VLOOKUP('Données projet'!$B$11,Paramètres!$A$1:$I$89,5,0)</f>
        <v>-9.9316821433603781E-14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236.12531905695994</v>
      </c>
      <c r="BJ122" s="62">
        <f t="shared" si="92"/>
        <v>270.64539221029258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2">
        <f t="shared" si="86"/>
        <v>20.109893936516197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70">
        <f t="shared" si="56"/>
        <v>453.34006527276551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151.58413719376074</v>
      </c>
      <c r="T123" s="62">
        <f t="shared" si="88"/>
        <v>310.105543138185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16.622263484688403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7.5597467909760283E-12</v>
      </c>
      <c r="AC123" s="24">
        <f t="shared" si="57"/>
        <v>16.622263484695964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1.1368683772161603E-13</v>
      </c>
      <c r="AJ123" s="14">
        <f>AI123*VLOOKUP('Données projet'!$B$10,Paramètres!$A$1:$I$89,3,0)*VLOOKUP('Données projet'!$B$10,Paramètres!$A$1:$I$89,5,0)</f>
        <v>6.7984728957526396E-14</v>
      </c>
      <c r="AK123" s="14">
        <f t="shared" si="89"/>
        <v>1.0682447123141398E-12</v>
      </c>
      <c r="AL123" s="22">
        <f t="shared" si="58"/>
        <v>1.978932943548152E-12</v>
      </c>
      <c r="AM123" s="62">
        <f t="shared" si="59"/>
        <v>293.3333333333353</v>
      </c>
      <c r="AN123" s="62">
        <f ca="1">AVERAGE(OFFSET($AM$3,0,0,'Données projet'!$E$10+1,1))-AVERAGE(OFFSET($H$3,0,0,'Données projet'!$E$10+1,1))</f>
        <v>147.72913422715322</v>
      </c>
      <c r="AO123" s="62">
        <f t="shared" si="90"/>
        <v>361.07991692964799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8.9704936441272292</v>
      </c>
      <c r="AV123" s="23">
        <f>EXP(-LN(2)/25)*AV122+(1-EXP(-LN(2)/25))/(LN(2)/25)*Calculateur!AQ123*Calculateur!AS123*VLOOKUP('Données projet'!$B$10,Paramètres!$A$1:$I$89,3,0)*0.475*44/12</f>
        <v>3.6244255430220469</v>
      </c>
      <c r="AW123" s="23">
        <f>EXP(-LN(2)/2)*AW122+(1-EXP(-LN(2)/2))/(LN(2)/2)*AQ123*AT123*VLOOKUP('Données projet'!$B$10,Paramètres!$A$1:$I$89,3,0)*0.475*44/12</f>
        <v>1.2382595513403399E-12</v>
      </c>
      <c r="AX123" s="23">
        <f t="shared" si="60"/>
        <v>12.594919187150515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-1.1368683772161603E-13</v>
      </c>
      <c r="BE123" s="14">
        <f>BD123*VLOOKUP('Données projet'!$B$11,Paramètres!$A$1:$I$89,3,0)*VLOOKUP('Données projet'!$B$11,Paramètres!$A$1:$I$89,5,0)</f>
        <v>-9.9316821433603781E-14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236.12531905695994</v>
      </c>
      <c r="BJ123" s="62">
        <f t="shared" si="92"/>
        <v>270.64539221029258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2">
        <f t="shared" si="86"/>
        <v>20.257898193815301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70">
        <f t="shared" si="56"/>
        <v>454.63935602089481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151.58413719376074</v>
      </c>
      <c r="T124" s="62">
        <f t="shared" si="88"/>
        <v>310.105543138185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16.296311036333289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5.3455482199523914E-12</v>
      </c>
      <c r="AC124" s="24">
        <f t="shared" si="57"/>
        <v>16.296311036338636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1.1368683772161603E-13</v>
      </c>
      <c r="AJ124" s="14">
        <f>AI124*VLOOKUP('Données projet'!$B$10,Paramètres!$A$1:$I$89,3,0)*VLOOKUP('Données projet'!$B$10,Paramètres!$A$1:$I$89,5,0)</f>
        <v>6.7984728957526396E-14</v>
      </c>
      <c r="AK124" s="14">
        <f t="shared" si="89"/>
        <v>1.0682447123141398E-12</v>
      </c>
      <c r="AL124" s="22">
        <f t="shared" si="58"/>
        <v>1.978932943548152E-12</v>
      </c>
      <c r="AM124" s="62">
        <f t="shared" si="59"/>
        <v>293.3333333333353</v>
      </c>
      <c r="AN124" s="62">
        <f ca="1">AVERAGE(OFFSET($AM$3,0,0,'Données projet'!$E$10+1,1))-AVERAGE(OFFSET($H$3,0,0,'Données projet'!$E$10+1,1))</f>
        <v>147.72913422715322</v>
      </c>
      <c r="AO124" s="62">
        <f t="shared" si="90"/>
        <v>361.07991692964799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8.7945877352267559</v>
      </c>
      <c r="AV124" s="23">
        <f>EXP(-LN(2)/25)*AV123+(1-EXP(-LN(2)/25))/(LN(2)/25)*Calculateur!AQ124*Calculateur!AS124*VLOOKUP('Données projet'!$B$10,Paramètres!$A$1:$I$89,3,0)*0.475*44/12</f>
        <v>3.5253154359478533</v>
      </c>
      <c r="AW124" s="23">
        <f>EXP(-LN(2)/2)*AW123+(1-EXP(-LN(2)/2))/(LN(2)/2)*AQ124*AT124*VLOOKUP('Données projet'!$B$10,Paramètres!$A$1:$I$89,3,0)*0.475*44/12</f>
        <v>8.7558172562176626E-13</v>
      </c>
      <c r="AX124" s="23">
        <f t="shared" si="60"/>
        <v>12.319903171175485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-1.1368683772161603E-13</v>
      </c>
      <c r="BE124" s="14">
        <f>BD124*VLOOKUP('Données projet'!$B$11,Paramètres!$A$1:$I$89,3,0)*VLOOKUP('Données projet'!$B$11,Paramètres!$A$1:$I$89,5,0)</f>
        <v>-9.9316821433603781E-14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236.12531905695994</v>
      </c>
      <c r="BJ124" s="62">
        <f t="shared" si="92"/>
        <v>270.64539221029258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2">
        <f t="shared" si="86"/>
        <v>20.405760140212255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70">
        <f t="shared" si="56"/>
        <v>455.93839891086952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151.58413719376074</v>
      </c>
      <c r="T125" s="62">
        <f t="shared" si="88"/>
        <v>310.105543138185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15.976750316679055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3.7798733954880142E-12</v>
      </c>
      <c r="AC125" s="24">
        <f t="shared" si="57"/>
        <v>15.976750316682836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1.1368683772161603E-13</v>
      </c>
      <c r="AJ125" s="14">
        <f>AI125*VLOOKUP('Données projet'!$B$10,Paramètres!$A$1:$I$89,3,0)*VLOOKUP('Données projet'!$B$10,Paramètres!$A$1:$I$89,5,0)</f>
        <v>6.7984728957526396E-14</v>
      </c>
      <c r="AK125" s="14">
        <f t="shared" si="89"/>
        <v>1.0682447123141398E-12</v>
      </c>
      <c r="AL125" s="22">
        <f t="shared" si="58"/>
        <v>1.978932943548152E-12</v>
      </c>
      <c r="AM125" s="62">
        <f t="shared" si="59"/>
        <v>293.3333333333353</v>
      </c>
      <c r="AN125" s="62">
        <f ca="1">AVERAGE(OFFSET($AM$3,0,0,'Données projet'!$E$10+1,1))-AVERAGE(OFFSET($H$3,0,0,'Données projet'!$E$10+1,1))</f>
        <v>147.72913422715322</v>
      </c>
      <c r="AO125" s="62">
        <f t="shared" si="90"/>
        <v>361.07991692964799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8.62213123390781</v>
      </c>
      <c r="AV125" s="23">
        <f>EXP(-LN(2)/25)*AV124+(1-EXP(-LN(2)/25))/(LN(2)/25)*Calculateur!AQ125*Calculateur!AS125*VLOOKUP('Données projet'!$B$10,Paramètres!$A$1:$I$89,3,0)*0.475*44/12</f>
        <v>3.4289154999635776</v>
      </c>
      <c r="AW125" s="23">
        <f>EXP(-LN(2)/2)*AW124+(1-EXP(-LN(2)/2))/(LN(2)/2)*AQ125*AT125*VLOOKUP('Données projet'!$B$10,Paramètres!$A$1:$I$89,3,0)*0.475*44/12</f>
        <v>6.1912977567016996E-13</v>
      </c>
      <c r="AX125" s="23">
        <f t="shared" si="60"/>
        <v>12.051046733872008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-1.1368683772161603E-13</v>
      </c>
      <c r="BE125" s="14">
        <f>BD125*VLOOKUP('Données projet'!$B$11,Paramètres!$A$1:$I$89,3,0)*VLOOKUP('Données projet'!$B$11,Paramètres!$A$1:$I$89,5,0)</f>
        <v>-9.9316821433603781E-14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236.12531905695994</v>
      </c>
      <c r="BJ125" s="62">
        <f t="shared" si="92"/>
        <v>270.64539221029258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2">
        <f t="shared" si="86"/>
        <v>20.553481077376667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70">
        <f t="shared" si="56"/>
        <v>457.23719620976419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151.58413719376074</v>
      </c>
      <c r="T126" s="62">
        <f t="shared" si="88"/>
        <v>310.105543138185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15.663455987824447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2.6727741099761957E-12</v>
      </c>
      <c r="AC126" s="24">
        <f t="shared" si="57"/>
        <v>15.66345598782712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1.1368683772161603E-13</v>
      </c>
      <c r="AJ126" s="14">
        <f>AI126*VLOOKUP('Données projet'!$B$10,Paramètres!$A$1:$I$89,3,0)*VLOOKUP('Données projet'!$B$10,Paramètres!$A$1:$I$89,5,0)</f>
        <v>6.7984728957526396E-14</v>
      </c>
      <c r="AK126" s="14">
        <f t="shared" si="89"/>
        <v>1.0682447123141398E-12</v>
      </c>
      <c r="AL126" s="22">
        <f t="shared" si="58"/>
        <v>1.978932943548152E-12</v>
      </c>
      <c r="AM126" s="62">
        <f t="shared" si="59"/>
        <v>293.3333333333353</v>
      </c>
      <c r="AN126" s="62">
        <f ca="1">AVERAGE(OFFSET($AM$3,0,0,'Données projet'!$E$10+1,1))-AVERAGE(OFFSET($H$3,0,0,'Données projet'!$E$10+1,1))</f>
        <v>147.72913422715322</v>
      </c>
      <c r="AO126" s="62">
        <f t="shared" si="90"/>
        <v>361.07991692964799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8.4530564993916499</v>
      </c>
      <c r="AV126" s="23">
        <f>EXP(-LN(2)/25)*AV125+(1-EXP(-LN(2)/25))/(LN(2)/25)*Calculateur!AQ126*Calculateur!AS126*VLOOKUP('Données projet'!$B$10,Paramètres!$A$1:$I$89,3,0)*0.475*44/12</f>
        <v>3.3351516252982445</v>
      </c>
      <c r="AW126" s="23">
        <f>EXP(-LN(2)/2)*AW125+(1-EXP(-LN(2)/2))/(LN(2)/2)*AQ126*AT126*VLOOKUP('Données projet'!$B$10,Paramètres!$A$1:$I$89,3,0)*0.475*44/12</f>
        <v>4.3779086281088313E-13</v>
      </c>
      <c r="AX126" s="23">
        <f t="shared" si="60"/>
        <v>11.788208124690332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-1.1368683772161603E-13</v>
      </c>
      <c r="BE126" s="14">
        <f>BD126*VLOOKUP('Données projet'!$B$11,Paramètres!$A$1:$I$89,3,0)*VLOOKUP('Données projet'!$B$11,Paramètres!$A$1:$I$89,5,0)</f>
        <v>-9.9316821433603781E-14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236.12531905695994</v>
      </c>
      <c r="BJ126" s="62">
        <f t="shared" si="92"/>
        <v>270.64539221029258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2">
        <f t="shared" si="86"/>
        <v>20.701062284590861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70">
        <f t="shared" si="56"/>
        <v>458.53575014566229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151.58413719376074</v>
      </c>
      <c r="T127" s="62">
        <f t="shared" si="88"/>
        <v>310.105543138185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15.356305169668007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1.8899366977440071E-12</v>
      </c>
      <c r="AC127" s="24">
        <f t="shared" si="57"/>
        <v>15.356305169669897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1.1368683772161603E-13</v>
      </c>
      <c r="AJ127" s="14">
        <f>AI127*VLOOKUP('Données projet'!$B$10,Paramètres!$A$1:$I$89,3,0)*VLOOKUP('Données projet'!$B$10,Paramètres!$A$1:$I$89,5,0)</f>
        <v>6.7984728957526396E-14</v>
      </c>
      <c r="AK127" s="14">
        <f t="shared" si="89"/>
        <v>1.0682447123141398E-12</v>
      </c>
      <c r="AL127" s="22">
        <f t="shared" si="58"/>
        <v>1.978932943548152E-12</v>
      </c>
      <c r="AM127" s="62">
        <f t="shared" si="59"/>
        <v>293.3333333333353</v>
      </c>
      <c r="AN127" s="62">
        <f ca="1">AVERAGE(OFFSET($AM$3,0,0,'Données projet'!$E$10+1,1))-AVERAGE(OFFSET($H$3,0,0,'Données projet'!$E$10+1,1))</f>
        <v>147.72913422715322</v>
      </c>
      <c r="AO127" s="62">
        <f t="shared" si="90"/>
        <v>361.07991692964799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8.2872972172939452</v>
      </c>
      <c r="AV127" s="23">
        <f>EXP(-LN(2)/25)*AV126+(1-EXP(-LN(2)/25))/(LN(2)/25)*Calculateur!AQ127*Calculateur!AS127*VLOOKUP('Données projet'!$B$10,Paramètres!$A$1:$I$89,3,0)*0.475*44/12</f>
        <v>3.2439517287164628</v>
      </c>
      <c r="AW127" s="23">
        <f>EXP(-LN(2)/2)*AW126+(1-EXP(-LN(2)/2))/(LN(2)/2)*AQ127*AT127*VLOOKUP('Données projet'!$B$10,Paramètres!$A$1:$I$89,3,0)*0.475*44/12</f>
        <v>3.0956488783508498E-13</v>
      </c>
      <c r="AX127" s="23">
        <f t="shared" si="60"/>
        <v>11.531248946010717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-1.1368683772161603E-13</v>
      </c>
      <c r="BE127" s="14">
        <f>BD127*VLOOKUP('Données projet'!$B$11,Paramètres!$A$1:$I$89,3,0)*VLOOKUP('Données projet'!$B$11,Paramètres!$A$1:$I$89,5,0)</f>
        <v>-9.9316821433603781E-14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236.12531905695994</v>
      </c>
      <c r="BJ127" s="62">
        <f t="shared" si="92"/>
        <v>270.64539221029258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2">
        <f t="shared" si="86"/>
        <v>20.848505019312185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70">
        <f t="shared" si="56"/>
        <v>459.83406290863525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151.58413719376074</v>
      </c>
      <c r="T128" s="62">
        <f t="shared" si="88"/>
        <v>310.105543138185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15.055177391712114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1.3363870549880978E-12</v>
      </c>
      <c r="AC128" s="24">
        <f t="shared" si="57"/>
        <v>15.05517739171345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1.1368683772161603E-13</v>
      </c>
      <c r="AJ128" s="14">
        <f>AI128*VLOOKUP('Données projet'!$B$10,Paramètres!$A$1:$I$89,3,0)*VLOOKUP('Données projet'!$B$10,Paramètres!$A$1:$I$89,5,0)</f>
        <v>6.7984728957526396E-14</v>
      </c>
      <c r="AK128" s="14">
        <f t="shared" si="89"/>
        <v>1.0682447123141398E-12</v>
      </c>
      <c r="AL128" s="22">
        <f t="shared" si="58"/>
        <v>1.978932943548152E-12</v>
      </c>
      <c r="AM128" s="62">
        <f t="shared" si="59"/>
        <v>293.3333333333353</v>
      </c>
      <c r="AN128" s="62">
        <f ca="1">AVERAGE(OFFSET($AM$3,0,0,'Données projet'!$E$10+1,1))-AVERAGE(OFFSET($H$3,0,0,'Données projet'!$E$10+1,1))</f>
        <v>147.72913422715322</v>
      </c>
      <c r="AO128" s="62">
        <f t="shared" si="90"/>
        <v>361.07991692964799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8.1247883736149973</v>
      </c>
      <c r="AV128" s="23">
        <f>EXP(-LN(2)/25)*AV127+(1-EXP(-LN(2)/25))/(LN(2)/25)*Calculateur!AQ128*Calculateur!AS128*VLOOKUP('Données projet'!$B$10,Paramètres!$A$1:$I$89,3,0)*0.475*44/12</f>
        <v>3.1552456981027039</v>
      </c>
      <c r="AW128" s="23">
        <f>EXP(-LN(2)/2)*AW127+(1-EXP(-LN(2)/2))/(LN(2)/2)*AQ128*AT128*VLOOKUP('Données projet'!$B$10,Paramètres!$A$1:$I$89,3,0)*0.475*44/12</f>
        <v>2.1889543140544156E-13</v>
      </c>
      <c r="AX128" s="23">
        <f t="shared" si="60"/>
        <v>11.280034071717919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-1.1368683772161603E-13</v>
      </c>
      <c r="BE128" s="14">
        <f>BD128*VLOOKUP('Données projet'!$B$11,Paramètres!$A$1:$I$89,3,0)*VLOOKUP('Données projet'!$B$11,Paramètres!$A$1:$I$89,5,0)</f>
        <v>-9.9316821433603781E-14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236.12531905695994</v>
      </c>
      <c r="BJ128" s="62">
        <f t="shared" si="92"/>
        <v>270.64539221029258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2">
        <f t="shared" si="86"/>
        <v>20.995810517717022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70">
        <f t="shared" si="56"/>
        <v>461.1321366516903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151.58413719376074</v>
      </c>
      <c r="T129" s="62">
        <f t="shared" si="88"/>
        <v>310.105543138185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14.759954545812127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9.4496834887200354E-13</v>
      </c>
      <c r="AC129" s="24">
        <f t="shared" si="57"/>
        <v>14.759954545813072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1.1368683772161603E-13</v>
      </c>
      <c r="AJ129" s="14">
        <f>AI129*VLOOKUP('Données projet'!$B$10,Paramètres!$A$1:$I$89,3,0)*VLOOKUP('Données projet'!$B$10,Paramètres!$A$1:$I$89,5,0)</f>
        <v>6.7984728957526396E-14</v>
      </c>
      <c r="AK129" s="14">
        <f t="shared" si="89"/>
        <v>1.0682447123141398E-12</v>
      </c>
      <c r="AL129" s="22">
        <f t="shared" si="58"/>
        <v>1.978932943548152E-12</v>
      </c>
      <c r="AM129" s="62">
        <f t="shared" si="59"/>
        <v>293.3333333333353</v>
      </c>
      <c r="AN129" s="62">
        <f ca="1">AVERAGE(OFFSET($AM$3,0,0,'Données projet'!$E$10+1,1))-AVERAGE(OFFSET($H$3,0,0,'Données projet'!$E$10+1,1))</f>
        <v>147.72913422715322</v>
      </c>
      <c r="AO129" s="62">
        <f t="shared" si="90"/>
        <v>361.07991692964799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7.9654662292399872</v>
      </c>
      <c r="AV129" s="23">
        <f>EXP(-LN(2)/25)*AV128+(1-EXP(-LN(2)/25))/(LN(2)/25)*Calculateur!AQ129*Calculateur!AS129*VLOOKUP('Données projet'!$B$10,Paramètres!$A$1:$I$89,3,0)*0.475*44/12</f>
        <v>3.0689653385609255</v>
      </c>
      <c r="AW129" s="23">
        <f>EXP(-LN(2)/2)*AW128+(1-EXP(-LN(2)/2))/(LN(2)/2)*AQ129*AT129*VLOOKUP('Données projet'!$B$10,Paramètres!$A$1:$I$89,3,0)*0.475*44/12</f>
        <v>1.5478244391754249E-13</v>
      </c>
      <c r="AX129" s="23">
        <f t="shared" si="60"/>
        <v>11.034431567801066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-1.1368683772161603E-13</v>
      </c>
      <c r="BE129" s="14">
        <f>BD129*VLOOKUP('Données projet'!$B$11,Paramètres!$A$1:$I$89,3,0)*VLOOKUP('Données projet'!$B$11,Paramètres!$A$1:$I$89,5,0)</f>
        <v>-9.9316821433603781E-14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236.12531905695994</v>
      </c>
      <c r="BJ129" s="62">
        <f t="shared" si="92"/>
        <v>270.64539221029258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2">
        <f t="shared" si="86"/>
        <v>21.142979995226813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70">
        <f t="shared" si="56"/>
        <v>462.4299734916865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151.58413719376074</v>
      </c>
      <c r="T130" s="62">
        <f t="shared" si="88"/>
        <v>310.105543138185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14.470520839852083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6.6819352749404892E-13</v>
      </c>
      <c r="AC130" s="24">
        <f t="shared" si="57"/>
        <v>14.470520839852751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1.1368683772161603E-13</v>
      </c>
      <c r="AJ130" s="14">
        <f>AI130*VLOOKUP('Données projet'!$B$10,Paramètres!$A$1:$I$89,3,0)*VLOOKUP('Données projet'!$B$10,Paramètres!$A$1:$I$89,5,0)</f>
        <v>6.7984728957526396E-14</v>
      </c>
      <c r="AK130" s="14">
        <f t="shared" si="89"/>
        <v>1.0682447123141398E-12</v>
      </c>
      <c r="AL130" s="22">
        <f t="shared" si="58"/>
        <v>1.978932943548152E-12</v>
      </c>
      <c r="AM130" s="62">
        <f t="shared" si="59"/>
        <v>293.3333333333353</v>
      </c>
      <c r="AN130" s="62">
        <f ca="1">AVERAGE(OFFSET($AM$3,0,0,'Données projet'!$E$10+1,1))-AVERAGE(OFFSET($H$3,0,0,'Données projet'!$E$10+1,1))</f>
        <v>147.72913422715322</v>
      </c>
      <c r="AO130" s="62">
        <f t="shared" si="90"/>
        <v>361.07991692964799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7.8092682949392582</v>
      </c>
      <c r="AV130" s="23">
        <f>EXP(-LN(2)/25)*AV129+(1-EXP(-LN(2)/25))/(LN(2)/25)*Calculateur!AQ130*Calculateur!AS130*VLOOKUP('Données projet'!$B$10,Paramètres!$A$1:$I$89,3,0)*0.475*44/12</f>
        <v>2.9850443199881038</v>
      </c>
      <c r="AW130" s="23">
        <f>EXP(-LN(2)/2)*AW129+(1-EXP(-LN(2)/2))/(LN(2)/2)*AQ130*AT130*VLOOKUP('Données projet'!$B$10,Paramètres!$A$1:$I$89,3,0)*0.475*44/12</f>
        <v>1.0944771570272078E-13</v>
      </c>
      <c r="AX130" s="23">
        <f t="shared" si="60"/>
        <v>10.794312614927472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-1.1368683772161603E-13</v>
      </c>
      <c r="BE130" s="14">
        <f>BD130*VLOOKUP('Données projet'!$B$11,Paramètres!$A$1:$I$89,3,0)*VLOOKUP('Données projet'!$B$11,Paramètres!$A$1:$I$89,5,0)</f>
        <v>-9.9316821433603781E-14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236.12531905695994</v>
      </c>
      <c r="BJ130" s="62">
        <f t="shared" si="92"/>
        <v>270.64539221029258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2">
        <f t="shared" si="86"/>
        <v>21.290014647017198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70">
        <f t="shared" si="56"/>
        <v>463.72757551022141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151.58413719376074</v>
      </c>
      <c r="T131" s="62">
        <f t="shared" si="88"/>
        <v>310.105543138185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14.186762752328788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4.7248417443600177E-13</v>
      </c>
      <c r="AC131" s="24">
        <f t="shared" si="57"/>
        <v>14.18676275232926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1.1368683772161603E-13</v>
      </c>
      <c r="AJ131" s="14">
        <f>AI131*VLOOKUP('Données projet'!$B$10,Paramètres!$A$1:$I$89,3,0)*VLOOKUP('Données projet'!$B$10,Paramètres!$A$1:$I$89,5,0)</f>
        <v>6.7984728957526396E-14</v>
      </c>
      <c r="AK131" s="14">
        <f t="shared" si="89"/>
        <v>1.0682447123141398E-12</v>
      </c>
      <c r="AL131" s="22">
        <f t="shared" si="58"/>
        <v>1.978932943548152E-12</v>
      </c>
      <c r="AM131" s="62">
        <f t="shared" si="59"/>
        <v>293.3333333333353</v>
      </c>
      <c r="AN131" s="62">
        <f ca="1">AVERAGE(OFFSET($AM$3,0,0,'Données projet'!$E$10+1,1))-AVERAGE(OFFSET($H$3,0,0,'Données projet'!$E$10+1,1))</f>
        <v>147.72913422715322</v>
      </c>
      <c r="AO131" s="62">
        <f t="shared" si="90"/>
        <v>361.07991692964799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7.656133306858834</v>
      </c>
      <c r="AV131" s="23">
        <f>EXP(-LN(2)/25)*AV130+(1-EXP(-LN(2)/25))/(LN(2)/25)*Calculateur!AQ131*Calculateur!AS131*VLOOKUP('Données projet'!$B$10,Paramètres!$A$1:$I$89,3,0)*0.475*44/12</f>
        <v>2.903418126081371</v>
      </c>
      <c r="AW131" s="23">
        <f>EXP(-LN(2)/2)*AW130+(1-EXP(-LN(2)/2))/(LN(2)/2)*AQ131*AT131*VLOOKUP('Données projet'!$B$10,Paramètres!$A$1:$I$89,3,0)*0.475*44/12</f>
        <v>7.7391221958771245E-14</v>
      </c>
      <c r="AX131" s="23">
        <f t="shared" si="60"/>
        <v>10.559551432940284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-1.1368683772161603E-13</v>
      </c>
      <c r="BE131" s="14">
        <f>BD131*VLOOKUP('Données projet'!$B$11,Paramètres!$A$1:$I$89,3,0)*VLOOKUP('Données projet'!$B$11,Paramètres!$A$1:$I$89,5,0)</f>
        <v>-9.9316821433603781E-14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236.12531905695994</v>
      </c>
      <c r="BJ131" s="62">
        <f t="shared" si="92"/>
        <v>270.64539221029258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2">
        <f t="shared" si="86"/>
        <v>21.436915648510737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70">
        <f t="shared" ref="H132:H195" si="110">(B132+E132+F132)*44/12+(C132+D132)*0.475*44/12</f>
        <v>465.0249447544893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151.58413719376074</v>
      </c>
      <c r="T132" s="62">
        <f t="shared" si="88"/>
        <v>310.105543138185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13.908568987826479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3.3409676374702446E-13</v>
      </c>
      <c r="AC132" s="24">
        <f t="shared" ref="AC132:AC153" si="111">SUM(Z132:AB132)</f>
        <v>13.908568987826813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1.1368683772161603E-13</v>
      </c>
      <c r="AJ132" s="14">
        <f>AI132*VLOOKUP('Données projet'!$B$10,Paramètres!$A$1:$I$89,3,0)*VLOOKUP('Données projet'!$B$10,Paramètres!$A$1:$I$89,5,0)</f>
        <v>6.7984728957526396E-14</v>
      </c>
      <c r="AK132" s="14">
        <f t="shared" si="89"/>
        <v>1.0682447123141398E-12</v>
      </c>
      <c r="AL132" s="22">
        <f t="shared" ref="AL132:AL153" si="112">(AJ132+AK132)*0.475*44/12</f>
        <v>1.978932943548152E-12</v>
      </c>
      <c r="AM132" s="62">
        <f t="shared" ref="AM132:AM195" si="113">AL132+(AD132+AE132)*44/12</f>
        <v>293.3333333333353</v>
      </c>
      <c r="AN132" s="62">
        <f ca="1">AVERAGE(OFFSET($AM$3,0,0,'Données projet'!$E$10+1,1))-AVERAGE(OFFSET($H$3,0,0,'Données projet'!$E$10+1,1))</f>
        <v>147.72913422715322</v>
      </c>
      <c r="AO132" s="62">
        <f t="shared" si="90"/>
        <v>361.07991692964799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7.5060012024915466</v>
      </c>
      <c r="AV132" s="23">
        <f>EXP(-LN(2)/25)*AV131+(1-EXP(-LN(2)/25))/(LN(2)/25)*Calculateur!AQ132*Calculateur!AS132*VLOOKUP('Données projet'!$B$10,Paramètres!$A$1:$I$89,3,0)*0.475*44/12</f>
        <v>2.8240240047395524</v>
      </c>
      <c r="AW132" s="23">
        <f>EXP(-LN(2)/2)*AW131+(1-EXP(-LN(2)/2))/(LN(2)/2)*AQ132*AT132*VLOOKUP('Données projet'!$B$10,Paramètres!$A$1:$I$89,3,0)*0.475*44/12</f>
        <v>5.4723857851360391E-14</v>
      </c>
      <c r="AX132" s="23">
        <f t="shared" ref="AX132:AX153" si="114">SUM(AU132:AW132)</f>
        <v>10.330025207231154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-1.1368683772161603E-13</v>
      </c>
      <c r="BE132" s="14">
        <f>BD132*VLOOKUP('Données projet'!$B$11,Paramètres!$A$1:$I$89,3,0)*VLOOKUP('Données projet'!$B$11,Paramètres!$A$1:$I$89,5,0)</f>
        <v>-9.9316821433603781E-14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236.12531905695994</v>
      </c>
      <c r="BJ132" s="62">
        <f t="shared" si="92"/>
        <v>270.64539221029258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2">
        <f t="shared" ref="D133:D196" si="140">IFERROR(EXP(-1.0587+0.8836*LN(C133)+0.284),0)</f>
        <v>21.583684155853874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70">
        <f t="shared" si="110"/>
        <v>466.32208323811199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151.58413719376074</v>
      </c>
      <c r="T133" s="62">
        <f t="shared" ref="T133:T196" si="142">$T$3</f>
        <v>310.105543138185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13.635830433364619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2.3624208721800089E-13</v>
      </c>
      <c r="AC133" s="24">
        <f t="shared" si="111"/>
        <v>13.635830433364855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1.1368683772161603E-13</v>
      </c>
      <c r="AJ133" s="14">
        <f>AI133*VLOOKUP('Données projet'!$B$10,Paramètres!$A$1:$I$89,3,0)*VLOOKUP('Données projet'!$B$10,Paramètres!$A$1:$I$89,5,0)</f>
        <v>6.7984728957526396E-14</v>
      </c>
      <c r="AK133" s="14">
        <f t="shared" ref="AK133:AK153" si="143">EXP(-1.0587+0.8836*LN(AJ133)+0.284)</f>
        <v>1.0682447123141398E-12</v>
      </c>
      <c r="AL133" s="22">
        <f t="shared" si="112"/>
        <v>1.978932943548152E-12</v>
      </c>
      <c r="AM133" s="62">
        <f t="shared" si="113"/>
        <v>293.3333333333353</v>
      </c>
      <c r="AN133" s="62">
        <f ca="1">AVERAGE(OFFSET($AM$3,0,0,'Données projet'!$E$10+1,1))-AVERAGE(OFFSET($H$3,0,0,'Données projet'!$E$10+1,1))</f>
        <v>147.72913422715322</v>
      </c>
      <c r="AO133" s="62">
        <f t="shared" ref="AO133:AO196" si="144">$AO$3</f>
        <v>361.07991692964799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7.3588130971193602</v>
      </c>
      <c r="AV133" s="23">
        <f>EXP(-LN(2)/25)*AV132+(1-EXP(-LN(2)/25))/(LN(2)/25)*Calculateur!AQ133*Calculateur!AS133*VLOOKUP('Données projet'!$B$10,Paramètres!$A$1:$I$89,3,0)*0.475*44/12</f>
        <v>2.7468009198209815</v>
      </c>
      <c r="AW133" s="23">
        <f>EXP(-LN(2)/2)*AW132+(1-EXP(-LN(2)/2))/(LN(2)/2)*AQ133*AT133*VLOOKUP('Données projet'!$B$10,Paramètres!$A$1:$I$89,3,0)*0.475*44/12</f>
        <v>3.8695610979385622E-14</v>
      </c>
      <c r="AX133" s="23">
        <f t="shared" si="114"/>
        <v>10.105614016940381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-1.1368683772161603E-13</v>
      </c>
      <c r="BE133" s="14">
        <f>BD133*VLOOKUP('Données projet'!$B$11,Paramètres!$A$1:$I$89,3,0)*VLOOKUP('Données projet'!$B$11,Paramètres!$A$1:$I$89,5,0)</f>
        <v>-9.9316821433603781E-14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236.12531905695994</v>
      </c>
      <c r="BJ133" s="62">
        <f t="shared" ref="BJ133:BJ196" si="146">$BJ$3</f>
        <v>270.64539221029258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2">
        <f t="shared" si="140"/>
        <v>21.730321306378883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70">
        <f t="shared" si="110"/>
        <v>467.61899294194302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151.58413719376074</v>
      </c>
      <c r="T134" s="62">
        <f t="shared" si="142"/>
        <v>310.105543138185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13.368440115601665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1.6704838187351223E-13</v>
      </c>
      <c r="AC134" s="24">
        <f t="shared" si="111"/>
        <v>13.368440115601832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1.1368683772161603E-13</v>
      </c>
      <c r="AJ134" s="14">
        <f>AI134*VLOOKUP('Données projet'!$B$10,Paramètres!$A$1:$I$89,3,0)*VLOOKUP('Données projet'!$B$10,Paramètres!$A$1:$I$89,5,0)</f>
        <v>6.7984728957526396E-14</v>
      </c>
      <c r="AK134" s="14">
        <f t="shared" si="143"/>
        <v>1.0682447123141398E-12</v>
      </c>
      <c r="AL134" s="22">
        <f t="shared" si="112"/>
        <v>1.978932943548152E-12</v>
      </c>
      <c r="AM134" s="62">
        <f t="shared" si="113"/>
        <v>293.3333333333353</v>
      </c>
      <c r="AN134" s="62">
        <f ca="1">AVERAGE(OFFSET($AM$3,0,0,'Données projet'!$E$10+1,1))-AVERAGE(OFFSET($H$3,0,0,'Données projet'!$E$10+1,1))</f>
        <v>147.72913422715322</v>
      </c>
      <c r="AO134" s="62">
        <f t="shared" si="144"/>
        <v>361.07991692964799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7.2145112607176429</v>
      </c>
      <c r="AV134" s="23">
        <f>EXP(-LN(2)/25)*AV133+(1-EXP(-LN(2)/25))/(LN(2)/25)*Calculateur!AQ134*Calculateur!AS134*VLOOKUP('Données projet'!$B$10,Paramètres!$A$1:$I$89,3,0)*0.475*44/12</f>
        <v>2.6716895042204944</v>
      </c>
      <c r="AW134" s="23">
        <f>EXP(-LN(2)/2)*AW133+(1-EXP(-LN(2)/2))/(LN(2)/2)*AQ134*AT134*VLOOKUP('Données projet'!$B$10,Paramètres!$A$1:$I$89,3,0)*0.475*44/12</f>
        <v>2.7361928925680196E-14</v>
      </c>
      <c r="AX134" s="23">
        <f t="shared" si="114"/>
        <v>9.8862007649381649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-1.1368683772161603E-13</v>
      </c>
      <c r="BE134" s="14">
        <f>BD134*VLOOKUP('Données projet'!$B$11,Paramètres!$A$1:$I$89,3,0)*VLOOKUP('Données projet'!$B$11,Paramètres!$A$1:$I$89,5,0)</f>
        <v>-9.9316821433603781E-14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236.12531905695994</v>
      </c>
      <c r="BJ134" s="62">
        <f t="shared" si="146"/>
        <v>270.64539221029258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2">
        <f t="shared" si="140"/>
        <v>21.876828219051234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70">
        <f t="shared" si="110"/>
        <v>468.91567581484742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151.58413719376074</v>
      </c>
      <c r="T135" s="62">
        <f t="shared" si="142"/>
        <v>310.105543138185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13.106293158878051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1.1812104360900044E-13</v>
      </c>
      <c r="AC135" s="24">
        <f t="shared" si="111"/>
        <v>13.106293158878168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1.1368683772161603E-13</v>
      </c>
      <c r="AJ135" s="14">
        <f>AI135*VLOOKUP('Données projet'!$B$10,Paramètres!$A$1:$I$89,3,0)*VLOOKUP('Données projet'!$B$10,Paramètres!$A$1:$I$89,5,0)</f>
        <v>6.7984728957526396E-14</v>
      </c>
      <c r="AK135" s="14">
        <f t="shared" si="143"/>
        <v>1.0682447123141398E-12</v>
      </c>
      <c r="AL135" s="22">
        <f t="shared" si="112"/>
        <v>1.978932943548152E-12</v>
      </c>
      <c r="AM135" s="62">
        <f t="shared" si="113"/>
        <v>293.3333333333353</v>
      </c>
      <c r="AN135" s="62">
        <f ca="1">AVERAGE(OFFSET($AM$3,0,0,'Données projet'!$E$10+1,1))-AVERAGE(OFFSET($H$3,0,0,'Données projet'!$E$10+1,1))</f>
        <v>147.72913422715322</v>
      </c>
      <c r="AO135" s="62">
        <f t="shared" si="144"/>
        <v>361.07991692964799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7.0730390953123337</v>
      </c>
      <c r="AV135" s="23">
        <f>EXP(-LN(2)/25)*AV134+(1-EXP(-LN(2)/25))/(LN(2)/25)*Calculateur!AQ135*Calculateur!AS135*VLOOKUP('Données projet'!$B$10,Paramètres!$A$1:$I$89,3,0)*0.475*44/12</f>
        <v>2.59863201422954</v>
      </c>
      <c r="AW135" s="23">
        <f>EXP(-LN(2)/2)*AW134+(1-EXP(-LN(2)/2))/(LN(2)/2)*AQ135*AT135*VLOOKUP('Données projet'!$B$10,Paramètres!$A$1:$I$89,3,0)*0.475*44/12</f>
        <v>1.9347805489692811E-14</v>
      </c>
      <c r="AX135" s="23">
        <f t="shared" si="114"/>
        <v>9.6716711095418937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-1.1368683772161603E-13</v>
      </c>
      <c r="BE135" s="14">
        <f>BD135*VLOOKUP('Données projet'!$B$11,Paramètres!$A$1:$I$89,3,0)*VLOOKUP('Données projet'!$B$11,Paramètres!$A$1:$I$89,5,0)</f>
        <v>-9.9316821433603781E-14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236.12531905695994</v>
      </c>
      <c r="BJ135" s="62">
        <f t="shared" si="146"/>
        <v>270.64539221029258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2">
        <f t="shared" si="140"/>
        <v>22.023205994903051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70">
        <f t="shared" si="110"/>
        <v>470.21213377445594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151.58413719376074</v>
      </c>
      <c r="T136" s="62">
        <f t="shared" si="142"/>
        <v>310.105543138185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12.849286744081933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8.3524190936756116E-14</v>
      </c>
      <c r="AC136" s="24">
        <f t="shared" si="111"/>
        <v>12.849286744082017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1.1368683772161603E-13</v>
      </c>
      <c r="AJ136" s="14">
        <f>AI136*VLOOKUP('Données projet'!$B$10,Paramètres!$A$1:$I$89,3,0)*VLOOKUP('Données projet'!$B$10,Paramètres!$A$1:$I$89,5,0)</f>
        <v>6.7984728957526396E-14</v>
      </c>
      <c r="AK136" s="14">
        <f t="shared" si="143"/>
        <v>1.0682447123141398E-12</v>
      </c>
      <c r="AL136" s="22">
        <f t="shared" si="112"/>
        <v>1.978932943548152E-12</v>
      </c>
      <c r="AM136" s="62">
        <f t="shared" si="113"/>
        <v>293.3333333333353</v>
      </c>
      <c r="AN136" s="62">
        <f ca="1">AVERAGE(OFFSET($AM$3,0,0,'Données projet'!$E$10+1,1))-AVERAGE(OFFSET($H$3,0,0,'Données projet'!$E$10+1,1))</f>
        <v>147.72913422715322</v>
      </c>
      <c r="AO136" s="62">
        <f t="shared" si="144"/>
        <v>361.07991692964799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6.9343411127811221</v>
      </c>
      <c r="AV136" s="23">
        <f>EXP(-LN(2)/25)*AV135+(1-EXP(-LN(2)/25))/(LN(2)/25)*Calculateur!AQ136*Calculateur!AS136*VLOOKUP('Données projet'!$B$10,Paramètres!$A$1:$I$89,3,0)*0.475*44/12</f>
        <v>2.527572285144315</v>
      </c>
      <c r="AW136" s="23">
        <f>EXP(-LN(2)/2)*AW135+(1-EXP(-LN(2)/2))/(LN(2)/2)*AQ136*AT136*VLOOKUP('Données projet'!$B$10,Paramètres!$A$1:$I$89,3,0)*0.475*44/12</f>
        <v>1.3680964462840098E-14</v>
      </c>
      <c r="AX136" s="23">
        <f t="shared" si="114"/>
        <v>9.4619133979254517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-1.1368683772161603E-13</v>
      </c>
      <c r="BE136" s="14">
        <f>BD136*VLOOKUP('Données projet'!$B$11,Paramètres!$A$1:$I$89,3,0)*VLOOKUP('Données projet'!$B$11,Paramètres!$A$1:$I$89,5,0)</f>
        <v>-9.9316821433603781E-14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236.12531905695994</v>
      </c>
      <c r="BJ136" s="62">
        <f t="shared" si="146"/>
        <v>270.64539221029258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2">
        <f t="shared" si="140"/>
        <v>22.16945571745314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70">
        <f t="shared" si="110"/>
        <v>471.50836870789738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151.58413719376074</v>
      </c>
      <c r="T137" s="62">
        <f t="shared" si="142"/>
        <v>310.105543138185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12.597320068321531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5.9060521804500221E-14</v>
      </c>
      <c r="AC137" s="24">
        <f t="shared" si="111"/>
        <v>12.59732006832159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1.1368683772161603E-13</v>
      </c>
      <c r="AJ137" s="14">
        <f>AI137*VLOOKUP('Données projet'!$B$10,Paramètres!$A$1:$I$89,3,0)*VLOOKUP('Données projet'!$B$10,Paramètres!$A$1:$I$89,5,0)</f>
        <v>6.7984728957526396E-14</v>
      </c>
      <c r="AK137" s="14">
        <f t="shared" si="143"/>
        <v>1.0682447123141398E-12</v>
      </c>
      <c r="AL137" s="22">
        <f t="shared" si="112"/>
        <v>1.978932943548152E-12</v>
      </c>
      <c r="AM137" s="62">
        <f t="shared" si="113"/>
        <v>293.3333333333353</v>
      </c>
      <c r="AN137" s="62">
        <f ca="1">AVERAGE(OFFSET($AM$3,0,0,'Données projet'!$E$10+1,1))-AVERAGE(OFFSET($H$3,0,0,'Données projet'!$E$10+1,1))</f>
        <v>147.72913422715322</v>
      </c>
      <c r="AO137" s="62">
        <f t="shared" si="144"/>
        <v>361.07991692964799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6.7983629130899317</v>
      </c>
      <c r="AV137" s="23">
        <f>EXP(-LN(2)/25)*AV136+(1-EXP(-LN(2)/25))/(LN(2)/25)*Calculateur!AQ137*Calculateur!AS137*VLOOKUP('Données projet'!$B$10,Paramètres!$A$1:$I$89,3,0)*0.475*44/12</f>
        <v>2.4584556880877941</v>
      </c>
      <c r="AW137" s="23">
        <f>EXP(-LN(2)/2)*AW136+(1-EXP(-LN(2)/2))/(LN(2)/2)*AQ137*AT137*VLOOKUP('Données projet'!$B$10,Paramètres!$A$1:$I$89,3,0)*0.475*44/12</f>
        <v>9.6739027448464056E-15</v>
      </c>
      <c r="AX137" s="23">
        <f t="shared" si="114"/>
        <v>9.2568186011777343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-1.1368683772161603E-13</v>
      </c>
      <c r="BE137" s="14">
        <f>BD137*VLOOKUP('Données projet'!$B$11,Paramètres!$A$1:$I$89,3,0)*VLOOKUP('Données projet'!$B$11,Paramètres!$A$1:$I$89,5,0)</f>
        <v>-9.9316821433603781E-14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236.12531905695994</v>
      </c>
      <c r="BJ137" s="62">
        <f t="shared" si="146"/>
        <v>270.64539221029258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2">
        <f t="shared" si="140"/>
        <v>22.31557845311416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70">
        <f t="shared" si="110"/>
        <v>472.80438247250697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151.58413719376074</v>
      </c>
      <c r="T138" s="62">
        <f t="shared" si="142"/>
        <v>310.105543138185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12.350294305388294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4.1762095468378058E-14</v>
      </c>
      <c r="AC138" s="24">
        <f t="shared" si="111"/>
        <v>12.350294305388337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1.1368683772161603E-13</v>
      </c>
      <c r="AJ138" s="14">
        <f>AI138*VLOOKUP('Données projet'!$B$10,Paramètres!$A$1:$I$89,3,0)*VLOOKUP('Données projet'!$B$10,Paramètres!$A$1:$I$89,5,0)</f>
        <v>6.7984728957526396E-14</v>
      </c>
      <c r="AK138" s="14">
        <f t="shared" si="143"/>
        <v>1.0682447123141398E-12</v>
      </c>
      <c r="AL138" s="22">
        <f t="shared" si="112"/>
        <v>1.978932943548152E-12</v>
      </c>
      <c r="AM138" s="62">
        <f t="shared" si="113"/>
        <v>293.3333333333353</v>
      </c>
      <c r="AN138" s="62">
        <f ca="1">AVERAGE(OFFSET($AM$3,0,0,'Données projet'!$E$10+1,1))-AVERAGE(OFFSET($H$3,0,0,'Données projet'!$E$10+1,1))</f>
        <v>147.72913422715322</v>
      </c>
      <c r="AO138" s="62">
        <f t="shared" si="144"/>
        <v>361.07991692964799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6.6650511629561731</v>
      </c>
      <c r="AV138" s="23">
        <f>EXP(-LN(2)/25)*AV137+(1-EXP(-LN(2)/25))/(LN(2)/25)*Calculateur!AQ138*Calculateur!AS138*VLOOKUP('Données projet'!$B$10,Paramètres!$A$1:$I$89,3,0)*0.475*44/12</f>
        <v>2.3912290880124676</v>
      </c>
      <c r="AW138" s="23">
        <f>EXP(-LN(2)/2)*AW137+(1-EXP(-LN(2)/2))/(LN(2)/2)*AQ138*AT138*VLOOKUP('Données projet'!$B$10,Paramètres!$A$1:$I$89,3,0)*0.475*44/12</f>
        <v>6.8404822314200489E-15</v>
      </c>
      <c r="AX138" s="23">
        <f t="shared" si="114"/>
        <v>9.0562802509686477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-1.1368683772161603E-13</v>
      </c>
      <c r="BE138" s="14">
        <f>BD138*VLOOKUP('Données projet'!$B$11,Paramètres!$A$1:$I$89,3,0)*VLOOKUP('Données projet'!$B$11,Paramètres!$A$1:$I$89,5,0)</f>
        <v>-9.9316821433603781E-14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236.12531905695994</v>
      </c>
      <c r="BJ138" s="62">
        <f t="shared" si="146"/>
        <v>270.64539221029258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2">
        <f t="shared" si="140"/>
        <v>22.461575251587284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70">
        <f t="shared" si="110"/>
        <v>474.10017689651431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151.58413719376074</v>
      </c>
      <c r="T139" s="62">
        <f t="shared" si="142"/>
        <v>310.105543138185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12.10811256699534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2.9530260902250111E-14</v>
      </c>
      <c r="AC139" s="24">
        <f t="shared" si="111"/>
        <v>12.10811256699537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1.1368683772161603E-13</v>
      </c>
      <c r="AJ139" s="14">
        <f>AI139*VLOOKUP('Données projet'!$B$10,Paramètres!$A$1:$I$89,3,0)*VLOOKUP('Données projet'!$B$10,Paramètres!$A$1:$I$89,5,0)</f>
        <v>6.7984728957526396E-14</v>
      </c>
      <c r="AK139" s="14">
        <f t="shared" si="143"/>
        <v>1.0682447123141398E-12</v>
      </c>
      <c r="AL139" s="22">
        <f t="shared" si="112"/>
        <v>1.978932943548152E-12</v>
      </c>
      <c r="AM139" s="62">
        <f t="shared" si="113"/>
        <v>293.3333333333353</v>
      </c>
      <c r="AN139" s="62">
        <f ca="1">AVERAGE(OFFSET($AM$3,0,0,'Données projet'!$E$10+1,1))-AVERAGE(OFFSET($H$3,0,0,'Données projet'!$E$10+1,1))</f>
        <v>147.72913422715322</v>
      </c>
      <c r="AO139" s="62">
        <f t="shared" si="144"/>
        <v>361.07991692964799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6.5343535749303987</v>
      </c>
      <c r="AV139" s="23">
        <f>EXP(-LN(2)/25)*AV138+(1-EXP(-LN(2)/25))/(LN(2)/25)*Calculateur!AQ139*Calculateur!AS139*VLOOKUP('Données projet'!$B$10,Paramètres!$A$1:$I$89,3,0)*0.475*44/12</f>
        <v>2.3258408028514941</v>
      </c>
      <c r="AW139" s="23">
        <f>EXP(-LN(2)/2)*AW138+(1-EXP(-LN(2)/2))/(LN(2)/2)*AQ139*AT139*VLOOKUP('Données projet'!$B$10,Paramètres!$A$1:$I$89,3,0)*0.475*44/12</f>
        <v>4.8369513724232028E-15</v>
      </c>
      <c r="AX139" s="23">
        <f t="shared" si="114"/>
        <v>8.8601943777818981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-1.1368683772161603E-13</v>
      </c>
      <c r="BE139" s="14">
        <f>BD139*VLOOKUP('Données projet'!$B$11,Paramètres!$A$1:$I$89,3,0)*VLOOKUP('Données projet'!$B$11,Paramètres!$A$1:$I$89,5,0)</f>
        <v>-9.9316821433603781E-14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236.12531905695994</v>
      </c>
      <c r="BJ139" s="62">
        <f t="shared" si="146"/>
        <v>270.64539221029258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2">
        <f t="shared" si="140"/>
        <v>22.607447146245129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70">
        <f t="shared" si="110"/>
        <v>475.39575377971011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151.58413719376074</v>
      </c>
      <c r="T140" s="62">
        <f t="shared" si="142"/>
        <v>310.105543138185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11.870679864775997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2.0881047734189029E-14</v>
      </c>
      <c r="AC140" s="24">
        <f t="shared" si="111"/>
        <v>11.870679864776019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1.1368683772161603E-13</v>
      </c>
      <c r="AJ140" s="14">
        <f>AI140*VLOOKUP('Données projet'!$B$10,Paramètres!$A$1:$I$89,3,0)*VLOOKUP('Données projet'!$B$10,Paramètres!$A$1:$I$89,5,0)</f>
        <v>6.7984728957526396E-14</v>
      </c>
      <c r="AK140" s="14">
        <f t="shared" si="143"/>
        <v>1.0682447123141398E-12</v>
      </c>
      <c r="AL140" s="22">
        <f t="shared" si="112"/>
        <v>1.978932943548152E-12</v>
      </c>
      <c r="AM140" s="62">
        <f t="shared" si="113"/>
        <v>293.3333333333353</v>
      </c>
      <c r="AN140" s="62">
        <f ca="1">AVERAGE(OFFSET($AM$3,0,0,'Données projet'!$E$10+1,1))-AVERAGE(OFFSET($H$3,0,0,'Données projet'!$E$10+1,1))</f>
        <v>147.72913422715322</v>
      </c>
      <c r="AO140" s="62">
        <f t="shared" si="144"/>
        <v>361.07991692964799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6.4062188868881531</v>
      </c>
      <c r="AV140" s="23">
        <f>EXP(-LN(2)/25)*AV139+(1-EXP(-LN(2)/25))/(LN(2)/25)*Calculateur!AQ140*Calculateur!AS140*VLOOKUP('Données projet'!$B$10,Paramètres!$A$1:$I$89,3,0)*0.475*44/12</f>
        <v>2.2622405637868681</v>
      </c>
      <c r="AW140" s="23">
        <f>EXP(-LN(2)/2)*AW139+(1-EXP(-LN(2)/2))/(LN(2)/2)*AQ140*AT140*VLOOKUP('Données projet'!$B$10,Paramètres!$A$1:$I$89,3,0)*0.475*44/12</f>
        <v>3.4202411157100244E-15</v>
      </c>
      <c r="AX140" s="23">
        <f t="shared" si="114"/>
        <v>8.6684594506750248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-1.1368683772161603E-13</v>
      </c>
      <c r="BE140" s="14">
        <f>BD140*VLOOKUP('Données projet'!$B$11,Paramètres!$A$1:$I$89,3,0)*VLOOKUP('Données projet'!$B$11,Paramètres!$A$1:$I$89,5,0)</f>
        <v>-9.9316821433603781E-14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236.12531905695994</v>
      </c>
      <c r="BJ140" s="62">
        <f t="shared" si="146"/>
        <v>270.64539221029258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2">
        <f t="shared" si="140"/>
        <v>22.75319515450283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70">
        <f t="shared" si="110"/>
        <v>476.69111489409227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151.58413719376074</v>
      </c>
      <c r="T141" s="62">
        <f t="shared" si="142"/>
        <v>310.105543138185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11.637903073027527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1.4765130451125055E-14</v>
      </c>
      <c r="AC141" s="24">
        <f t="shared" si="111"/>
        <v>11.637903073027541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1.1368683772161603E-13</v>
      </c>
      <c r="AJ141" s="14">
        <f>AI141*VLOOKUP('Données projet'!$B$10,Paramètres!$A$1:$I$89,3,0)*VLOOKUP('Données projet'!$B$10,Paramètres!$A$1:$I$89,5,0)</f>
        <v>6.7984728957526396E-14</v>
      </c>
      <c r="AK141" s="14">
        <f t="shared" si="143"/>
        <v>1.0682447123141398E-12</v>
      </c>
      <c r="AL141" s="22">
        <f t="shared" si="112"/>
        <v>1.978932943548152E-12</v>
      </c>
      <c r="AM141" s="62">
        <f t="shared" si="113"/>
        <v>293.3333333333353</v>
      </c>
      <c r="AN141" s="62">
        <f ca="1">AVERAGE(OFFSET($AM$3,0,0,'Données projet'!$E$10+1,1))-AVERAGE(OFFSET($H$3,0,0,'Données projet'!$E$10+1,1))</f>
        <v>147.72913422715322</v>
      </c>
      <c r="AO141" s="62">
        <f t="shared" si="144"/>
        <v>361.07991692964799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6.2805968419239733</v>
      </c>
      <c r="AV141" s="23">
        <f>EXP(-LN(2)/25)*AV140+(1-EXP(-LN(2)/25))/(LN(2)/25)*Calculateur!AQ141*Calculateur!AS141*VLOOKUP('Données projet'!$B$10,Paramètres!$A$1:$I$89,3,0)*0.475*44/12</f>
        <v>2.2003794766040552</v>
      </c>
      <c r="AW141" s="23">
        <f>EXP(-LN(2)/2)*AW140+(1-EXP(-LN(2)/2))/(LN(2)/2)*AQ141*AT141*VLOOKUP('Données projet'!$B$10,Paramètres!$A$1:$I$89,3,0)*0.475*44/12</f>
        <v>2.4184756862116014E-15</v>
      </c>
      <c r="AX141" s="23">
        <f t="shared" si="114"/>
        <v>8.4809763185280307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-1.1368683772161603E-13</v>
      </c>
      <c r="BE141" s="14">
        <f>BD141*VLOOKUP('Données projet'!$B$11,Paramètres!$A$1:$I$89,3,0)*VLOOKUP('Données projet'!$B$11,Paramètres!$A$1:$I$89,5,0)</f>
        <v>-9.9316821433603781E-14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236.12531905695994</v>
      </c>
      <c r="BJ141" s="62">
        <f t="shared" si="146"/>
        <v>270.64539221029258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2">
        <f t="shared" si="140"/>
        <v>22.898820278178491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70">
        <f t="shared" si="110"/>
        <v>477.98626198449398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151.58413719376074</v>
      </c>
      <c r="T142" s="62">
        <f t="shared" si="142"/>
        <v>310.105543138185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11.40969089218542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1.0440523867094514E-14</v>
      </c>
      <c r="AC142" s="24">
        <f t="shared" si="111"/>
        <v>11.409690892185431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1.1368683772161603E-13</v>
      </c>
      <c r="AJ142" s="14">
        <f>AI142*VLOOKUP('Données projet'!$B$10,Paramètres!$A$1:$I$89,3,0)*VLOOKUP('Données projet'!$B$10,Paramètres!$A$1:$I$89,5,0)</f>
        <v>6.7984728957526396E-14</v>
      </c>
      <c r="AK142" s="14">
        <f t="shared" si="143"/>
        <v>1.0682447123141398E-12</v>
      </c>
      <c r="AL142" s="22">
        <f t="shared" si="112"/>
        <v>1.978932943548152E-12</v>
      </c>
      <c r="AM142" s="62">
        <f t="shared" si="113"/>
        <v>293.3333333333353</v>
      </c>
      <c r="AN142" s="62">
        <f ca="1">AVERAGE(OFFSET($AM$3,0,0,'Données projet'!$E$10+1,1))-AVERAGE(OFFSET($H$3,0,0,'Données projet'!$E$10+1,1))</f>
        <v>147.72913422715322</v>
      </c>
      <c r="AO142" s="62">
        <f t="shared" si="144"/>
        <v>361.07991692964799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6.1574381686396586</v>
      </c>
      <c r="AV142" s="23">
        <f>EXP(-LN(2)/25)*AV141+(1-EXP(-LN(2)/25))/(LN(2)/25)*Calculateur!AQ142*Calculateur!AS142*VLOOKUP('Données projet'!$B$10,Paramètres!$A$1:$I$89,3,0)*0.475*44/12</f>
        <v>2.1402099841033895</v>
      </c>
      <c r="AW142" s="23">
        <f>EXP(-LN(2)/2)*AW141+(1-EXP(-LN(2)/2))/(LN(2)/2)*AQ142*AT142*VLOOKUP('Données projet'!$B$10,Paramètres!$A$1:$I$89,3,0)*0.475*44/12</f>
        <v>1.7101205578550122E-15</v>
      </c>
      <c r="AX142" s="23">
        <f t="shared" si="114"/>
        <v>8.297648152743049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-1.1368683772161603E-13</v>
      </c>
      <c r="BE142" s="14">
        <f>BD142*VLOOKUP('Données projet'!$B$11,Paramètres!$A$1:$I$89,3,0)*VLOOKUP('Données projet'!$B$11,Paramètres!$A$1:$I$89,5,0)</f>
        <v>-9.9316821433603781E-14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236.12531905695994</v>
      </c>
      <c r="BJ142" s="62">
        <f t="shared" si="146"/>
        <v>270.64539221029258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2">
        <f t="shared" si="140"/>
        <v>23.044323503842559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70">
        <f t="shared" si="110"/>
        <v>479.28119676919226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151.58413719376074</v>
      </c>
      <c r="T143" s="62">
        <f t="shared" si="142"/>
        <v>310.105543138185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11.185953813013942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7.3825652255625277E-15</v>
      </c>
      <c r="AC143" s="24">
        <f t="shared" si="111"/>
        <v>11.185953813013949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1.1368683772161603E-13</v>
      </c>
      <c r="AJ143" s="14">
        <f>AI143*VLOOKUP('Données projet'!$B$10,Paramètres!$A$1:$I$89,3,0)*VLOOKUP('Données projet'!$B$10,Paramètres!$A$1:$I$89,5,0)</f>
        <v>6.7984728957526396E-14</v>
      </c>
      <c r="AK143" s="14">
        <f t="shared" si="143"/>
        <v>1.0682447123141398E-12</v>
      </c>
      <c r="AL143" s="22">
        <f t="shared" si="112"/>
        <v>1.978932943548152E-12</v>
      </c>
      <c r="AM143" s="62">
        <f t="shared" si="113"/>
        <v>293.3333333333353</v>
      </c>
      <c r="AN143" s="62">
        <f ca="1">AVERAGE(OFFSET($AM$3,0,0,'Données projet'!$E$10+1,1))-AVERAGE(OFFSET($H$3,0,0,'Données projet'!$E$10+1,1))</f>
        <v>147.72913422715322</v>
      </c>
      <c r="AO143" s="62">
        <f t="shared" si="144"/>
        <v>361.07991692964799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6.0366945618190764</v>
      </c>
      <c r="AV143" s="23">
        <f>EXP(-LN(2)/25)*AV142+(1-EXP(-LN(2)/25))/(LN(2)/25)*Calculateur!AQ143*Calculateur!AS143*VLOOKUP('Données projet'!$B$10,Paramètres!$A$1:$I$89,3,0)*0.475*44/12</f>
        <v>2.0816858295393308</v>
      </c>
      <c r="AW143" s="23">
        <f>EXP(-LN(2)/2)*AW142+(1-EXP(-LN(2)/2))/(LN(2)/2)*AQ143*AT143*VLOOKUP('Données projet'!$B$10,Paramètres!$A$1:$I$89,3,0)*0.475*44/12</f>
        <v>1.2092378431058007E-15</v>
      </c>
      <c r="AX143" s="23">
        <f t="shared" si="114"/>
        <v>8.1183803913584089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-1.1368683772161603E-13</v>
      </c>
      <c r="BE143" s="14">
        <f>BD143*VLOOKUP('Données projet'!$B$11,Paramètres!$A$1:$I$89,3,0)*VLOOKUP('Données projet'!$B$11,Paramètres!$A$1:$I$89,5,0)</f>
        <v>-9.9316821433603781E-14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236.12531905695994</v>
      </c>
      <c r="BJ143" s="62">
        <f t="shared" si="146"/>
        <v>270.64539221029258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2">
        <f t="shared" si="140"/>
        <v>23.189705803157228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70">
        <f t="shared" si="110"/>
        <v>480.57592094049863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151.58413719376074</v>
      </c>
      <c r="T144" s="62">
        <f t="shared" si="142"/>
        <v>310.105543138185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10.966604081498874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5.2202619335472572E-15</v>
      </c>
      <c r="AC144" s="24">
        <f t="shared" si="111"/>
        <v>10.966604081498879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1.1368683772161603E-13</v>
      </c>
      <c r="AJ144" s="14">
        <f>AI144*VLOOKUP('Données projet'!$B$10,Paramètres!$A$1:$I$89,3,0)*VLOOKUP('Données projet'!$B$10,Paramètres!$A$1:$I$89,5,0)</f>
        <v>6.7984728957526396E-14</v>
      </c>
      <c r="AK144" s="14">
        <f t="shared" si="143"/>
        <v>1.0682447123141398E-12</v>
      </c>
      <c r="AL144" s="22">
        <f t="shared" si="112"/>
        <v>1.978932943548152E-12</v>
      </c>
      <c r="AM144" s="62">
        <f t="shared" si="113"/>
        <v>293.3333333333353</v>
      </c>
      <c r="AN144" s="62">
        <f ca="1">AVERAGE(OFFSET($AM$3,0,0,'Données projet'!$E$10+1,1))-AVERAGE(OFFSET($H$3,0,0,'Données projet'!$E$10+1,1))</f>
        <v>147.72913422715322</v>
      </c>
      <c r="AO144" s="62">
        <f t="shared" si="144"/>
        <v>361.07991692964799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5.9183186634819176</v>
      </c>
      <c r="AV144" s="23">
        <f>EXP(-LN(2)/25)*AV143+(1-EXP(-LN(2)/25))/(LN(2)/25)*Calculateur!AQ144*Calculateur!AS144*VLOOKUP('Données projet'!$B$10,Paramètres!$A$1:$I$89,3,0)*0.475*44/12</f>
        <v>2.0247620210594777</v>
      </c>
      <c r="AW144" s="23">
        <f>EXP(-LN(2)/2)*AW143+(1-EXP(-LN(2)/2))/(LN(2)/2)*AQ144*AT144*VLOOKUP('Données projet'!$B$10,Paramètres!$A$1:$I$89,3,0)*0.475*44/12</f>
        <v>8.5506027892750611E-16</v>
      </c>
      <c r="AX144" s="23">
        <f t="shared" si="114"/>
        <v>7.9430806845413962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-1.1368683772161603E-13</v>
      </c>
      <c r="BE144" s="14">
        <f>BD144*VLOOKUP('Données projet'!$B$11,Paramètres!$A$1:$I$89,3,0)*VLOOKUP('Données projet'!$B$11,Paramètres!$A$1:$I$89,5,0)</f>
        <v>-9.9316821433603781E-14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236.12531905695994</v>
      </c>
      <c r="BJ144" s="62">
        <f t="shared" si="146"/>
        <v>270.64539221029258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2">
        <f t="shared" si="140"/>
        <v>23.334968133205699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70">
        <f t="shared" si="110"/>
        <v>481.87043616533305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151.58413719376074</v>
      </c>
      <c r="T145" s="62">
        <f t="shared" si="142"/>
        <v>310.105543138185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10.75155566442869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3.6912826127812638E-15</v>
      </c>
      <c r="AC145" s="24">
        <f t="shared" si="111"/>
        <v>10.751555664428693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1.1368683772161603E-13</v>
      </c>
      <c r="AJ145" s="14">
        <f>AI145*VLOOKUP('Données projet'!$B$10,Paramètres!$A$1:$I$89,3,0)*VLOOKUP('Données projet'!$B$10,Paramètres!$A$1:$I$89,5,0)</f>
        <v>6.7984728957526396E-14</v>
      </c>
      <c r="AK145" s="14">
        <f t="shared" si="143"/>
        <v>1.0682447123141398E-12</v>
      </c>
      <c r="AL145" s="22">
        <f t="shared" si="112"/>
        <v>1.978932943548152E-12</v>
      </c>
      <c r="AM145" s="62">
        <f t="shared" si="113"/>
        <v>293.3333333333353</v>
      </c>
      <c r="AN145" s="62">
        <f ca="1">AVERAGE(OFFSET($AM$3,0,0,'Données projet'!$E$10+1,1))-AVERAGE(OFFSET($H$3,0,0,'Données projet'!$E$10+1,1))</f>
        <v>147.72913422715322</v>
      </c>
      <c r="AO145" s="62">
        <f t="shared" si="144"/>
        <v>361.07991692964799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5.8022640443089823</v>
      </c>
      <c r="AV145" s="23">
        <f>EXP(-LN(2)/25)*AV144+(1-EXP(-LN(2)/25))/(LN(2)/25)*Calculateur!AQ145*Calculateur!AS145*VLOOKUP('Données projet'!$B$10,Paramètres!$A$1:$I$89,3,0)*0.475*44/12</f>
        <v>1.9693947971159993</v>
      </c>
      <c r="AW145" s="23">
        <f>EXP(-LN(2)/2)*AW144+(1-EXP(-LN(2)/2))/(LN(2)/2)*AQ145*AT145*VLOOKUP('Données projet'!$B$10,Paramètres!$A$1:$I$89,3,0)*0.475*44/12</f>
        <v>6.0461892155290035E-16</v>
      </c>
      <c r="AX145" s="23">
        <f t="shared" si="114"/>
        <v>7.7716588414249825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-1.1368683772161603E-13</v>
      </c>
      <c r="BE145" s="14">
        <f>BD145*VLOOKUP('Données projet'!$B$11,Paramètres!$A$1:$I$89,3,0)*VLOOKUP('Données projet'!$B$11,Paramètres!$A$1:$I$89,5,0)</f>
        <v>-9.9316821433603781E-14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236.12531905695994</v>
      </c>
      <c r="BJ145" s="62">
        <f t="shared" si="146"/>
        <v>270.64539221029258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2">
        <f t="shared" si="140"/>
        <v>23.480111436812148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70">
        <f t="shared" si="110"/>
        <v>483.16474408578097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151.58413719376074</v>
      </c>
      <c r="T146" s="62">
        <f t="shared" si="142"/>
        <v>310.105543138185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10.54072421565067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2.6101309667736286E-15</v>
      </c>
      <c r="AC146" s="24">
        <f t="shared" si="111"/>
        <v>10.540724215650672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1.1368683772161603E-13</v>
      </c>
      <c r="AJ146" s="14">
        <f>AI146*VLOOKUP('Données projet'!$B$10,Paramètres!$A$1:$I$89,3,0)*VLOOKUP('Données projet'!$B$10,Paramètres!$A$1:$I$89,5,0)</f>
        <v>6.7984728957526396E-14</v>
      </c>
      <c r="AK146" s="14">
        <f t="shared" si="143"/>
        <v>1.0682447123141398E-12</v>
      </c>
      <c r="AL146" s="22">
        <f t="shared" si="112"/>
        <v>1.978932943548152E-12</v>
      </c>
      <c r="AM146" s="62">
        <f t="shared" si="113"/>
        <v>293.3333333333353</v>
      </c>
      <c r="AN146" s="62">
        <f ca="1">AVERAGE(OFFSET($AM$3,0,0,'Données projet'!$E$10+1,1))-AVERAGE(OFFSET($H$3,0,0,'Données projet'!$E$10+1,1))</f>
        <v>147.72913422715322</v>
      </c>
      <c r="AO146" s="62">
        <f t="shared" si="144"/>
        <v>361.07991692964799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5.6884851854317002</v>
      </c>
      <c r="AV146" s="23">
        <f>EXP(-LN(2)/25)*AV145+(1-EXP(-LN(2)/25))/(LN(2)/25)*Calculateur!AQ146*Calculateur!AS146*VLOOKUP('Données projet'!$B$10,Paramètres!$A$1:$I$89,3,0)*0.475*44/12</f>
        <v>1.9155415928228909</v>
      </c>
      <c r="AW146" s="23">
        <f>EXP(-LN(2)/2)*AW145+(1-EXP(-LN(2)/2))/(LN(2)/2)*AQ146*AT146*VLOOKUP('Données projet'!$B$10,Paramètres!$A$1:$I$89,3,0)*0.475*44/12</f>
        <v>4.2753013946375306E-16</v>
      </c>
      <c r="AX146" s="23">
        <f t="shared" si="114"/>
        <v>7.6040267782545907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-1.1368683772161603E-13</v>
      </c>
      <c r="BE146" s="14">
        <f>BD146*VLOOKUP('Données projet'!$B$11,Paramètres!$A$1:$I$89,3,0)*VLOOKUP('Données projet'!$B$11,Paramètres!$A$1:$I$89,5,0)</f>
        <v>-9.9316821433603781E-14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236.12531905695994</v>
      </c>
      <c r="BJ146" s="62">
        <f t="shared" si="146"/>
        <v>270.64539221029258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2">
        <f t="shared" si="140"/>
        <v>23.625136642852276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70">
        <f t="shared" si="110"/>
        <v>484.45884631963418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151.58413719376074</v>
      </c>
      <c r="T147" s="62">
        <f t="shared" si="142"/>
        <v>310.105543138185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10.3340270429887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1.8456413063906319E-15</v>
      </c>
      <c r="AC147" s="24">
        <f t="shared" si="111"/>
        <v>10.334027042988701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1.1368683772161603E-13</v>
      </c>
      <c r="AJ147" s="14">
        <f>AI147*VLOOKUP('Données projet'!$B$10,Paramètres!$A$1:$I$89,3,0)*VLOOKUP('Données projet'!$B$10,Paramètres!$A$1:$I$89,5,0)</f>
        <v>6.7984728957526396E-14</v>
      </c>
      <c r="AK147" s="14">
        <f t="shared" si="143"/>
        <v>1.0682447123141398E-12</v>
      </c>
      <c r="AL147" s="22">
        <f t="shared" si="112"/>
        <v>1.978932943548152E-12</v>
      </c>
      <c r="AM147" s="62">
        <f t="shared" si="113"/>
        <v>293.3333333333353</v>
      </c>
      <c r="AN147" s="62">
        <f ca="1">AVERAGE(OFFSET($AM$3,0,0,'Données projet'!$E$10+1,1))-AVERAGE(OFFSET($H$3,0,0,'Données projet'!$E$10+1,1))</f>
        <v>147.72913422715322</v>
      </c>
      <c r="AO147" s="62">
        <f t="shared" si="144"/>
        <v>361.07991692964799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5.5769374605787503</v>
      </c>
      <c r="AV147" s="23">
        <f>EXP(-LN(2)/25)*AV146+(1-EXP(-LN(2)/25))/(LN(2)/25)*Calculateur!AQ147*Calculateur!AS147*VLOOKUP('Données projet'!$B$10,Paramètres!$A$1:$I$89,3,0)*0.475*44/12</f>
        <v>1.8631610072331946</v>
      </c>
      <c r="AW147" s="23">
        <f>EXP(-LN(2)/2)*AW146+(1-EXP(-LN(2)/2))/(LN(2)/2)*AQ147*AT147*VLOOKUP('Données projet'!$B$10,Paramètres!$A$1:$I$89,3,0)*0.475*44/12</f>
        <v>3.0230946077645017E-16</v>
      </c>
      <c r="AX147" s="23">
        <f t="shared" si="114"/>
        <v>7.4400984678119446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-1.1368683772161603E-13</v>
      </c>
      <c r="BE147" s="14">
        <f>BD147*VLOOKUP('Données projet'!$B$11,Paramètres!$A$1:$I$89,3,0)*VLOOKUP('Données projet'!$B$11,Paramètres!$A$1:$I$89,5,0)</f>
        <v>-9.9316821433603781E-14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236.12531905695994</v>
      </c>
      <c r="BJ147" s="62">
        <f t="shared" si="146"/>
        <v>270.64539221029258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2">
        <f t="shared" si="140"/>
        <v>23.770044666555076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70">
        <f t="shared" si="110"/>
        <v>485.75274446091657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151.58413719376074</v>
      </c>
      <c r="T148" s="62">
        <f t="shared" si="142"/>
        <v>310.105543138185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10.131383075809804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1.3050654833868143E-15</v>
      </c>
      <c r="AC148" s="24">
        <f t="shared" si="111"/>
        <v>10.131383075809806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1.1368683772161603E-13</v>
      </c>
      <c r="AJ148" s="14">
        <f>AI148*VLOOKUP('Données projet'!$B$10,Paramètres!$A$1:$I$89,3,0)*VLOOKUP('Données projet'!$B$10,Paramètres!$A$1:$I$89,5,0)</f>
        <v>6.7984728957526396E-14</v>
      </c>
      <c r="AK148" s="14">
        <f t="shared" si="143"/>
        <v>1.0682447123141398E-12</v>
      </c>
      <c r="AL148" s="22">
        <f t="shared" si="112"/>
        <v>1.978932943548152E-12</v>
      </c>
      <c r="AM148" s="62">
        <f t="shared" si="113"/>
        <v>293.3333333333353</v>
      </c>
      <c r="AN148" s="62">
        <f ca="1">AVERAGE(OFFSET($AM$3,0,0,'Données projet'!$E$10+1,1))-AVERAGE(OFFSET($H$3,0,0,'Données projet'!$E$10+1,1))</f>
        <v>147.72913422715322</v>
      </c>
      <c r="AO148" s="62">
        <f t="shared" si="144"/>
        <v>361.07991692964799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5.4675771185727724</v>
      </c>
      <c r="AV148" s="23">
        <f>EXP(-LN(2)/25)*AV147+(1-EXP(-LN(2)/25))/(LN(2)/25)*Calculateur!AQ148*Calculateur!AS148*VLOOKUP('Données projet'!$B$10,Paramètres!$A$1:$I$89,3,0)*0.475*44/12</f>
        <v>1.8122127715110239</v>
      </c>
      <c r="AW148" s="23">
        <f>EXP(-LN(2)/2)*AW147+(1-EXP(-LN(2)/2))/(LN(2)/2)*AQ148*AT148*VLOOKUP('Données projet'!$B$10,Paramètres!$A$1:$I$89,3,0)*0.475*44/12</f>
        <v>2.1376506973187653E-16</v>
      </c>
      <c r="AX148" s="23">
        <f t="shared" si="114"/>
        <v>7.2797898900837961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-1.1368683772161603E-13</v>
      </c>
      <c r="BE148" s="14">
        <f>BD148*VLOOKUP('Données projet'!$B$11,Paramètres!$A$1:$I$89,3,0)*VLOOKUP('Données projet'!$B$11,Paramètres!$A$1:$I$89,5,0)</f>
        <v>-9.9316821433603781E-14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236.12531905695994</v>
      </c>
      <c r="BJ148" s="62">
        <f t="shared" si="146"/>
        <v>270.64539221029258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2">
        <f t="shared" si="140"/>
        <v>23.914836409796042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70">
        <f t="shared" si="110"/>
        <v>487.04644008039458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151.58413719376074</v>
      </c>
      <c r="T149" s="62">
        <f t="shared" si="142"/>
        <v>310.105543138185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9.9327128332266721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9.2282065319531596E-16</v>
      </c>
      <c r="AC149" s="24">
        <f t="shared" si="111"/>
        <v>9.9327128332266739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1.1368683772161603E-13</v>
      </c>
      <c r="AJ149" s="14">
        <f>AI149*VLOOKUP('Données projet'!$B$10,Paramètres!$A$1:$I$89,3,0)*VLOOKUP('Données projet'!$B$10,Paramètres!$A$1:$I$89,5,0)</f>
        <v>6.7984728957526396E-14</v>
      </c>
      <c r="AK149" s="14">
        <f t="shared" si="143"/>
        <v>1.0682447123141398E-12</v>
      </c>
      <c r="AL149" s="22">
        <f t="shared" si="112"/>
        <v>1.978932943548152E-12</v>
      </c>
      <c r="AM149" s="62">
        <f t="shared" si="113"/>
        <v>293.3333333333353</v>
      </c>
      <c r="AN149" s="62">
        <f ca="1">AVERAGE(OFFSET($AM$3,0,0,'Données projet'!$E$10+1,1))-AVERAGE(OFFSET($H$3,0,0,'Données projet'!$E$10+1,1))</f>
        <v>147.72913422715322</v>
      </c>
      <c r="AO149" s="62">
        <f t="shared" si="144"/>
        <v>361.07991692964799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5.3603612661703091</v>
      </c>
      <c r="AV149" s="23">
        <f>EXP(-LN(2)/25)*AV148+(1-EXP(-LN(2)/25))/(LN(2)/25)*Calculateur!AQ149*Calculateur!AS149*VLOOKUP('Données projet'!$B$10,Paramètres!$A$1:$I$89,3,0)*0.475*44/12</f>
        <v>1.7626577179739271</v>
      </c>
      <c r="AW149" s="23">
        <f>EXP(-LN(2)/2)*AW148+(1-EXP(-LN(2)/2))/(LN(2)/2)*AQ149*AT149*VLOOKUP('Données projet'!$B$10,Paramètres!$A$1:$I$89,3,0)*0.475*44/12</f>
        <v>1.5115473038822509E-16</v>
      </c>
      <c r="AX149" s="23">
        <f t="shared" si="114"/>
        <v>7.1230189841442364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-1.1368683772161603E-13</v>
      </c>
      <c r="BE149" s="14">
        <f>BD149*VLOOKUP('Données projet'!$B$11,Paramètres!$A$1:$I$89,3,0)*VLOOKUP('Données projet'!$B$11,Paramètres!$A$1:$I$89,5,0)</f>
        <v>-9.9316821433603781E-14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236.12531905695994</v>
      </c>
      <c r="BJ149" s="62">
        <f t="shared" si="146"/>
        <v>270.64539221029258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2">
        <f t="shared" si="140"/>
        <v>24.059512761382056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70">
        <f t="shared" si="110"/>
        <v>488.33993472607352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151.58413719376074</v>
      </c>
      <c r="T150" s="62">
        <f t="shared" si="142"/>
        <v>310.105543138185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9.7379383929237129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6.5253274169340715E-16</v>
      </c>
      <c r="AC150" s="24">
        <f t="shared" si="111"/>
        <v>9.7379383929237129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1.1368683772161603E-13</v>
      </c>
      <c r="AJ150" s="14">
        <f>AI150*VLOOKUP('Données projet'!$B$10,Paramètres!$A$1:$I$89,3,0)*VLOOKUP('Données projet'!$B$10,Paramètres!$A$1:$I$89,5,0)</f>
        <v>6.7984728957526396E-14</v>
      </c>
      <c r="AK150" s="14">
        <f t="shared" si="143"/>
        <v>1.0682447123141398E-12</v>
      </c>
      <c r="AL150" s="22">
        <f t="shared" si="112"/>
        <v>1.978932943548152E-12</v>
      </c>
      <c r="AM150" s="62">
        <f t="shared" si="113"/>
        <v>293.3333333333353</v>
      </c>
      <c r="AN150" s="62">
        <f ca="1">AVERAGE(OFFSET($AM$3,0,0,'Données projet'!$E$10+1,1))-AVERAGE(OFFSET($H$3,0,0,'Données projet'!$E$10+1,1))</f>
        <v>147.72913422715322</v>
      </c>
      <c r="AO150" s="62">
        <f t="shared" si="144"/>
        <v>361.07991692964799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5.2552478512382459</v>
      </c>
      <c r="AV150" s="23">
        <f>EXP(-LN(2)/25)*AV149+(1-EXP(-LN(2)/25))/(LN(2)/25)*Calculateur!AQ150*Calculateur!AS150*VLOOKUP('Données projet'!$B$10,Paramètres!$A$1:$I$89,3,0)*0.475*44/12</f>
        <v>1.7144577499817892</v>
      </c>
      <c r="AW150" s="23">
        <f>EXP(-LN(2)/2)*AW149+(1-EXP(-LN(2)/2))/(LN(2)/2)*AQ150*AT150*VLOOKUP('Données projet'!$B$10,Paramètres!$A$1:$I$89,3,0)*0.475*44/12</f>
        <v>1.0688253486593826E-16</v>
      </c>
      <c r="AX150" s="23">
        <f t="shared" si="114"/>
        <v>6.9697056012200349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-1.1368683772161603E-13</v>
      </c>
      <c r="BE150" s="14">
        <f>BD150*VLOOKUP('Données projet'!$B$11,Paramètres!$A$1:$I$89,3,0)*VLOOKUP('Données projet'!$B$11,Paramètres!$A$1:$I$89,5,0)</f>
        <v>-9.9316821433603781E-14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236.12531905695994</v>
      </c>
      <c r="BJ150" s="62">
        <f t="shared" si="146"/>
        <v>270.64539221029258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2">
        <f t="shared" si="140"/>
        <v>24.204074597328436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70">
        <f t="shared" si="110"/>
        <v>489.63322992368012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151.58413719376074</v>
      </c>
      <c r="T151" s="62">
        <f t="shared" si="142"/>
        <v>310.105543138185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9.5469833605944157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4.6141032659765798E-16</v>
      </c>
      <c r="AC151" s="24">
        <f t="shared" si="111"/>
        <v>9.5469833605944157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1.1368683772161603E-13</v>
      </c>
      <c r="AJ151" s="14">
        <f>AI151*VLOOKUP('Données projet'!$B$10,Paramètres!$A$1:$I$89,3,0)*VLOOKUP('Données projet'!$B$10,Paramètres!$A$1:$I$89,5,0)</f>
        <v>6.7984728957526396E-14</v>
      </c>
      <c r="AK151" s="14">
        <f t="shared" si="143"/>
        <v>1.0682447123141398E-12</v>
      </c>
      <c r="AL151" s="22">
        <f t="shared" si="112"/>
        <v>1.978932943548152E-12</v>
      </c>
      <c r="AM151" s="62">
        <f t="shared" si="113"/>
        <v>293.3333333333353</v>
      </c>
      <c r="AN151" s="62">
        <f ca="1">AVERAGE(OFFSET($AM$3,0,0,'Données projet'!$E$10+1,1))-AVERAGE(OFFSET($H$3,0,0,'Données projet'!$E$10+1,1))</f>
        <v>147.72913422715322</v>
      </c>
      <c r="AO151" s="62">
        <f t="shared" si="144"/>
        <v>361.07991692964799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5.1521956462601475</v>
      </c>
      <c r="AV151" s="23">
        <f>EXP(-LN(2)/25)*AV150+(1-EXP(-LN(2)/25))/(LN(2)/25)*Calculateur!AQ151*Calculateur!AS151*VLOOKUP('Données projet'!$B$10,Paramètres!$A$1:$I$89,3,0)*0.475*44/12</f>
        <v>1.6675758126491227</v>
      </c>
      <c r="AW151" s="23">
        <f>EXP(-LN(2)/2)*AW150+(1-EXP(-LN(2)/2))/(LN(2)/2)*AQ151*AT151*VLOOKUP('Données projet'!$B$10,Paramètres!$A$1:$I$89,3,0)*0.475*44/12</f>
        <v>7.5577365194112544E-17</v>
      </c>
      <c r="AX151" s="23">
        <f t="shared" si="114"/>
        <v>6.8197714589092699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-1.1368683772161603E-13</v>
      </c>
      <c r="BE151" s="14">
        <f>BD151*VLOOKUP('Données projet'!$B$11,Paramètres!$A$1:$I$89,3,0)*VLOOKUP('Données projet'!$B$11,Paramètres!$A$1:$I$89,5,0)</f>
        <v>-9.9316821433603781E-14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236.12531905695994</v>
      </c>
      <c r="BJ151" s="62">
        <f t="shared" si="146"/>
        <v>270.64539221029258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2">
        <f t="shared" si="140"/>
        <v>24.348522781128061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70">
        <f t="shared" si="110"/>
        <v>490.92632717713116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151.58413719376074</v>
      </c>
      <c r="T152" s="62">
        <f t="shared" si="142"/>
        <v>310.105543138185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9.359772839978028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3.2626637084670358E-16</v>
      </c>
      <c r="AC152" s="24">
        <f t="shared" si="111"/>
        <v>9.359772839978028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1.1368683772161603E-13</v>
      </c>
      <c r="AJ152" s="14">
        <f>AI152*VLOOKUP('Données projet'!$B$10,Paramètres!$A$1:$I$89,3,0)*VLOOKUP('Données projet'!$B$10,Paramètres!$A$1:$I$89,5,0)</f>
        <v>6.7984728957526396E-14</v>
      </c>
      <c r="AK152" s="14">
        <f t="shared" si="143"/>
        <v>1.0682447123141398E-12</v>
      </c>
      <c r="AL152" s="22">
        <f t="shared" si="112"/>
        <v>1.978932943548152E-12</v>
      </c>
      <c r="AM152" s="62">
        <f t="shared" si="113"/>
        <v>293.3333333333353</v>
      </c>
      <c r="AN152" s="62">
        <f ca="1">AVERAGE(OFFSET($AM$3,0,0,'Données projet'!$E$10+1,1))-AVERAGE(OFFSET($H$3,0,0,'Données projet'!$E$10+1,1))</f>
        <v>147.72913422715322</v>
      </c>
      <c r="AO152" s="62">
        <f t="shared" si="144"/>
        <v>361.07991692964799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5.0511642321660313</v>
      </c>
      <c r="AV152" s="23">
        <f>EXP(-LN(2)/25)*AV151+(1-EXP(-LN(2)/25))/(LN(2)/25)*Calculateur!AQ152*Calculateur!AS152*VLOOKUP('Données projet'!$B$10,Paramètres!$A$1:$I$89,3,0)*0.475*44/12</f>
        <v>1.6219758643582318</v>
      </c>
      <c r="AW152" s="23">
        <f>EXP(-LN(2)/2)*AW151+(1-EXP(-LN(2)/2))/(LN(2)/2)*AQ152*AT152*VLOOKUP('Données projet'!$B$10,Paramètres!$A$1:$I$89,3,0)*0.475*44/12</f>
        <v>5.3441267432969132E-17</v>
      </c>
      <c r="AX152" s="23">
        <f t="shared" si="114"/>
        <v>6.6731400965242633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-1.1368683772161603E-13</v>
      </c>
      <c r="BE152" s="14">
        <f>BD152*VLOOKUP('Données projet'!$B$11,Paramètres!$A$1:$I$89,3,0)*VLOOKUP('Données projet'!$B$11,Paramètres!$A$1:$I$89,5,0)</f>
        <v>-9.9316821433603781E-14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236.12531905695994</v>
      </c>
      <c r="BJ152" s="62">
        <f t="shared" si="146"/>
        <v>270.64539221029258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2">
        <f t="shared" si="140"/>
        <v>24.492858164013278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70">
        <f t="shared" si="110"/>
        <v>492.21922796898957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151.58413719376074</v>
      </c>
      <c r="T153" s="62">
        <f t="shared" si="142"/>
        <v>310.105543138185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9.1762334034837849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2.3070516329882899E-16</v>
      </c>
      <c r="AC153" s="24">
        <f t="shared" si="111"/>
        <v>9.1762334034837849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1.1368683772161603E-13</v>
      </c>
      <c r="AJ153" s="14">
        <f>AI153*VLOOKUP('Données projet'!$B$10,Paramètres!$A$1:$I$89,3,0)*VLOOKUP('Données projet'!$B$10,Paramètres!$A$1:$I$89,5,0)</f>
        <v>6.7984728957526396E-14</v>
      </c>
      <c r="AK153" s="14">
        <f t="shared" si="143"/>
        <v>1.0682447123141398E-12</v>
      </c>
      <c r="AL153" s="22">
        <f t="shared" si="112"/>
        <v>1.978932943548152E-12</v>
      </c>
      <c r="AM153" s="62">
        <f t="shared" si="113"/>
        <v>293.3333333333353</v>
      </c>
      <c r="AN153" s="62">
        <f ca="1">AVERAGE(OFFSET($AM$3,0,0,'Données projet'!$E$10+1,1))-AVERAGE(OFFSET($H$3,0,0,'Données projet'!$E$10+1,1))</f>
        <v>147.72913422715322</v>
      </c>
      <c r="AO153" s="62">
        <f t="shared" si="144"/>
        <v>361.07991692964799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4.9521139824792231</v>
      </c>
      <c r="AV153" s="23">
        <f>EXP(-LN(2)/25)*AV152+(1-EXP(-LN(2)/25))/(LN(2)/25)*Calculateur!AQ153*Calculateur!AS153*VLOOKUP('Données projet'!$B$10,Paramètres!$A$1:$I$89,3,0)*0.475*44/12</f>
        <v>1.5776228490513524</v>
      </c>
      <c r="AW153" s="23">
        <f>EXP(-LN(2)/2)*AW152+(1-EXP(-LN(2)/2))/(LN(2)/2)*AQ153*AT153*VLOOKUP('Données projet'!$B$10,Paramètres!$A$1:$I$89,3,0)*0.475*44/12</f>
        <v>3.7788682597056272E-17</v>
      </c>
      <c r="AX153" s="23">
        <f t="shared" si="114"/>
        <v>6.5297368315305757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-1.1368683772161603E-13</v>
      </c>
      <c r="BE153" s="14">
        <f>BD153*VLOOKUP('Données projet'!$B$11,Paramètres!$A$1:$I$89,3,0)*VLOOKUP('Données projet'!$B$11,Paramètres!$A$1:$I$89,5,0)</f>
        <v>-9.9316821433603781E-14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236.12531905695994</v>
      </c>
      <c r="BJ153" s="62">
        <f t="shared" si="146"/>
        <v>270.64539221029258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2">
        <f t="shared" si="140"/>
        <v>24.637081585210503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70">
        <f t="shared" si="110"/>
        <v>493.51193376090805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151.58413719376074</v>
      </c>
      <c r="T154" s="62">
        <f t="shared" si="142"/>
        <v>310.105543138185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8.9962930633911906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1.6313318542335179E-16</v>
      </c>
      <c r="AC154" s="24">
        <f t="shared" ref="AC154:AC203" si="163">SUM(Z154:AB154)</f>
        <v>8.9962930633911906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1.1368683772161603E-13</v>
      </c>
      <c r="AJ154" s="14">
        <f>AI154*VLOOKUP('Données projet'!$B$10,Paramètres!$A$1:$I$89,3,0)*VLOOKUP('Données projet'!$B$10,Paramètres!$A$1:$I$89,5,0)</f>
        <v>6.7984728957526396E-14</v>
      </c>
      <c r="AK154" s="14">
        <f t="shared" ref="AK154:AK203" si="164">EXP(-1.0587+0.8836*LN(AJ154)+0.284)</f>
        <v>1.0682447123141398E-12</v>
      </c>
      <c r="AL154" s="22">
        <f t="shared" ref="AL154:AL203" si="165">(AJ154+AK154)*0.475*44/12</f>
        <v>1.978932943548152E-12</v>
      </c>
      <c r="AM154" s="62">
        <f t="shared" si="113"/>
        <v>293.3333333333353</v>
      </c>
      <c r="AN154" s="62">
        <f ca="1">AVERAGE(OFFSET($AM$3,0,0,'Données projet'!$E$10+1,1))-AVERAGE(OFFSET($H$3,0,0,'Données projet'!$E$10+1,1))</f>
        <v>147.72913422715322</v>
      </c>
      <c r="AO154" s="62">
        <f t="shared" si="144"/>
        <v>361.07991692964799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4.8550060477740864</v>
      </c>
      <c r="AV154" s="23">
        <f>EXP(-LN(2)/25)*AV153+(1-EXP(-LN(2)/25))/(LN(2)/25)*Calculateur!AQ154*Calculateur!AS154*VLOOKUP('Données projet'!$B$10,Paramètres!$A$1:$I$89,3,0)*0.475*44/12</f>
        <v>1.5344826692804632</v>
      </c>
      <c r="AW154" s="23">
        <f>EXP(-LN(2)/2)*AW153+(1-EXP(-LN(2)/2))/(LN(2)/2)*AQ154*AT154*VLOOKUP('Données projet'!$B$10,Paramètres!$A$1:$I$89,3,0)*0.475*44/12</f>
        <v>2.6720633716484566E-17</v>
      </c>
      <c r="AX154" s="23">
        <f t="shared" ref="AX154:AX203" si="166">SUM(AU154:AW154)</f>
        <v>6.3894887170545491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-1.1368683772161603E-13</v>
      </c>
      <c r="BE154" s="14">
        <f>BD154*VLOOKUP('Données projet'!$B$11,Paramètres!$A$1:$I$89,3,0)*VLOOKUP('Données projet'!$B$11,Paramètres!$A$1:$I$89,5,0)</f>
        <v>-9.9316821433603781E-14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236.12531905695994</v>
      </c>
      <c r="BJ154" s="62">
        <f t="shared" si="146"/>
        <v>270.64539221029258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2">
        <f t="shared" si="140"/>
        <v>24.781193872187931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70">
        <f t="shared" si="110"/>
        <v>494.80444599406042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151.58413719376074</v>
      </c>
      <c r="T155" s="62">
        <f t="shared" si="142"/>
        <v>310.105543138185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8.8198812436150416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1.153525816494145E-16</v>
      </c>
      <c r="AC155" s="24">
        <f t="shared" si="163"/>
        <v>8.8198812436150416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1.1368683772161603E-13</v>
      </c>
      <c r="AJ155" s="14">
        <f>AI155*VLOOKUP('Données projet'!$B$10,Paramètres!$A$1:$I$89,3,0)*VLOOKUP('Données projet'!$B$10,Paramètres!$A$1:$I$89,5,0)</f>
        <v>6.7984728957526396E-14</v>
      </c>
      <c r="AK155" s="14">
        <f t="shared" si="164"/>
        <v>1.0682447123141398E-12</v>
      </c>
      <c r="AL155" s="22">
        <f t="shared" si="165"/>
        <v>1.978932943548152E-12</v>
      </c>
      <c r="AM155" s="62">
        <f t="shared" si="113"/>
        <v>293.3333333333353</v>
      </c>
      <c r="AN155" s="62">
        <f ca="1">AVERAGE(OFFSET($AM$3,0,0,'Données projet'!$E$10+1,1))-AVERAGE(OFFSET($H$3,0,0,'Données projet'!$E$10+1,1))</f>
        <v>147.72913422715322</v>
      </c>
      <c r="AO155" s="62">
        <f t="shared" si="144"/>
        <v>361.07991692964799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4.759802340438525</v>
      </c>
      <c r="AV155" s="23">
        <f>EXP(-LN(2)/25)*AV154+(1-EXP(-LN(2)/25))/(LN(2)/25)*Calculateur!AQ155*Calculateur!AS155*VLOOKUP('Données projet'!$B$10,Paramètres!$A$1:$I$89,3,0)*0.475*44/12</f>
        <v>1.4925221599940524</v>
      </c>
      <c r="AW155" s="23">
        <f>EXP(-LN(2)/2)*AW154+(1-EXP(-LN(2)/2))/(LN(2)/2)*AQ155*AT155*VLOOKUP('Données projet'!$B$10,Paramètres!$A$1:$I$89,3,0)*0.475*44/12</f>
        <v>1.8894341298528136E-17</v>
      </c>
      <c r="AX155" s="23">
        <f t="shared" si="166"/>
        <v>6.2523245004325769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-1.1368683772161603E-13</v>
      </c>
      <c r="BE155" s="14">
        <f>BD155*VLOOKUP('Données projet'!$B$11,Paramètres!$A$1:$I$89,3,0)*VLOOKUP('Données projet'!$B$11,Paramètres!$A$1:$I$89,5,0)</f>
        <v>-9.9316821433603781E-14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236.12531905695994</v>
      </c>
      <c r="BJ155" s="62">
        <f t="shared" si="146"/>
        <v>270.64539221029258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2">
        <f t="shared" si="140"/>
        <v>24.925195840896507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70">
        <f t="shared" si="110"/>
        <v>496.09676608956119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151.58413719376074</v>
      </c>
      <c r="T156" s="62">
        <f t="shared" si="142"/>
        <v>310.105543138185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8.6469287520241185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8.1566592711675894E-17</v>
      </c>
      <c r="AC156" s="24">
        <f t="shared" si="163"/>
        <v>8.6469287520241185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1.1368683772161603E-13</v>
      </c>
      <c r="AJ156" s="14">
        <f>AI156*VLOOKUP('Données projet'!$B$10,Paramètres!$A$1:$I$89,3,0)*VLOOKUP('Données projet'!$B$10,Paramètres!$A$1:$I$89,5,0)</f>
        <v>6.7984728957526396E-14</v>
      </c>
      <c r="AK156" s="14">
        <f t="shared" si="164"/>
        <v>1.0682447123141398E-12</v>
      </c>
      <c r="AL156" s="22">
        <f t="shared" si="165"/>
        <v>1.978932943548152E-12</v>
      </c>
      <c r="AM156" s="62">
        <f t="shared" si="113"/>
        <v>293.3333333333353</v>
      </c>
      <c r="AN156" s="62">
        <f ca="1">AVERAGE(OFFSET($AM$3,0,0,'Données projet'!$E$10+1,1))-AVERAGE(OFFSET($H$3,0,0,'Données projet'!$E$10+1,1))</f>
        <v>147.72913422715322</v>
      </c>
      <c r="AO156" s="62">
        <f t="shared" si="144"/>
        <v>361.07991692964799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4.6664655197352864</v>
      </c>
      <c r="AV156" s="23">
        <f>EXP(-LN(2)/25)*AV155+(1-EXP(-LN(2)/25))/(LN(2)/25)*Calculateur!AQ156*Calculateur!AS156*VLOOKUP('Données projet'!$B$10,Paramètres!$A$1:$I$89,3,0)*0.475*44/12</f>
        <v>1.4517090630406857</v>
      </c>
      <c r="AW156" s="23">
        <f>EXP(-LN(2)/2)*AW155+(1-EXP(-LN(2)/2))/(LN(2)/2)*AQ156*AT156*VLOOKUP('Données projet'!$B$10,Paramètres!$A$1:$I$89,3,0)*0.475*44/12</f>
        <v>1.3360316858242283E-17</v>
      </c>
      <c r="AX156" s="23">
        <f t="shared" si="166"/>
        <v>6.1181745827759721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-1.1368683772161603E-13</v>
      </c>
      <c r="BE156" s="14">
        <f>BD156*VLOOKUP('Données projet'!$B$11,Paramètres!$A$1:$I$89,3,0)*VLOOKUP('Données projet'!$B$11,Paramètres!$A$1:$I$89,5,0)</f>
        <v>-9.9316821433603781E-14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236.12531905695994</v>
      </c>
      <c r="BJ156" s="62">
        <f t="shared" si="146"/>
        <v>270.64539221029258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2">
        <f t="shared" si="140"/>
        <v>25.069088296004431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70">
        <f t="shared" si="110"/>
        <v>497.38889544887417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151.58413719376074</v>
      </c>
      <c r="T157" s="62">
        <f t="shared" si="142"/>
        <v>310.105543138185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8.4773677533026888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5.7676290824707248E-17</v>
      </c>
      <c r="AC157" s="24">
        <f t="shared" si="163"/>
        <v>8.4773677533026888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1.1368683772161603E-13</v>
      </c>
      <c r="AJ157" s="14">
        <f>AI157*VLOOKUP('Données projet'!$B$10,Paramètres!$A$1:$I$89,3,0)*VLOOKUP('Données projet'!$B$10,Paramètres!$A$1:$I$89,5,0)</f>
        <v>6.7984728957526396E-14</v>
      </c>
      <c r="AK157" s="14">
        <f t="shared" si="164"/>
        <v>1.0682447123141398E-12</v>
      </c>
      <c r="AL157" s="22">
        <f t="shared" si="165"/>
        <v>1.978932943548152E-12</v>
      </c>
      <c r="AM157" s="62">
        <f t="shared" si="113"/>
        <v>293.3333333333353</v>
      </c>
      <c r="AN157" s="62">
        <f ca="1">AVERAGE(OFFSET($AM$3,0,0,'Données projet'!$E$10+1,1))-AVERAGE(OFFSET($H$3,0,0,'Données projet'!$E$10+1,1))</f>
        <v>147.72913422715322</v>
      </c>
      <c r="AO157" s="62">
        <f t="shared" si="144"/>
        <v>361.07991692964799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4.5749589771561991</v>
      </c>
      <c r="AV157" s="23">
        <f>EXP(-LN(2)/25)*AV156+(1-EXP(-LN(2)/25))/(LN(2)/25)*Calculateur!AQ157*Calculateur!AS157*VLOOKUP('Données projet'!$B$10,Paramètres!$A$1:$I$89,3,0)*0.475*44/12</f>
        <v>1.4120120023697764</v>
      </c>
      <c r="AW157" s="23">
        <f>EXP(-LN(2)/2)*AW156+(1-EXP(-LN(2)/2))/(LN(2)/2)*AQ157*AT157*VLOOKUP('Données projet'!$B$10,Paramètres!$A$1:$I$89,3,0)*0.475*44/12</f>
        <v>9.447170649264068E-18</v>
      </c>
      <c r="AX157" s="23">
        <f t="shared" si="166"/>
        <v>5.9869709795259753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-1.1368683772161603E-13</v>
      </c>
      <c r="BE157" s="14">
        <f>BD157*VLOOKUP('Données projet'!$B$11,Paramètres!$A$1:$I$89,3,0)*VLOOKUP('Données projet'!$B$11,Paramètres!$A$1:$I$89,5,0)</f>
        <v>-9.9316821433603781E-14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236.12531905695994</v>
      </c>
      <c r="BJ157" s="62">
        <f t="shared" si="146"/>
        <v>270.64539221029258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2">
        <f t="shared" si="140"/>
        <v>25.212872031125453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70">
        <f t="shared" si="110"/>
        <v>498.68083545420996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151.58413719376074</v>
      </c>
      <c r="T158" s="62">
        <f t="shared" si="142"/>
        <v>310.105543138185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8.3111317423441893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4.0783296355837947E-17</v>
      </c>
      <c r="AC158" s="24">
        <f t="shared" si="163"/>
        <v>8.3111317423441893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1.1368683772161603E-13</v>
      </c>
      <c r="AJ158" s="14">
        <f>AI158*VLOOKUP('Données projet'!$B$10,Paramètres!$A$1:$I$89,3,0)*VLOOKUP('Données projet'!$B$10,Paramètres!$A$1:$I$89,5,0)</f>
        <v>6.7984728957526396E-14</v>
      </c>
      <c r="AK158" s="14">
        <f t="shared" si="164"/>
        <v>1.0682447123141398E-12</v>
      </c>
      <c r="AL158" s="22">
        <f t="shared" si="165"/>
        <v>1.978932943548152E-12</v>
      </c>
      <c r="AM158" s="62">
        <f t="shared" si="113"/>
        <v>293.3333333333353</v>
      </c>
      <c r="AN158" s="62">
        <f ca="1">AVERAGE(OFFSET($AM$3,0,0,'Données projet'!$E$10+1,1))-AVERAGE(OFFSET($H$3,0,0,'Données projet'!$E$10+1,1))</f>
        <v>147.72913422715322</v>
      </c>
      <c r="AO158" s="62">
        <f t="shared" si="144"/>
        <v>361.07991692964799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4.4852468220636084</v>
      </c>
      <c r="AV158" s="23">
        <f>EXP(-LN(2)/25)*AV157+(1-EXP(-LN(2)/25))/(LN(2)/25)*Calculateur!AQ158*Calculateur!AS158*VLOOKUP('Données projet'!$B$10,Paramètres!$A$1:$I$89,3,0)*0.475*44/12</f>
        <v>1.373400459910491</v>
      </c>
      <c r="AW158" s="23">
        <f>EXP(-LN(2)/2)*AW157+(1-EXP(-LN(2)/2))/(LN(2)/2)*AQ158*AT158*VLOOKUP('Données projet'!$B$10,Paramètres!$A$1:$I$89,3,0)*0.475*44/12</f>
        <v>6.6801584291211415E-18</v>
      </c>
      <c r="AX158" s="23">
        <f t="shared" si="166"/>
        <v>5.8586472819740996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-1.1368683772161603E-13</v>
      </c>
      <c r="BE158" s="14">
        <f>BD158*VLOOKUP('Données projet'!$B$11,Paramètres!$A$1:$I$89,3,0)*VLOOKUP('Données projet'!$B$11,Paramètres!$A$1:$I$89,5,0)</f>
        <v>-9.9316821433603781E-14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236.12531905695994</v>
      </c>
      <c r="BJ158" s="62">
        <f t="shared" si="146"/>
        <v>270.64539221029258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2">
        <f t="shared" si="140"/>
        <v>25.356547829040952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70">
        <f t="shared" si="110"/>
        <v>499.97258746891276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151.58413719376074</v>
      </c>
      <c r="T159" s="62">
        <f t="shared" si="142"/>
        <v>310.105543138185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8.1481555181666323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2.8838145412353624E-17</v>
      </c>
      <c r="AC159" s="24">
        <f t="shared" si="163"/>
        <v>8.1481555181666323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1.1368683772161603E-13</v>
      </c>
      <c r="AJ159" s="14">
        <f>AI159*VLOOKUP('Données projet'!$B$10,Paramètres!$A$1:$I$89,3,0)*VLOOKUP('Données projet'!$B$10,Paramètres!$A$1:$I$89,5,0)</f>
        <v>6.7984728957526396E-14</v>
      </c>
      <c r="AK159" s="14">
        <f t="shared" si="164"/>
        <v>1.0682447123141398E-12</v>
      </c>
      <c r="AL159" s="22">
        <f t="shared" si="165"/>
        <v>1.978932943548152E-12</v>
      </c>
      <c r="AM159" s="62">
        <f t="shared" si="113"/>
        <v>293.3333333333353</v>
      </c>
      <c r="AN159" s="62">
        <f ca="1">AVERAGE(OFFSET($AM$3,0,0,'Données projet'!$E$10+1,1))-AVERAGE(OFFSET($H$3,0,0,'Données projet'!$E$10+1,1))</f>
        <v>147.72913422715322</v>
      </c>
      <c r="AO159" s="62">
        <f t="shared" si="144"/>
        <v>361.07991692964799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4.3972938676133717</v>
      </c>
      <c r="AV159" s="23">
        <f>EXP(-LN(2)/25)*AV158+(1-EXP(-LN(2)/25))/(LN(2)/25)*Calculateur!AQ159*Calculateur!AS159*VLOOKUP('Données projet'!$B$10,Paramètres!$A$1:$I$89,3,0)*0.475*44/12</f>
        <v>1.3358447521102474</v>
      </c>
      <c r="AW159" s="23">
        <f>EXP(-LN(2)/2)*AW158+(1-EXP(-LN(2)/2))/(LN(2)/2)*AQ159*AT159*VLOOKUP('Données projet'!$B$10,Paramètres!$A$1:$I$89,3,0)*0.475*44/12</f>
        <v>4.723585324632034E-18</v>
      </c>
      <c r="AX159" s="23">
        <f t="shared" si="166"/>
        <v>5.7331386197236194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-1.1368683772161603E-13</v>
      </c>
      <c r="BE159" s="14">
        <f>BD159*VLOOKUP('Données projet'!$B$11,Paramètres!$A$1:$I$89,3,0)*VLOOKUP('Données projet'!$B$11,Paramètres!$A$1:$I$89,5,0)</f>
        <v>-9.9316821433603781E-14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236.12531905695994</v>
      </c>
      <c r="BJ159" s="62">
        <f t="shared" si="146"/>
        <v>270.64539221029258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2">
        <f t="shared" si="140"/>
        <v>25.500116461916356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70">
        <f t="shared" si="110"/>
        <v>501.2641528378374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151.58413719376074</v>
      </c>
      <c r="T160" s="62">
        <f t="shared" si="142"/>
        <v>310.105543138185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7.9883751583395153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2.0391648177918974E-17</v>
      </c>
      <c r="AC160" s="24">
        <f t="shared" si="163"/>
        <v>7.9883751583395153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1.1368683772161603E-13</v>
      </c>
      <c r="AJ160" s="14">
        <f>AI160*VLOOKUP('Données projet'!$B$10,Paramètres!$A$1:$I$89,3,0)*VLOOKUP('Données projet'!$B$10,Paramètres!$A$1:$I$89,5,0)</f>
        <v>6.7984728957526396E-14</v>
      </c>
      <c r="AK160" s="14">
        <f t="shared" si="164"/>
        <v>1.0682447123141398E-12</v>
      </c>
      <c r="AL160" s="22">
        <f t="shared" si="165"/>
        <v>1.978932943548152E-12</v>
      </c>
      <c r="AM160" s="62">
        <f t="shared" si="113"/>
        <v>293.3333333333353</v>
      </c>
      <c r="AN160" s="62">
        <f ca="1">AVERAGE(OFFSET($AM$3,0,0,'Données projet'!$E$10+1,1))-AVERAGE(OFFSET($H$3,0,0,'Données projet'!$E$10+1,1))</f>
        <v>147.72913422715322</v>
      </c>
      <c r="AO160" s="62">
        <f t="shared" si="144"/>
        <v>361.07991692964799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4.3110656169538988</v>
      </c>
      <c r="AV160" s="23">
        <f>EXP(-LN(2)/25)*AV159+(1-EXP(-LN(2)/25))/(LN(2)/25)*Calculateur!AQ160*Calculateur!AS160*VLOOKUP('Données projet'!$B$10,Paramètres!$A$1:$I$89,3,0)*0.475*44/12</f>
        <v>1.2993160071147702</v>
      </c>
      <c r="AW160" s="23">
        <f>EXP(-LN(2)/2)*AW159+(1-EXP(-LN(2)/2))/(LN(2)/2)*AQ160*AT160*VLOOKUP('Données projet'!$B$10,Paramètres!$A$1:$I$89,3,0)*0.475*44/12</f>
        <v>3.3400792145605707E-18</v>
      </c>
      <c r="AX160" s="23">
        <f t="shared" si="166"/>
        <v>5.610381624068669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-1.1368683772161603E-13</v>
      </c>
      <c r="BE160" s="14">
        <f>BD160*VLOOKUP('Données projet'!$B$11,Paramètres!$A$1:$I$89,3,0)*VLOOKUP('Données projet'!$B$11,Paramètres!$A$1:$I$89,5,0)</f>
        <v>-9.9316821433603781E-14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236.12531905695994</v>
      </c>
      <c r="BJ160" s="62">
        <f t="shared" si="146"/>
        <v>270.64539221029258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2">
        <f t="shared" si="140"/>
        <v>25.643578691511777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70">
        <f t="shared" si="110"/>
        <v>502.55553288771608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151.58413719376074</v>
      </c>
      <c r="T161" s="62">
        <f t="shared" si="142"/>
        <v>310.105543138185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7.831727993912212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1.4419072706176812E-17</v>
      </c>
      <c r="AC161" s="24">
        <f t="shared" si="163"/>
        <v>7.831727993912212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1.1368683772161603E-13</v>
      </c>
      <c r="AJ161" s="14">
        <f>AI161*VLOOKUP('Données projet'!$B$10,Paramètres!$A$1:$I$89,3,0)*VLOOKUP('Données projet'!$B$10,Paramètres!$A$1:$I$89,5,0)</f>
        <v>6.7984728957526396E-14</v>
      </c>
      <c r="AK161" s="14">
        <f t="shared" si="164"/>
        <v>1.0682447123141398E-12</v>
      </c>
      <c r="AL161" s="22">
        <f t="shared" si="165"/>
        <v>1.978932943548152E-12</v>
      </c>
      <c r="AM161" s="62">
        <f t="shared" si="113"/>
        <v>293.3333333333353</v>
      </c>
      <c r="AN161" s="62">
        <f ca="1">AVERAGE(OFFSET($AM$3,0,0,'Données projet'!$E$10+1,1))-AVERAGE(OFFSET($H$3,0,0,'Données projet'!$E$10+1,1))</f>
        <v>147.72913422715322</v>
      </c>
      <c r="AO161" s="62">
        <f t="shared" si="144"/>
        <v>361.07991692964799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4.2265282496958188</v>
      </c>
      <c r="AV161" s="23">
        <f>EXP(-LN(2)/25)*AV160+(1-EXP(-LN(2)/25))/(LN(2)/25)*Calculateur!AQ161*Calculateur!AS161*VLOOKUP('Données projet'!$B$10,Paramètres!$A$1:$I$89,3,0)*0.475*44/12</f>
        <v>1.2637861425721577</v>
      </c>
      <c r="AW161" s="23">
        <f>EXP(-LN(2)/2)*AW160+(1-EXP(-LN(2)/2))/(LN(2)/2)*AQ161*AT161*VLOOKUP('Données projet'!$B$10,Paramètres!$A$1:$I$89,3,0)*0.475*44/12</f>
        <v>2.361792662316017E-18</v>
      </c>
      <c r="AX161" s="23">
        <f t="shared" si="166"/>
        <v>5.490314392267976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-1.1368683772161603E-13</v>
      </c>
      <c r="BE161" s="14">
        <f>BD161*VLOOKUP('Données projet'!$B$11,Paramètres!$A$1:$I$89,3,0)*VLOOKUP('Données projet'!$B$11,Paramètres!$A$1:$I$89,5,0)</f>
        <v>-9.9316821433603781E-14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236.12531905695994</v>
      </c>
      <c r="BJ161" s="62">
        <f t="shared" si="146"/>
        <v>270.64539221029258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2">
        <f t="shared" si="140"/>
        <v>25.786935269387101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70">
        <f t="shared" si="110"/>
        <v>503.84672892751564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151.58413719376074</v>
      </c>
      <c r="T162" s="62">
        <f t="shared" si="142"/>
        <v>310.105543138185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7.6781525848339918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1.0195824088959487E-17</v>
      </c>
      <c r="AC162" s="24">
        <f t="shared" si="163"/>
        <v>7.6781525848339918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1.1368683772161603E-13</v>
      </c>
      <c r="AJ162" s="14">
        <f>AI162*VLOOKUP('Données projet'!$B$10,Paramètres!$A$1:$I$89,3,0)*VLOOKUP('Données projet'!$B$10,Paramètres!$A$1:$I$89,5,0)</f>
        <v>6.7984728957526396E-14</v>
      </c>
      <c r="AK162" s="14">
        <f t="shared" si="164"/>
        <v>1.0682447123141398E-12</v>
      </c>
      <c r="AL162" s="22">
        <f t="shared" si="165"/>
        <v>1.978932943548152E-12</v>
      </c>
      <c r="AM162" s="62">
        <f t="shared" si="113"/>
        <v>293.3333333333353</v>
      </c>
      <c r="AN162" s="62">
        <f ca="1">AVERAGE(OFFSET($AM$3,0,0,'Données projet'!$E$10+1,1))-AVERAGE(OFFSET($H$3,0,0,'Données projet'!$E$10+1,1))</f>
        <v>147.72913422715322</v>
      </c>
      <c r="AO162" s="62">
        <f t="shared" si="144"/>
        <v>361.07991692964799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4.1436486086469673</v>
      </c>
      <c r="AV162" s="23">
        <f>EXP(-LN(2)/25)*AV161+(1-EXP(-LN(2)/25))/(LN(2)/25)*Calculateur!AQ162*Calculateur!AS162*VLOOKUP('Données projet'!$B$10,Paramètres!$A$1:$I$89,3,0)*0.475*44/12</f>
        <v>1.2292278440438973</v>
      </c>
      <c r="AW162" s="23">
        <f>EXP(-LN(2)/2)*AW161+(1-EXP(-LN(2)/2))/(LN(2)/2)*AQ162*AT162*VLOOKUP('Données projet'!$B$10,Paramètres!$A$1:$I$89,3,0)*0.475*44/12</f>
        <v>1.6700396072802854E-18</v>
      </c>
      <c r="AX162" s="23">
        <f t="shared" si="166"/>
        <v>5.3728764526908641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-1.1368683772161603E-13</v>
      </c>
      <c r="BE162" s="14">
        <f>BD162*VLOOKUP('Données projet'!$B$11,Paramètres!$A$1:$I$89,3,0)*VLOOKUP('Données projet'!$B$11,Paramètres!$A$1:$I$89,5,0)</f>
        <v>-9.9316821433603781E-14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236.12531905695994</v>
      </c>
      <c r="BJ162" s="62">
        <f t="shared" si="146"/>
        <v>270.64539221029258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2">
        <f t="shared" si="140"/>
        <v>25.930186937101919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70">
        <f t="shared" si="110"/>
        <v>505.13774224878563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151.58413719376074</v>
      </c>
      <c r="T163" s="62">
        <f t="shared" si="142"/>
        <v>310.105543138185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7.5275886958560454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7.2095363530884059E-18</v>
      </c>
      <c r="AC163" s="24">
        <f t="shared" si="163"/>
        <v>7.5275886958560454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1.1368683772161603E-13</v>
      </c>
      <c r="AJ163" s="14">
        <f>AI163*VLOOKUP('Données projet'!$B$10,Paramètres!$A$1:$I$89,3,0)*VLOOKUP('Données projet'!$B$10,Paramètres!$A$1:$I$89,5,0)</f>
        <v>6.7984728957526396E-14</v>
      </c>
      <c r="AK163" s="14">
        <f t="shared" si="164"/>
        <v>1.0682447123141398E-12</v>
      </c>
      <c r="AL163" s="22">
        <f t="shared" si="165"/>
        <v>1.978932943548152E-12</v>
      </c>
      <c r="AM163" s="62">
        <f t="shared" si="113"/>
        <v>293.3333333333353</v>
      </c>
      <c r="AN163" s="62">
        <f ca="1">AVERAGE(OFFSET($AM$3,0,0,'Données projet'!$E$10+1,1))-AVERAGE(OFFSET($H$3,0,0,'Données projet'!$E$10+1,1))</f>
        <v>147.72913422715322</v>
      </c>
      <c r="AO163" s="62">
        <f t="shared" si="144"/>
        <v>361.07991692964799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4.0623941868074942</v>
      </c>
      <c r="AV163" s="23">
        <f>EXP(-LN(2)/25)*AV162+(1-EXP(-LN(2)/25))/(LN(2)/25)*Calculateur!AQ163*Calculateur!AS163*VLOOKUP('Données projet'!$B$10,Paramètres!$A$1:$I$89,3,0)*0.475*44/12</f>
        <v>1.195614544006234</v>
      </c>
      <c r="AW163" s="23">
        <f>EXP(-LN(2)/2)*AW162+(1-EXP(-LN(2)/2))/(LN(2)/2)*AQ163*AT163*VLOOKUP('Données projet'!$B$10,Paramètres!$A$1:$I$89,3,0)*0.475*44/12</f>
        <v>1.1808963311580085E-18</v>
      </c>
      <c r="AX163" s="23">
        <f t="shared" si="166"/>
        <v>5.258008730813728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-1.1368683772161603E-13</v>
      </c>
      <c r="BE163" s="14">
        <f>BD163*VLOOKUP('Données projet'!$B$11,Paramètres!$A$1:$I$89,3,0)*VLOOKUP('Données projet'!$B$11,Paramètres!$A$1:$I$89,5,0)</f>
        <v>-9.9316821433603781E-14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236.12531905695994</v>
      </c>
      <c r="BJ163" s="62">
        <f t="shared" si="146"/>
        <v>270.64539221029258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2">
        <f t="shared" si="140"/>
        <v>26.073334426410252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70">
        <f t="shared" si="110"/>
        <v>506.42857412599761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151.58413719376074</v>
      </c>
      <c r="T164" s="62">
        <f t="shared" si="142"/>
        <v>310.105543138185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7.3799772729060518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5.0979120444797434E-18</v>
      </c>
      <c r="AC164" s="24">
        <f t="shared" si="163"/>
        <v>7.3799772729060518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1.1368683772161603E-13</v>
      </c>
      <c r="AJ164" s="14">
        <f>AI164*VLOOKUP('Données projet'!$B$10,Paramètres!$A$1:$I$89,3,0)*VLOOKUP('Données projet'!$B$10,Paramètres!$A$1:$I$89,5,0)</f>
        <v>6.7984728957526396E-14</v>
      </c>
      <c r="AK164" s="14">
        <f t="shared" si="164"/>
        <v>1.0682447123141398E-12</v>
      </c>
      <c r="AL164" s="22">
        <f t="shared" si="165"/>
        <v>1.978932943548152E-12</v>
      </c>
      <c r="AM164" s="62">
        <f t="shared" si="113"/>
        <v>293.3333333333353</v>
      </c>
      <c r="AN164" s="62">
        <f ca="1">AVERAGE(OFFSET($AM$3,0,0,'Données projet'!$E$10+1,1))-AVERAGE(OFFSET($H$3,0,0,'Données projet'!$E$10+1,1))</f>
        <v>147.72913422715322</v>
      </c>
      <c r="AO164" s="62">
        <f t="shared" si="144"/>
        <v>361.07991692964799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3.9827331146199891</v>
      </c>
      <c r="AV164" s="23">
        <f>EXP(-LN(2)/25)*AV163+(1-EXP(-LN(2)/25))/(LN(2)/25)*Calculateur!AQ164*Calculateur!AS164*VLOOKUP('Données projet'!$B$10,Paramètres!$A$1:$I$89,3,0)*0.475*44/12</f>
        <v>1.1629204014257473</v>
      </c>
      <c r="AW164" s="23">
        <f>EXP(-LN(2)/2)*AW163+(1-EXP(-LN(2)/2))/(LN(2)/2)*AQ164*AT164*VLOOKUP('Données projet'!$B$10,Paramètres!$A$1:$I$89,3,0)*0.475*44/12</f>
        <v>8.3501980364014269E-19</v>
      </c>
      <c r="AX164" s="23">
        <f t="shared" si="166"/>
        <v>5.1456535160457362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-1.1368683772161603E-13</v>
      </c>
      <c r="BE164" s="14">
        <f>BD164*VLOOKUP('Données projet'!$B$11,Paramètres!$A$1:$I$89,3,0)*VLOOKUP('Données projet'!$B$11,Paramètres!$A$1:$I$89,5,0)</f>
        <v>-9.9316821433603781E-14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236.12531905695994</v>
      </c>
      <c r="BJ164" s="62">
        <f t="shared" si="146"/>
        <v>270.64539221029258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2">
        <f t="shared" si="140"/>
        <v>26.216378459450194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70">
        <f t="shared" si="110"/>
        <v>507.71922581687556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151.58413719376074</v>
      </c>
      <c r="T165" s="62">
        <f t="shared" si="142"/>
        <v>310.105543138185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7.2352604199260302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3.604768176544203E-18</v>
      </c>
      <c r="AC165" s="24">
        <f t="shared" si="163"/>
        <v>7.2352604199260302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1.1368683772161603E-13</v>
      </c>
      <c r="AJ165" s="14">
        <f>AI165*VLOOKUP('Données projet'!$B$10,Paramètres!$A$1:$I$89,3,0)*VLOOKUP('Données projet'!$B$10,Paramètres!$A$1:$I$89,5,0)</f>
        <v>6.7984728957526396E-14</v>
      </c>
      <c r="AK165" s="14">
        <f t="shared" si="164"/>
        <v>1.0682447123141398E-12</v>
      </c>
      <c r="AL165" s="22">
        <f t="shared" si="165"/>
        <v>1.978932943548152E-12</v>
      </c>
      <c r="AM165" s="62">
        <f t="shared" si="113"/>
        <v>293.3333333333353</v>
      </c>
      <c r="AN165" s="62">
        <f ca="1">AVERAGE(OFFSET($AM$3,0,0,'Données projet'!$E$10+1,1))-AVERAGE(OFFSET($H$3,0,0,'Données projet'!$E$10+1,1))</f>
        <v>147.72913422715322</v>
      </c>
      <c r="AO165" s="62">
        <f t="shared" si="144"/>
        <v>361.07991692964799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3.9046341474696247</v>
      </c>
      <c r="AV165" s="23">
        <f>EXP(-LN(2)/25)*AV164+(1-EXP(-LN(2)/25))/(LN(2)/25)*Calculateur!AQ165*Calculateur!AS165*VLOOKUP('Données projet'!$B$10,Paramètres!$A$1:$I$89,3,0)*0.475*44/12</f>
        <v>1.1311202818934343</v>
      </c>
      <c r="AW165" s="23">
        <f>EXP(-LN(2)/2)*AW164+(1-EXP(-LN(2)/2))/(LN(2)/2)*AQ165*AT165*VLOOKUP('Données projet'!$B$10,Paramètres!$A$1:$I$89,3,0)*0.475*44/12</f>
        <v>5.9044816557900425E-19</v>
      </c>
      <c r="AX165" s="23">
        <f t="shared" si="166"/>
        <v>5.0357544293630587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-1.1368683772161603E-13</v>
      </c>
      <c r="BE165" s="14">
        <f>BD165*VLOOKUP('Données projet'!$B$11,Paramètres!$A$1:$I$89,3,0)*VLOOKUP('Données projet'!$B$11,Paramètres!$A$1:$I$89,5,0)</f>
        <v>-9.9316821433603781E-14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236.12531905695994</v>
      </c>
      <c r="BJ165" s="62">
        <f t="shared" si="146"/>
        <v>270.64539221029258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2">
        <f t="shared" si="140"/>
        <v>26.359319748929014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70">
        <f t="shared" si="110"/>
        <v>509.00969856271774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151.58413719376074</v>
      </c>
      <c r="T166" s="62">
        <f t="shared" si="142"/>
        <v>310.105543138185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7.0933813761643822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2.5489560222398717E-18</v>
      </c>
      <c r="AC166" s="24">
        <f t="shared" si="163"/>
        <v>7.0933813761643822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1.1368683772161603E-13</v>
      </c>
      <c r="AJ166" s="14">
        <f>AI166*VLOOKUP('Données projet'!$B$10,Paramètres!$A$1:$I$89,3,0)*VLOOKUP('Données projet'!$B$10,Paramètres!$A$1:$I$89,5,0)</f>
        <v>6.7984728957526396E-14</v>
      </c>
      <c r="AK166" s="14">
        <f t="shared" si="164"/>
        <v>1.0682447123141398E-12</v>
      </c>
      <c r="AL166" s="22">
        <f t="shared" si="165"/>
        <v>1.978932943548152E-12</v>
      </c>
      <c r="AM166" s="62">
        <f t="shared" si="113"/>
        <v>293.3333333333353</v>
      </c>
      <c r="AN166" s="62">
        <f ca="1">AVERAGE(OFFSET($AM$3,0,0,'Données projet'!$E$10+1,1))-AVERAGE(OFFSET($H$3,0,0,'Données projet'!$E$10+1,1))</f>
        <v>147.72913422715322</v>
      </c>
      <c r="AO166" s="62">
        <f t="shared" si="144"/>
        <v>361.07991692964799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3.8280666534294125</v>
      </c>
      <c r="AV166" s="23">
        <f>EXP(-LN(2)/25)*AV165+(1-EXP(-LN(2)/25))/(LN(2)/25)*Calculateur!AQ166*Calculateur!AS166*VLOOKUP('Données projet'!$B$10,Paramètres!$A$1:$I$89,3,0)*0.475*44/12</f>
        <v>1.1001897383020278</v>
      </c>
      <c r="AW166" s="23">
        <f>EXP(-LN(2)/2)*AW165+(1-EXP(-LN(2)/2))/(LN(2)/2)*AQ166*AT166*VLOOKUP('Données projet'!$B$10,Paramètres!$A$1:$I$89,3,0)*0.475*44/12</f>
        <v>4.1750990182007134E-19</v>
      </c>
      <c r="AX166" s="23">
        <f t="shared" si="166"/>
        <v>4.9282563917314404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-1.1368683772161603E-13</v>
      </c>
      <c r="BE166" s="14">
        <f>BD166*VLOOKUP('Données projet'!$B$11,Paramètres!$A$1:$I$89,3,0)*VLOOKUP('Données projet'!$B$11,Paramètres!$A$1:$I$89,5,0)</f>
        <v>-9.9316821433603781E-14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236.12531905695994</v>
      </c>
      <c r="BJ166" s="62">
        <f t="shared" si="146"/>
        <v>270.64539221029258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2">
        <f t="shared" si="140"/>
        <v>26.502158998303084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70">
        <f t="shared" si="110"/>
        <v>510.299993588711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151.58413719376074</v>
      </c>
      <c r="T167" s="62">
        <f t="shared" si="142"/>
        <v>310.105543138185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6.954284493913228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1.8023840882721015E-18</v>
      </c>
      <c r="AC167" s="24">
        <f t="shared" si="163"/>
        <v>6.954284493913228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1.1368683772161603E-13</v>
      </c>
      <c r="AJ167" s="14">
        <f>AI167*VLOOKUP('Données projet'!$B$10,Paramètres!$A$1:$I$89,3,0)*VLOOKUP('Données projet'!$B$10,Paramètres!$A$1:$I$89,5,0)</f>
        <v>6.7984728957526396E-14</v>
      </c>
      <c r="AK167" s="14">
        <f t="shared" si="164"/>
        <v>1.0682447123141398E-12</v>
      </c>
      <c r="AL167" s="22">
        <f t="shared" si="165"/>
        <v>1.978932943548152E-12</v>
      </c>
      <c r="AM167" s="62">
        <f t="shared" si="113"/>
        <v>293.3333333333353</v>
      </c>
      <c r="AN167" s="62">
        <f ca="1">AVERAGE(OFFSET($AM$3,0,0,'Données projet'!$E$10+1,1))-AVERAGE(OFFSET($H$3,0,0,'Données projet'!$E$10+1,1))</f>
        <v>147.72913422715322</v>
      </c>
      <c r="AO167" s="62">
        <f t="shared" si="144"/>
        <v>361.07991692964799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3.7530006012457693</v>
      </c>
      <c r="AV167" s="23">
        <f>EXP(-LN(2)/25)*AV166+(1-EXP(-LN(2)/25))/(LN(2)/25)*Calculateur!AQ167*Calculateur!AS167*VLOOKUP('Données projet'!$B$10,Paramètres!$A$1:$I$89,3,0)*0.475*44/12</f>
        <v>1.070104992051695</v>
      </c>
      <c r="AW167" s="23">
        <f>EXP(-LN(2)/2)*AW166+(1-EXP(-LN(2)/2))/(LN(2)/2)*AQ167*AT167*VLOOKUP('Données projet'!$B$10,Paramètres!$A$1:$I$89,3,0)*0.475*44/12</f>
        <v>2.9522408278950212E-19</v>
      </c>
      <c r="AX167" s="23">
        <f t="shared" si="166"/>
        <v>4.8231055932974645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-1.1368683772161603E-13</v>
      </c>
      <c r="BE167" s="14">
        <f>BD167*VLOOKUP('Données projet'!$B$11,Paramètres!$A$1:$I$89,3,0)*VLOOKUP('Données projet'!$B$11,Paramètres!$A$1:$I$89,5,0)</f>
        <v>-9.9316821433603781E-14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236.12531905695994</v>
      </c>
      <c r="BJ167" s="62">
        <f t="shared" si="146"/>
        <v>270.64539221029258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2">
        <f t="shared" si="140"/>
        <v>26.644896901954041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70">
        <f t="shared" si="110"/>
        <v>511.59011210423637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151.58413719376074</v>
      </c>
      <c r="T168" s="62">
        <f t="shared" si="142"/>
        <v>310.105543138185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6.8179152166822981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1.2744780111199358E-18</v>
      </c>
      <c r="AC168" s="24">
        <f t="shared" si="163"/>
        <v>6.8179152166822981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1.1368683772161603E-13</v>
      </c>
      <c r="AJ168" s="14">
        <f>AI168*VLOOKUP('Données projet'!$B$10,Paramètres!$A$1:$I$89,3,0)*VLOOKUP('Données projet'!$B$10,Paramètres!$A$1:$I$89,5,0)</f>
        <v>6.7984728957526396E-14</v>
      </c>
      <c r="AK168" s="14">
        <f t="shared" si="164"/>
        <v>1.0682447123141398E-12</v>
      </c>
      <c r="AL168" s="22">
        <f t="shared" si="165"/>
        <v>1.978932943548152E-12</v>
      </c>
      <c r="AM168" s="62">
        <f t="shared" si="113"/>
        <v>293.3333333333353</v>
      </c>
      <c r="AN168" s="62">
        <f ca="1">AVERAGE(OFFSET($AM$3,0,0,'Données projet'!$E$10+1,1))-AVERAGE(OFFSET($H$3,0,0,'Données projet'!$E$10+1,1))</f>
        <v>147.72913422715322</v>
      </c>
      <c r="AO168" s="62">
        <f t="shared" si="144"/>
        <v>361.07991692964799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3.6794065485596761</v>
      </c>
      <c r="AV168" s="23">
        <f>EXP(-LN(2)/25)*AV167+(1-EXP(-LN(2)/25))/(LN(2)/25)*Calculateur!AQ168*Calculateur!AS168*VLOOKUP('Données projet'!$B$10,Paramètres!$A$1:$I$89,3,0)*0.475*44/12</f>
        <v>1.0408429147696656</v>
      </c>
      <c r="AW168" s="23">
        <f>EXP(-LN(2)/2)*AW167+(1-EXP(-LN(2)/2))/(LN(2)/2)*AQ168*AT168*VLOOKUP('Données projet'!$B$10,Paramètres!$A$1:$I$89,3,0)*0.475*44/12</f>
        <v>2.0875495091003567E-19</v>
      </c>
      <c r="AX168" s="23">
        <f t="shared" si="166"/>
        <v>4.7202494633293419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-1.1368683772161603E-13</v>
      </c>
      <c r="BE168" s="14">
        <f>BD168*VLOOKUP('Données projet'!$B$11,Paramètres!$A$1:$I$89,3,0)*VLOOKUP('Données projet'!$B$11,Paramètres!$A$1:$I$89,5,0)</f>
        <v>-9.9316821433603781E-14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236.12531905695994</v>
      </c>
      <c r="BJ168" s="62">
        <f t="shared" si="146"/>
        <v>270.64539221029258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2">
        <f t="shared" si="140"/>
        <v>26.787534145359764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70">
        <f t="shared" si="110"/>
        <v>512.88005530316809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151.58413719376074</v>
      </c>
      <c r="T169" s="62">
        <f t="shared" si="142"/>
        <v>310.105543138185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6.6842200578008208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9.0119204413605074E-19</v>
      </c>
      <c r="AC169" s="24">
        <f t="shared" si="163"/>
        <v>6.6842200578008208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1.1368683772161603E-13</v>
      </c>
      <c r="AJ169" s="14">
        <f>AI169*VLOOKUP('Données projet'!$B$10,Paramètres!$A$1:$I$89,3,0)*VLOOKUP('Données projet'!$B$10,Paramètres!$A$1:$I$89,5,0)</f>
        <v>6.7984728957526396E-14</v>
      </c>
      <c r="AK169" s="14">
        <f t="shared" si="164"/>
        <v>1.0682447123141398E-12</v>
      </c>
      <c r="AL169" s="22">
        <f t="shared" si="165"/>
        <v>1.978932943548152E-12</v>
      </c>
      <c r="AM169" s="62">
        <f t="shared" si="113"/>
        <v>293.3333333333353</v>
      </c>
      <c r="AN169" s="62">
        <f ca="1">AVERAGE(OFFSET($AM$3,0,0,'Données projet'!$E$10+1,1))-AVERAGE(OFFSET($H$3,0,0,'Données projet'!$E$10+1,1))</f>
        <v>147.72913422715322</v>
      </c>
      <c r="AO169" s="62">
        <f t="shared" si="144"/>
        <v>361.07991692964799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3.6072556303588175</v>
      </c>
      <c r="AV169" s="23">
        <f>EXP(-LN(2)/25)*AV168+(1-EXP(-LN(2)/25))/(LN(2)/25)*Calculateur!AQ169*Calculateur!AS169*VLOOKUP('Données projet'!$B$10,Paramètres!$A$1:$I$89,3,0)*0.475*44/12</f>
        <v>1.0123810105297391</v>
      </c>
      <c r="AW169" s="23">
        <f>EXP(-LN(2)/2)*AW168+(1-EXP(-LN(2)/2))/(LN(2)/2)*AQ169*AT169*VLOOKUP('Données projet'!$B$10,Paramètres!$A$1:$I$89,3,0)*0.475*44/12</f>
        <v>1.4761204139475106E-19</v>
      </c>
      <c r="AX169" s="23">
        <f t="shared" si="166"/>
        <v>4.6196366408885563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-1.1368683772161603E-13</v>
      </c>
      <c r="BE169" s="14">
        <f>BD169*VLOOKUP('Données projet'!$B$11,Paramètres!$A$1:$I$89,3,0)*VLOOKUP('Données projet'!$B$11,Paramètres!$A$1:$I$89,5,0)</f>
        <v>-9.9316821433603781E-14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236.12531905695994</v>
      </c>
      <c r="BJ169" s="62">
        <f t="shared" si="146"/>
        <v>270.64539221029258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2">
        <f t="shared" si="140"/>
        <v>26.930071405261604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70">
        <f t="shared" si="110"/>
        <v>514.16982436416379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151.58413719376074</v>
      </c>
      <c r="T170" s="62">
        <f t="shared" si="142"/>
        <v>310.105543138185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6.5531465794390149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6.3723900555996792E-19</v>
      </c>
      <c r="AC170" s="24">
        <f t="shared" si="163"/>
        <v>6.5531465794390149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1.1368683772161603E-13</v>
      </c>
      <c r="AJ170" s="14">
        <f>AI170*VLOOKUP('Données projet'!$B$10,Paramètres!$A$1:$I$89,3,0)*VLOOKUP('Données projet'!$B$10,Paramètres!$A$1:$I$89,5,0)</f>
        <v>6.7984728957526396E-14</v>
      </c>
      <c r="AK170" s="14">
        <f t="shared" si="164"/>
        <v>1.0682447123141398E-12</v>
      </c>
      <c r="AL170" s="22">
        <f t="shared" si="165"/>
        <v>1.978932943548152E-12</v>
      </c>
      <c r="AM170" s="62">
        <f t="shared" si="113"/>
        <v>293.3333333333353</v>
      </c>
      <c r="AN170" s="62">
        <f ca="1">AVERAGE(OFFSET($AM$3,0,0,'Données projet'!$E$10+1,1))-AVERAGE(OFFSET($H$3,0,0,'Données projet'!$E$10+1,1))</f>
        <v>147.72913422715322</v>
      </c>
      <c r="AO170" s="62">
        <f t="shared" si="144"/>
        <v>361.07991692964799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3.5365195476561628</v>
      </c>
      <c r="AV170" s="23">
        <f>EXP(-LN(2)/25)*AV169+(1-EXP(-LN(2)/25))/(LN(2)/25)*Calculateur!AQ170*Calculateur!AS170*VLOOKUP('Données projet'!$B$10,Paramètres!$A$1:$I$89,3,0)*0.475*44/12</f>
        <v>0.98469739855799987</v>
      </c>
      <c r="AW170" s="23">
        <f>EXP(-LN(2)/2)*AW169+(1-EXP(-LN(2)/2))/(LN(2)/2)*AQ170*AT170*VLOOKUP('Données projet'!$B$10,Paramètres!$A$1:$I$89,3,0)*0.475*44/12</f>
        <v>1.0437747545501784E-19</v>
      </c>
      <c r="AX170" s="23">
        <f t="shared" si="166"/>
        <v>4.5212169462141629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-1.1368683772161603E-13</v>
      </c>
      <c r="BE170" s="14">
        <f>BD170*VLOOKUP('Données projet'!$B$11,Paramètres!$A$1:$I$89,3,0)*VLOOKUP('Données projet'!$B$11,Paramètres!$A$1:$I$89,5,0)</f>
        <v>-9.9316821433603781E-14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236.12531905695994</v>
      </c>
      <c r="BJ170" s="62">
        <f t="shared" si="146"/>
        <v>270.64539221029258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2">
        <f t="shared" si="140"/>
        <v>27.072509349827431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70">
        <f t="shared" si="110"/>
        <v>515.45942045094921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151.58413719376074</v>
      </c>
      <c r="T171" s="62">
        <f t="shared" si="142"/>
        <v>310.105543138185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6.4246433720409559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4.5059602206802537E-19</v>
      </c>
      <c r="AC171" s="24">
        <f t="shared" si="163"/>
        <v>6.4246433720409559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1.1368683772161603E-13</v>
      </c>
      <c r="AJ171" s="14">
        <f>AI171*VLOOKUP('Données projet'!$B$10,Paramètres!$A$1:$I$89,3,0)*VLOOKUP('Données projet'!$B$10,Paramètres!$A$1:$I$89,5,0)</f>
        <v>6.7984728957526396E-14</v>
      </c>
      <c r="AK171" s="14">
        <f t="shared" si="164"/>
        <v>1.0682447123141398E-12</v>
      </c>
      <c r="AL171" s="22">
        <f t="shared" si="165"/>
        <v>1.978932943548152E-12</v>
      </c>
      <c r="AM171" s="62">
        <f t="shared" si="113"/>
        <v>293.3333333333353</v>
      </c>
      <c r="AN171" s="62">
        <f ca="1">AVERAGE(OFFSET($AM$3,0,0,'Données projet'!$E$10+1,1))-AVERAGE(OFFSET($H$3,0,0,'Données projet'!$E$10+1,1))</f>
        <v>147.72913422715322</v>
      </c>
      <c r="AO171" s="62">
        <f t="shared" si="144"/>
        <v>361.07991692964799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3.467170556390557</v>
      </c>
      <c r="AV171" s="23">
        <f>EXP(-LN(2)/25)*AV170+(1-EXP(-LN(2)/25))/(LN(2)/25)*Calculateur!AQ171*Calculateur!AS171*VLOOKUP('Données projet'!$B$10,Paramètres!$A$1:$I$89,3,0)*0.475*44/12</f>
        <v>0.95777079641144569</v>
      </c>
      <c r="AW171" s="23">
        <f>EXP(-LN(2)/2)*AW170+(1-EXP(-LN(2)/2))/(LN(2)/2)*AQ171*AT171*VLOOKUP('Données projet'!$B$10,Paramètres!$A$1:$I$89,3,0)*0.475*44/12</f>
        <v>7.3806020697375531E-20</v>
      </c>
      <c r="AX171" s="23">
        <f t="shared" si="166"/>
        <v>4.4249413528020032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-1.1368683772161603E-13</v>
      </c>
      <c r="BE171" s="14">
        <f>BD171*VLOOKUP('Données projet'!$B$11,Paramètres!$A$1:$I$89,3,0)*VLOOKUP('Données projet'!$B$11,Paramètres!$A$1:$I$89,5,0)</f>
        <v>-9.9316821433603781E-14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236.12531905695994</v>
      </c>
      <c r="BJ171" s="62">
        <f t="shared" si="146"/>
        <v>270.64539221029258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2">
        <f t="shared" si="140"/>
        <v>27.214848638810537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70">
        <f t="shared" si="110"/>
        <v>516.74884471259475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151.58413719376074</v>
      </c>
      <c r="T172" s="62">
        <f t="shared" si="142"/>
        <v>310.105543138185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6.2986600341607559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3.1861950277998396E-19</v>
      </c>
      <c r="AC172" s="24">
        <f t="shared" si="163"/>
        <v>6.2986600341607559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1.1368683772161603E-13</v>
      </c>
      <c r="AJ172" s="14">
        <f>AI172*VLOOKUP('Données projet'!$B$10,Paramètres!$A$1:$I$89,3,0)*VLOOKUP('Données projet'!$B$10,Paramètres!$A$1:$I$89,5,0)</f>
        <v>6.7984728957526396E-14</v>
      </c>
      <c r="AK172" s="14">
        <f t="shared" si="164"/>
        <v>1.0682447123141398E-12</v>
      </c>
      <c r="AL172" s="22">
        <f t="shared" si="165"/>
        <v>1.978932943548152E-12</v>
      </c>
      <c r="AM172" s="62">
        <f t="shared" si="113"/>
        <v>293.3333333333353</v>
      </c>
      <c r="AN172" s="62">
        <f ca="1">AVERAGE(OFFSET($AM$3,0,0,'Données projet'!$E$10+1,1))-AVERAGE(OFFSET($H$3,0,0,'Données projet'!$E$10+1,1))</f>
        <v>147.72913422715322</v>
      </c>
      <c r="AO172" s="62">
        <f t="shared" si="144"/>
        <v>361.07991692964799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3.3991814565449618</v>
      </c>
      <c r="AV172" s="23">
        <f>EXP(-LN(2)/25)*AV171+(1-EXP(-LN(2)/25))/(LN(2)/25)*Calculateur!AQ172*Calculateur!AS172*VLOOKUP('Données projet'!$B$10,Paramètres!$A$1:$I$89,3,0)*0.475*44/12</f>
        <v>0.9315805036165975</v>
      </c>
      <c r="AW172" s="23">
        <f>EXP(-LN(2)/2)*AW171+(1-EXP(-LN(2)/2))/(LN(2)/2)*AQ172*AT172*VLOOKUP('Données projet'!$B$10,Paramètres!$A$1:$I$89,3,0)*0.475*44/12</f>
        <v>5.2188737727508918E-20</v>
      </c>
      <c r="AX172" s="23">
        <f t="shared" si="166"/>
        <v>4.330761960161559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-1.1368683772161603E-13</v>
      </c>
      <c r="BE172" s="14">
        <f>BD172*VLOOKUP('Données projet'!$B$11,Paramètres!$A$1:$I$89,3,0)*VLOOKUP('Données projet'!$B$11,Paramètres!$A$1:$I$89,5,0)</f>
        <v>-9.9316821433603781E-14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236.12531905695994</v>
      </c>
      <c r="BJ172" s="62">
        <f t="shared" si="146"/>
        <v>270.64539221029258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2">
        <f t="shared" si="140"/>
        <v>27.35708992370472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70">
        <f t="shared" si="110"/>
        <v>518.03809828378553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151.58413719376074</v>
      </c>
      <c r="T173" s="62">
        <f t="shared" si="142"/>
        <v>310.105543138185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6.1751471526941382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2.2529801103401269E-19</v>
      </c>
      <c r="AC173" s="24">
        <f t="shared" si="163"/>
        <v>6.1751471526941382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1.1368683772161603E-13</v>
      </c>
      <c r="AJ173" s="14">
        <f>AI173*VLOOKUP('Données projet'!$B$10,Paramètres!$A$1:$I$89,3,0)*VLOOKUP('Données projet'!$B$10,Paramètres!$A$1:$I$89,5,0)</f>
        <v>6.7984728957526396E-14</v>
      </c>
      <c r="AK173" s="14">
        <f t="shared" si="164"/>
        <v>1.0682447123141398E-12</v>
      </c>
      <c r="AL173" s="22">
        <f t="shared" si="165"/>
        <v>1.978932943548152E-12</v>
      </c>
      <c r="AM173" s="62">
        <f t="shared" si="113"/>
        <v>293.3333333333353</v>
      </c>
      <c r="AN173" s="62">
        <f ca="1">AVERAGE(OFFSET($AM$3,0,0,'Données projet'!$E$10+1,1))-AVERAGE(OFFSET($H$3,0,0,'Données projet'!$E$10+1,1))</f>
        <v>147.72913422715322</v>
      </c>
      <c r="AO173" s="62">
        <f t="shared" si="144"/>
        <v>361.07991692964799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3.3325255814780825</v>
      </c>
      <c r="AV173" s="23">
        <f>EXP(-LN(2)/25)*AV172+(1-EXP(-LN(2)/25))/(LN(2)/25)*Calculateur!AQ173*Calculateur!AS173*VLOOKUP('Données projet'!$B$10,Paramètres!$A$1:$I$89,3,0)*0.475*44/12</f>
        <v>0.90610638575551217</v>
      </c>
      <c r="AW173" s="23">
        <f>EXP(-LN(2)/2)*AW172+(1-EXP(-LN(2)/2))/(LN(2)/2)*AQ173*AT173*VLOOKUP('Données projet'!$B$10,Paramètres!$A$1:$I$89,3,0)*0.475*44/12</f>
        <v>3.6903010348687766E-20</v>
      </c>
      <c r="AX173" s="23">
        <f t="shared" si="166"/>
        <v>4.2386319672335944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-1.1368683772161603E-13</v>
      </c>
      <c r="BE173" s="14">
        <f>BD173*VLOOKUP('Données projet'!$B$11,Paramètres!$A$1:$I$89,3,0)*VLOOKUP('Données projet'!$B$11,Paramètres!$A$1:$I$89,5,0)</f>
        <v>-9.9316821433603781E-14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236.12531905695994</v>
      </c>
      <c r="BJ173" s="62">
        <f t="shared" si="146"/>
        <v>270.64539221029258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2">
        <f t="shared" si="140"/>
        <v>27.499233847895834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70">
        <f t="shared" si="110"/>
        <v>519.32718228508497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151.58413719376074</v>
      </c>
      <c r="T174" s="62">
        <f t="shared" si="142"/>
        <v>310.105543138185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6.054056283497661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1.5930975138999198E-19</v>
      </c>
      <c r="AC174" s="24">
        <f t="shared" si="163"/>
        <v>6.054056283497661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1.1368683772161603E-13</v>
      </c>
      <c r="AJ174" s="14">
        <f>AI174*VLOOKUP('Données projet'!$B$10,Paramètres!$A$1:$I$89,3,0)*VLOOKUP('Données projet'!$B$10,Paramètres!$A$1:$I$89,5,0)</f>
        <v>6.7984728957526396E-14</v>
      </c>
      <c r="AK174" s="14">
        <f t="shared" si="164"/>
        <v>1.0682447123141398E-12</v>
      </c>
      <c r="AL174" s="22">
        <f t="shared" si="165"/>
        <v>1.978932943548152E-12</v>
      </c>
      <c r="AM174" s="62">
        <f t="shared" si="113"/>
        <v>293.3333333333353</v>
      </c>
      <c r="AN174" s="62">
        <f ca="1">AVERAGE(OFFSET($AM$3,0,0,'Données projet'!$E$10+1,1))-AVERAGE(OFFSET($H$3,0,0,'Données projet'!$E$10+1,1))</f>
        <v>147.72913422715322</v>
      </c>
      <c r="AO174" s="62">
        <f t="shared" si="144"/>
        <v>361.07991692964799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3.2671767874651954</v>
      </c>
      <c r="AV174" s="23">
        <f>EXP(-LN(2)/25)*AV173+(1-EXP(-LN(2)/25))/(LN(2)/25)*Calculateur!AQ174*Calculateur!AS174*VLOOKUP('Données projet'!$B$10,Paramètres!$A$1:$I$89,3,0)*0.475*44/12</f>
        <v>0.88132885898696378</v>
      </c>
      <c r="AW174" s="23">
        <f>EXP(-LN(2)/2)*AW173+(1-EXP(-LN(2)/2))/(LN(2)/2)*AQ174*AT174*VLOOKUP('Données projet'!$B$10,Paramètres!$A$1:$I$89,3,0)*0.475*44/12</f>
        <v>2.6094368863754459E-20</v>
      </c>
      <c r="AX174" s="23">
        <f t="shared" si="166"/>
        <v>4.1485056464521595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-1.1368683772161603E-13</v>
      </c>
      <c r="BE174" s="14">
        <f>BD174*VLOOKUP('Données projet'!$B$11,Paramètres!$A$1:$I$89,3,0)*VLOOKUP('Données projet'!$B$11,Paramètres!$A$1:$I$89,5,0)</f>
        <v>-9.9316821433603781E-14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236.12531905695994</v>
      </c>
      <c r="BJ174" s="62">
        <f t="shared" si="146"/>
        <v>270.64539221029258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2">
        <f t="shared" si="140"/>
        <v>27.641281046809208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70">
        <f t="shared" si="110"/>
        <v>520.61609782319238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151.58413719376074</v>
      </c>
      <c r="T175" s="62">
        <f t="shared" si="142"/>
        <v>310.105543138185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5.9353399323879898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1.1264900551700634E-19</v>
      </c>
      <c r="AC175" s="24">
        <f t="shared" si="163"/>
        <v>5.9353399323879898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1.1368683772161603E-13</v>
      </c>
      <c r="AJ175" s="14">
        <f>AI175*VLOOKUP('Données projet'!$B$10,Paramètres!$A$1:$I$89,3,0)*VLOOKUP('Données projet'!$B$10,Paramètres!$A$1:$I$89,5,0)</f>
        <v>6.7984728957526396E-14</v>
      </c>
      <c r="AK175" s="14">
        <f t="shared" si="164"/>
        <v>1.0682447123141398E-12</v>
      </c>
      <c r="AL175" s="22">
        <f t="shared" si="165"/>
        <v>1.978932943548152E-12</v>
      </c>
      <c r="AM175" s="62">
        <f t="shared" si="113"/>
        <v>293.3333333333353</v>
      </c>
      <c r="AN175" s="62">
        <f ca="1">AVERAGE(OFFSET($AM$3,0,0,'Données projet'!$E$10+1,1))-AVERAGE(OFFSET($H$3,0,0,'Données projet'!$E$10+1,1))</f>
        <v>147.72913422715322</v>
      </c>
      <c r="AO175" s="62">
        <f t="shared" si="144"/>
        <v>361.07991692964799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3.2031094434440726</v>
      </c>
      <c r="AV175" s="23">
        <f>EXP(-LN(2)/25)*AV174+(1-EXP(-LN(2)/25))/(LN(2)/25)*Calculateur!AQ175*Calculateur!AS175*VLOOKUP('Données projet'!$B$10,Paramètres!$A$1:$I$89,3,0)*0.475*44/12</f>
        <v>0.85722887499089484</v>
      </c>
      <c r="AW175" s="23">
        <f>EXP(-LN(2)/2)*AW174+(1-EXP(-LN(2)/2))/(LN(2)/2)*AQ175*AT175*VLOOKUP('Données projet'!$B$10,Paramètres!$A$1:$I$89,3,0)*0.475*44/12</f>
        <v>1.8451505174343883E-20</v>
      </c>
      <c r="AX175" s="23">
        <f t="shared" si="166"/>
        <v>4.0603383184349671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-1.1368683772161603E-13</v>
      </c>
      <c r="BE175" s="14">
        <f>BD175*VLOOKUP('Données projet'!$B$11,Paramètres!$A$1:$I$89,3,0)*VLOOKUP('Données projet'!$B$11,Paramètres!$A$1:$I$89,5,0)</f>
        <v>-9.9316821433603781E-14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236.12531905695994</v>
      </c>
      <c r="BJ175" s="62">
        <f t="shared" si="146"/>
        <v>270.64539221029258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2">
        <f t="shared" si="140"/>
        <v>27.783232148054115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70">
        <f t="shared" si="110"/>
        <v>521.90484599119395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151.58413719376074</v>
      </c>
      <c r="T176" s="62">
        <f t="shared" si="142"/>
        <v>310.105543138185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5.8189515365137554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7.965487569499599E-20</v>
      </c>
      <c r="AC176" s="24">
        <f t="shared" si="163"/>
        <v>5.8189515365137554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1.1368683772161603E-13</v>
      </c>
      <c r="AJ176" s="14">
        <f>AI176*VLOOKUP('Données projet'!$B$10,Paramètres!$A$1:$I$89,3,0)*VLOOKUP('Données projet'!$B$10,Paramètres!$A$1:$I$89,5,0)</f>
        <v>6.7984728957526396E-14</v>
      </c>
      <c r="AK176" s="14">
        <f t="shared" si="164"/>
        <v>1.0682447123141398E-12</v>
      </c>
      <c r="AL176" s="22">
        <f t="shared" si="165"/>
        <v>1.978932943548152E-12</v>
      </c>
      <c r="AM176" s="62">
        <f t="shared" si="113"/>
        <v>293.3333333333353</v>
      </c>
      <c r="AN176" s="62">
        <f ca="1">AVERAGE(OFFSET($AM$3,0,0,'Données projet'!$E$10+1,1))-AVERAGE(OFFSET($H$3,0,0,'Données projet'!$E$10+1,1))</f>
        <v>147.72913422715322</v>
      </c>
      <c r="AO176" s="62">
        <f t="shared" si="144"/>
        <v>361.07991692964799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3.1402984209619826</v>
      </c>
      <c r="AV176" s="23">
        <f>EXP(-LN(2)/25)*AV175+(1-EXP(-LN(2)/25))/(LN(2)/25)*Calculateur!AQ176*Calculateur!AS176*VLOOKUP('Données projet'!$B$10,Paramètres!$A$1:$I$89,3,0)*0.475*44/12</f>
        <v>0.83378790632456146</v>
      </c>
      <c r="AW176" s="23">
        <f>EXP(-LN(2)/2)*AW175+(1-EXP(-LN(2)/2))/(LN(2)/2)*AQ176*AT176*VLOOKUP('Données projet'!$B$10,Paramètres!$A$1:$I$89,3,0)*0.475*44/12</f>
        <v>1.3047184431877229E-20</v>
      </c>
      <c r="AX176" s="23">
        <f t="shared" si="166"/>
        <v>3.9740863272865443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-1.1368683772161603E-13</v>
      </c>
      <c r="BE176" s="14">
        <f>BD176*VLOOKUP('Données projet'!$B$11,Paramètres!$A$1:$I$89,3,0)*VLOOKUP('Données projet'!$B$11,Paramètres!$A$1:$I$89,5,0)</f>
        <v>-9.9316821433603781E-14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236.12531905695994</v>
      </c>
      <c r="BJ176" s="62">
        <f t="shared" si="146"/>
        <v>270.64539221029258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2">
        <f t="shared" si="140"/>
        <v>27.925087771564392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70">
        <f t="shared" si="110"/>
        <v>523.1934278688077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151.58413719376074</v>
      </c>
      <c r="T177" s="62">
        <f t="shared" si="142"/>
        <v>310.105543138185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5.7048454460927029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5.6324502758503171E-20</v>
      </c>
      <c r="AC177" s="24">
        <f t="shared" si="163"/>
        <v>5.7048454460927029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1.1368683772161603E-13</v>
      </c>
      <c r="AJ177" s="14">
        <f>AI177*VLOOKUP('Données projet'!$B$10,Paramètres!$A$1:$I$89,3,0)*VLOOKUP('Données projet'!$B$10,Paramètres!$A$1:$I$89,5,0)</f>
        <v>6.7984728957526396E-14</v>
      </c>
      <c r="AK177" s="14">
        <f t="shared" si="164"/>
        <v>1.0682447123141398E-12</v>
      </c>
      <c r="AL177" s="22">
        <f t="shared" si="165"/>
        <v>1.978932943548152E-12</v>
      </c>
      <c r="AM177" s="62">
        <f t="shared" si="113"/>
        <v>293.3333333333353</v>
      </c>
      <c r="AN177" s="62">
        <f ca="1">AVERAGE(OFFSET($AM$3,0,0,'Données projet'!$E$10+1,1))-AVERAGE(OFFSET($H$3,0,0,'Données projet'!$E$10+1,1))</f>
        <v>147.72913422715322</v>
      </c>
      <c r="AO177" s="62">
        <f t="shared" si="144"/>
        <v>361.07991692964799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3.0787190843198258</v>
      </c>
      <c r="AV177" s="23">
        <f>EXP(-LN(2)/25)*AV176+(1-EXP(-LN(2)/25))/(LN(2)/25)*Calculateur!AQ177*Calculateur!AS177*VLOOKUP('Données projet'!$B$10,Paramètres!$A$1:$I$89,3,0)*0.475*44/12</f>
        <v>0.81098793217911602</v>
      </c>
      <c r="AW177" s="23">
        <f>EXP(-LN(2)/2)*AW176+(1-EXP(-LN(2)/2))/(LN(2)/2)*AQ177*AT177*VLOOKUP('Données projet'!$B$10,Paramètres!$A$1:$I$89,3,0)*0.475*44/12</f>
        <v>9.2257525871719414E-21</v>
      </c>
      <c r="AX177" s="23">
        <f t="shared" si="166"/>
        <v>3.8897070164989418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-1.1368683772161603E-13</v>
      </c>
      <c r="BE177" s="14">
        <f>BD177*VLOOKUP('Données projet'!$B$11,Paramètres!$A$1:$I$89,3,0)*VLOOKUP('Données projet'!$B$11,Paramètres!$A$1:$I$89,5,0)</f>
        <v>-9.9316821433603781E-14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236.12531905695994</v>
      </c>
      <c r="BJ177" s="62">
        <f t="shared" si="146"/>
        <v>270.64539221029258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2">
        <f t="shared" si="140"/>
        <v>28.066848529735836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70">
        <f t="shared" si="110"/>
        <v>524.48184452262296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151.58413719376074</v>
      </c>
      <c r="T178" s="62">
        <f t="shared" si="142"/>
        <v>310.105543138185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5.5929769065069639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3.9827437847497995E-20</v>
      </c>
      <c r="AC178" s="24">
        <f t="shared" si="163"/>
        <v>5.5929769065069639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1.1368683772161603E-13</v>
      </c>
      <c r="AJ178" s="14">
        <f>AI178*VLOOKUP('Données projet'!$B$10,Paramètres!$A$1:$I$89,3,0)*VLOOKUP('Données projet'!$B$10,Paramètres!$A$1:$I$89,5,0)</f>
        <v>6.7984728957526396E-14</v>
      </c>
      <c r="AK178" s="14">
        <f t="shared" si="164"/>
        <v>1.0682447123141398E-12</v>
      </c>
      <c r="AL178" s="22">
        <f t="shared" si="165"/>
        <v>1.978932943548152E-12</v>
      </c>
      <c r="AM178" s="62">
        <f t="shared" si="113"/>
        <v>293.3333333333353</v>
      </c>
      <c r="AN178" s="62">
        <f ca="1">AVERAGE(OFFSET($AM$3,0,0,'Données projet'!$E$10+1,1))-AVERAGE(OFFSET($H$3,0,0,'Données projet'!$E$10+1,1))</f>
        <v>147.72913422715322</v>
      </c>
      <c r="AO178" s="62">
        <f t="shared" si="144"/>
        <v>361.07991692964799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3.0183472809095346</v>
      </c>
      <c r="AV178" s="23">
        <f>EXP(-LN(2)/25)*AV177+(1-EXP(-LN(2)/25))/(LN(2)/25)*Calculateur!AQ178*Calculateur!AS178*VLOOKUP('Données projet'!$B$10,Paramètres!$A$1:$I$89,3,0)*0.475*44/12</f>
        <v>0.78881142452567632</v>
      </c>
      <c r="AW178" s="23">
        <f>EXP(-LN(2)/2)*AW177+(1-EXP(-LN(2)/2))/(LN(2)/2)*AQ178*AT178*VLOOKUP('Données projet'!$B$10,Paramètres!$A$1:$I$89,3,0)*0.475*44/12</f>
        <v>6.5235922159386147E-21</v>
      </c>
      <c r="AX178" s="23">
        <f t="shared" si="166"/>
        <v>3.807158705435211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-1.1368683772161603E-13</v>
      </c>
      <c r="BE178" s="14">
        <f>BD178*VLOOKUP('Données projet'!$B$11,Paramètres!$A$1:$I$89,3,0)*VLOOKUP('Données projet'!$B$11,Paramètres!$A$1:$I$89,5,0)</f>
        <v>-9.9316821433603781E-14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236.12531905695994</v>
      </c>
      <c r="BJ178" s="62">
        <f t="shared" si="146"/>
        <v>270.64539221029258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2">
        <f t="shared" si="140"/>
        <v>28.208515027560498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70">
        <f t="shared" si="110"/>
        <v>525.77009700633425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151.58413719376074</v>
      </c>
      <c r="T179" s="62">
        <f t="shared" si="142"/>
        <v>310.105543138185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5.4833020407494297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2.8162251379251586E-20</v>
      </c>
      <c r="AC179" s="24">
        <f t="shared" si="163"/>
        <v>5.4833020407494297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1.1368683772161603E-13</v>
      </c>
      <c r="AJ179" s="14">
        <f>AI179*VLOOKUP('Données projet'!$B$10,Paramètres!$A$1:$I$89,3,0)*VLOOKUP('Données projet'!$B$10,Paramètres!$A$1:$I$89,5,0)</f>
        <v>6.7984728957526396E-14</v>
      </c>
      <c r="AK179" s="14">
        <f t="shared" si="164"/>
        <v>1.0682447123141398E-12</v>
      </c>
      <c r="AL179" s="22">
        <f t="shared" si="165"/>
        <v>1.978932943548152E-12</v>
      </c>
      <c r="AM179" s="62">
        <f t="shared" si="113"/>
        <v>293.3333333333353</v>
      </c>
      <c r="AN179" s="62">
        <f ca="1">AVERAGE(OFFSET($AM$3,0,0,'Données projet'!$E$10+1,1))-AVERAGE(OFFSET($H$3,0,0,'Données projet'!$E$10+1,1))</f>
        <v>147.72913422715322</v>
      </c>
      <c r="AO179" s="62">
        <f t="shared" si="144"/>
        <v>361.07991692964799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2.9591593317409552</v>
      </c>
      <c r="AV179" s="23">
        <f>EXP(-LN(2)/25)*AV178+(1-EXP(-LN(2)/25))/(LN(2)/25)*Calculateur!AQ179*Calculateur!AS179*VLOOKUP('Données projet'!$B$10,Paramètres!$A$1:$I$89,3,0)*0.475*44/12</f>
        <v>0.7672413346402317</v>
      </c>
      <c r="AW179" s="23">
        <f>EXP(-LN(2)/2)*AW178+(1-EXP(-LN(2)/2))/(LN(2)/2)*AQ179*AT179*VLOOKUP('Données projet'!$B$10,Paramètres!$A$1:$I$89,3,0)*0.475*44/12</f>
        <v>4.6128762935859707E-21</v>
      </c>
      <c r="AX179" s="23">
        <f t="shared" si="166"/>
        <v>3.7264006663811871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-1.1368683772161603E-13</v>
      </c>
      <c r="BE179" s="14">
        <f>BD179*VLOOKUP('Données projet'!$B$11,Paramètres!$A$1:$I$89,3,0)*VLOOKUP('Données projet'!$B$11,Paramètres!$A$1:$I$89,5,0)</f>
        <v>-9.9316821433603781E-14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236.12531905695994</v>
      </c>
      <c r="BJ179" s="62">
        <f t="shared" si="146"/>
        <v>270.64539221029258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2">
        <f t="shared" si="140"/>
        <v>28.350087862757654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70">
        <f t="shared" si="110"/>
        <v>527.05818636096933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151.58413719376074</v>
      </c>
      <c r="T180" s="62">
        <f t="shared" si="142"/>
        <v>310.105543138185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5.3757778322143377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1.9913718923748998E-20</v>
      </c>
      <c r="AC180" s="24">
        <f t="shared" si="163"/>
        <v>5.3757778322143377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1.1368683772161603E-13</v>
      </c>
      <c r="AJ180" s="14">
        <f>AI180*VLOOKUP('Données projet'!$B$10,Paramètres!$A$1:$I$89,3,0)*VLOOKUP('Données projet'!$B$10,Paramètres!$A$1:$I$89,5,0)</f>
        <v>6.7984728957526396E-14</v>
      </c>
      <c r="AK180" s="14">
        <f t="shared" si="164"/>
        <v>1.0682447123141398E-12</v>
      </c>
      <c r="AL180" s="22">
        <f t="shared" si="165"/>
        <v>1.978932943548152E-12</v>
      </c>
      <c r="AM180" s="62">
        <f t="shared" si="113"/>
        <v>293.3333333333353</v>
      </c>
      <c r="AN180" s="62">
        <f ca="1">AVERAGE(OFFSET($AM$3,0,0,'Données projet'!$E$10+1,1))-AVERAGE(OFFSET($H$3,0,0,'Données projet'!$E$10+1,1))</f>
        <v>147.72913422715322</v>
      </c>
      <c r="AO180" s="62">
        <f t="shared" si="144"/>
        <v>361.07991692964799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2.9011320221544876</v>
      </c>
      <c r="AV180" s="23">
        <f>EXP(-LN(2)/25)*AV179+(1-EXP(-LN(2)/25))/(LN(2)/25)*Calculateur!AQ180*Calculateur!AS180*VLOOKUP('Données projet'!$B$10,Paramètres!$A$1:$I$89,3,0)*0.475*44/12</f>
        <v>0.74626107999702629</v>
      </c>
      <c r="AW180" s="23">
        <f>EXP(-LN(2)/2)*AW179+(1-EXP(-LN(2)/2))/(LN(2)/2)*AQ180*AT180*VLOOKUP('Données projet'!$B$10,Paramètres!$A$1:$I$89,3,0)*0.475*44/12</f>
        <v>3.2617961079693074E-21</v>
      </c>
      <c r="AX180" s="23">
        <f t="shared" si="166"/>
        <v>3.647393102151514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-1.1368683772161603E-13</v>
      </c>
      <c r="BE180" s="14">
        <f>BD180*VLOOKUP('Données projet'!$B$11,Paramètres!$A$1:$I$89,3,0)*VLOOKUP('Données projet'!$B$11,Paramètres!$A$1:$I$89,5,0)</f>
        <v>-9.9316821433603781E-14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236.12531905695994</v>
      </c>
      <c r="BJ180" s="62">
        <f t="shared" si="146"/>
        <v>270.64539221029258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2">
        <f t="shared" si="140"/>
        <v>28.491567625901897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70">
        <f t="shared" si="110"/>
        <v>528.34611361511224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151.58413719376074</v>
      </c>
      <c r="T181" s="62">
        <f t="shared" si="142"/>
        <v>310.105543138185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5.2703621078253278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1.4081125689625793E-20</v>
      </c>
      <c r="AC181" s="24">
        <f t="shared" si="163"/>
        <v>5.2703621078253278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1.1368683772161603E-13</v>
      </c>
      <c r="AJ181" s="14">
        <f>AI181*VLOOKUP('Données projet'!$B$10,Paramètres!$A$1:$I$89,3,0)*VLOOKUP('Données projet'!$B$10,Paramètres!$A$1:$I$89,5,0)</f>
        <v>6.7984728957526396E-14</v>
      </c>
      <c r="AK181" s="14">
        <f t="shared" si="164"/>
        <v>1.0682447123141398E-12</v>
      </c>
      <c r="AL181" s="22">
        <f t="shared" si="165"/>
        <v>1.978932943548152E-12</v>
      </c>
      <c r="AM181" s="62">
        <f t="shared" si="113"/>
        <v>293.3333333333353</v>
      </c>
      <c r="AN181" s="62">
        <f ca="1">AVERAGE(OFFSET($AM$3,0,0,'Données projet'!$E$10+1,1))-AVERAGE(OFFSET($H$3,0,0,'Données projet'!$E$10+1,1))</f>
        <v>147.72913422715322</v>
      </c>
      <c r="AO181" s="62">
        <f t="shared" si="144"/>
        <v>361.07991692964799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2.8442425927158466</v>
      </c>
      <c r="AV181" s="23">
        <f>EXP(-LN(2)/25)*AV180+(1-EXP(-LN(2)/25))/(LN(2)/25)*Calculateur!AQ181*Calculateur!AS181*VLOOKUP('Données projet'!$B$10,Paramètres!$A$1:$I$89,3,0)*0.475*44/12</f>
        <v>0.72585453152034296</v>
      </c>
      <c r="AW181" s="23">
        <f>EXP(-LN(2)/2)*AW180+(1-EXP(-LN(2)/2))/(LN(2)/2)*AQ181*AT181*VLOOKUP('Données projet'!$B$10,Paramètres!$A$1:$I$89,3,0)*0.475*44/12</f>
        <v>2.3064381467929853E-21</v>
      </c>
      <c r="AX181" s="23">
        <f t="shared" si="166"/>
        <v>3.5700971242361894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-1.1368683772161603E-13</v>
      </c>
      <c r="BE181" s="14">
        <f>BD181*VLOOKUP('Données projet'!$B$11,Paramètres!$A$1:$I$89,3,0)*VLOOKUP('Données projet'!$B$11,Paramètres!$A$1:$I$89,5,0)</f>
        <v>-9.9316821433603781E-14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236.12531905695994</v>
      </c>
      <c r="BJ181" s="62">
        <f t="shared" si="146"/>
        <v>270.64539221029258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2">
        <f t="shared" si="140"/>
        <v>28.632954900548057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70">
        <f t="shared" si="110"/>
        <v>529.63387978512094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151.58413719376074</v>
      </c>
      <c r="T182" s="62">
        <f t="shared" si="142"/>
        <v>310.105543138185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5.1670135214943436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9.9568594618744988E-21</v>
      </c>
      <c r="AC182" s="24">
        <f t="shared" si="163"/>
        <v>5.1670135214943436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1.1368683772161603E-13</v>
      </c>
      <c r="AJ182" s="14">
        <f>AI182*VLOOKUP('Données projet'!$B$10,Paramètres!$A$1:$I$89,3,0)*VLOOKUP('Données projet'!$B$10,Paramètres!$A$1:$I$89,5,0)</f>
        <v>6.7984728957526396E-14</v>
      </c>
      <c r="AK182" s="14">
        <f t="shared" si="164"/>
        <v>1.0682447123141398E-12</v>
      </c>
      <c r="AL182" s="22">
        <f t="shared" si="165"/>
        <v>1.978932943548152E-12</v>
      </c>
      <c r="AM182" s="62">
        <f t="shared" si="113"/>
        <v>293.3333333333353</v>
      </c>
      <c r="AN182" s="62">
        <f ca="1">AVERAGE(OFFSET($AM$3,0,0,'Données projet'!$E$10+1,1))-AVERAGE(OFFSET($H$3,0,0,'Données projet'!$E$10+1,1))</f>
        <v>147.72913422715322</v>
      </c>
      <c r="AO182" s="62">
        <f t="shared" si="144"/>
        <v>361.07991692964799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2.7884687302893716</v>
      </c>
      <c r="AV182" s="23">
        <f>EXP(-LN(2)/25)*AV181+(1-EXP(-LN(2)/25))/(LN(2)/25)*Calculateur!AQ182*Calculateur!AS182*VLOOKUP('Données projet'!$B$10,Paramètres!$A$1:$I$89,3,0)*0.475*44/12</f>
        <v>0.70600600118488832</v>
      </c>
      <c r="AW182" s="23">
        <f>EXP(-LN(2)/2)*AW181+(1-EXP(-LN(2)/2))/(LN(2)/2)*AQ182*AT182*VLOOKUP('Données projet'!$B$10,Paramètres!$A$1:$I$89,3,0)*0.475*44/12</f>
        <v>1.6308980539846537E-21</v>
      </c>
      <c r="AX182" s="23">
        <f t="shared" si="166"/>
        <v>3.4944747314742601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-1.1368683772161603E-13</v>
      </c>
      <c r="BE182" s="14">
        <f>BD182*VLOOKUP('Données projet'!$B$11,Paramètres!$A$1:$I$89,3,0)*VLOOKUP('Données projet'!$B$11,Paramètres!$A$1:$I$89,5,0)</f>
        <v>-9.9316821433603781E-14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236.12531905695994</v>
      </c>
      <c r="BJ182" s="62">
        <f t="shared" si="146"/>
        <v>270.64539221029258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2">
        <f t="shared" si="140"/>
        <v>28.774250263353558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70">
        <f t="shared" si="110"/>
        <v>530.92148587534052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151.58413719376074</v>
      </c>
      <c r="T183" s="62">
        <f t="shared" si="142"/>
        <v>310.105543138185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5.0656915379048959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7.0405628448128964E-21</v>
      </c>
      <c r="AC183" s="24">
        <f t="shared" si="163"/>
        <v>5.0656915379048959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1.1368683772161603E-13</v>
      </c>
      <c r="AJ183" s="14">
        <f>AI183*VLOOKUP('Données projet'!$B$10,Paramètres!$A$1:$I$89,3,0)*VLOOKUP('Données projet'!$B$10,Paramètres!$A$1:$I$89,5,0)</f>
        <v>6.7984728957526396E-14</v>
      </c>
      <c r="AK183" s="14">
        <f t="shared" si="164"/>
        <v>1.0682447123141398E-12</v>
      </c>
      <c r="AL183" s="22">
        <f t="shared" si="165"/>
        <v>1.978932943548152E-12</v>
      </c>
      <c r="AM183" s="62">
        <f t="shared" si="113"/>
        <v>293.3333333333353</v>
      </c>
      <c r="AN183" s="62">
        <f ca="1">AVERAGE(OFFSET($AM$3,0,0,'Données projet'!$E$10+1,1))-AVERAGE(OFFSET($H$3,0,0,'Données projet'!$E$10+1,1))</f>
        <v>147.72913422715322</v>
      </c>
      <c r="AO183" s="62">
        <f t="shared" si="144"/>
        <v>361.07991692964799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2.7337885592863826</v>
      </c>
      <c r="AV183" s="23">
        <f>EXP(-LN(2)/25)*AV182+(1-EXP(-LN(2)/25))/(LN(2)/25)*Calculateur!AQ183*Calculateur!AS183*VLOOKUP('Données projet'!$B$10,Paramètres!$A$1:$I$89,3,0)*0.475*44/12</f>
        <v>0.6867002299552456</v>
      </c>
      <c r="AW183" s="23">
        <f>EXP(-LN(2)/2)*AW182+(1-EXP(-LN(2)/2))/(LN(2)/2)*AQ183*AT183*VLOOKUP('Données projet'!$B$10,Paramètres!$A$1:$I$89,3,0)*0.475*44/12</f>
        <v>1.1532190733964927E-21</v>
      </c>
      <c r="AX183" s="23">
        <f t="shared" si="166"/>
        <v>3.4204887892416282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-1.1368683772161603E-13</v>
      </c>
      <c r="BE183" s="14">
        <f>BD183*VLOOKUP('Données projet'!$B$11,Paramètres!$A$1:$I$89,3,0)*VLOOKUP('Données projet'!$B$11,Paramètres!$A$1:$I$89,5,0)</f>
        <v>-9.9316821433603781E-14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236.12531905695994</v>
      </c>
      <c r="BJ183" s="62">
        <f t="shared" si="146"/>
        <v>270.64539221029258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2">
        <f t="shared" si="140"/>
        <v>28.915454284197654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70">
        <f t="shared" si="110"/>
        <v>532.20893287831063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151.58413719376074</v>
      </c>
      <c r="T184" s="62">
        <f t="shared" si="142"/>
        <v>310.105543138185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4.9663564166133298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4.9784297309372494E-21</v>
      </c>
      <c r="AC184" s="24">
        <f t="shared" si="163"/>
        <v>4.9663564166133298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1.1368683772161603E-13</v>
      </c>
      <c r="AJ184" s="14">
        <f>AI184*VLOOKUP('Données projet'!$B$10,Paramètres!$A$1:$I$89,3,0)*VLOOKUP('Données projet'!$B$10,Paramètres!$A$1:$I$89,5,0)</f>
        <v>6.7984728957526396E-14</v>
      </c>
      <c r="AK184" s="14">
        <f t="shared" si="164"/>
        <v>1.0682447123141398E-12</v>
      </c>
      <c r="AL184" s="22">
        <f t="shared" si="165"/>
        <v>1.978932943548152E-12</v>
      </c>
      <c r="AM184" s="62">
        <f t="shared" si="113"/>
        <v>293.3333333333353</v>
      </c>
      <c r="AN184" s="62">
        <f ca="1">AVERAGE(OFFSET($AM$3,0,0,'Données projet'!$E$10+1,1))-AVERAGE(OFFSET($H$3,0,0,'Données projet'!$E$10+1,1))</f>
        <v>147.72913422715322</v>
      </c>
      <c r="AO184" s="62">
        <f t="shared" si="144"/>
        <v>361.07991692964799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2.680180633085151</v>
      </c>
      <c r="AV184" s="23">
        <f>EXP(-LN(2)/25)*AV183+(1-EXP(-LN(2)/25))/(LN(2)/25)*Calculateur!AQ184*Calculateur!AS184*VLOOKUP('Données projet'!$B$10,Paramètres!$A$1:$I$89,3,0)*0.475*44/12</f>
        <v>0.66792237605512383</v>
      </c>
      <c r="AW184" s="23">
        <f>EXP(-LN(2)/2)*AW183+(1-EXP(-LN(2)/2))/(LN(2)/2)*AQ184*AT184*VLOOKUP('Données projet'!$B$10,Paramètres!$A$1:$I$89,3,0)*0.475*44/12</f>
        <v>8.1544902699232684E-22</v>
      </c>
      <c r="AX184" s="23">
        <f t="shared" si="166"/>
        <v>3.3481030091402748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-1.1368683772161603E-13</v>
      </c>
      <c r="BE184" s="14">
        <f>BD184*VLOOKUP('Données projet'!$B$11,Paramètres!$A$1:$I$89,3,0)*VLOOKUP('Données projet'!$B$11,Paramètres!$A$1:$I$89,5,0)</f>
        <v>-9.9316821433603781E-14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236.12531905695994</v>
      </c>
      <c r="BJ184" s="62">
        <f t="shared" si="146"/>
        <v>270.64539221029258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2">
        <f t="shared" si="140"/>
        <v>29.056567526298124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70">
        <f t="shared" si="110"/>
        <v>533.49622177496894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151.58413719376074</v>
      </c>
      <c r="T185" s="62">
        <f t="shared" si="142"/>
        <v>310.105543138185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4.8689691964618502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3.5202814224064482E-21</v>
      </c>
      <c r="AC185" s="24">
        <f t="shared" si="163"/>
        <v>4.8689691964618502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1.1368683772161603E-13</v>
      </c>
      <c r="AJ185" s="14">
        <f>AI185*VLOOKUP('Données projet'!$B$10,Paramètres!$A$1:$I$89,3,0)*VLOOKUP('Données projet'!$B$10,Paramètres!$A$1:$I$89,5,0)</f>
        <v>6.7984728957526396E-14</v>
      </c>
      <c r="AK185" s="14">
        <f t="shared" si="164"/>
        <v>1.0682447123141398E-12</v>
      </c>
      <c r="AL185" s="22">
        <f t="shared" si="165"/>
        <v>1.978932943548152E-12</v>
      </c>
      <c r="AM185" s="62">
        <f t="shared" si="113"/>
        <v>293.3333333333353</v>
      </c>
      <c r="AN185" s="62">
        <f ca="1">AVERAGE(OFFSET($AM$3,0,0,'Données projet'!$E$10+1,1))-AVERAGE(OFFSET($H$3,0,0,'Données projet'!$E$10+1,1))</f>
        <v>147.72913422715322</v>
      </c>
      <c r="AO185" s="62">
        <f t="shared" si="144"/>
        <v>361.07991692964799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2.6276239256191194</v>
      </c>
      <c r="AV185" s="23">
        <f>EXP(-LN(2)/25)*AV184+(1-EXP(-LN(2)/25))/(LN(2)/25)*Calculateur!AQ185*Calculateur!AS185*VLOOKUP('Données projet'!$B$10,Paramètres!$A$1:$I$89,3,0)*0.475*44/12</f>
        <v>0.64965800355738523</v>
      </c>
      <c r="AW185" s="23">
        <f>EXP(-LN(2)/2)*AW184+(1-EXP(-LN(2)/2))/(LN(2)/2)*AQ185*AT185*VLOOKUP('Données projet'!$B$10,Paramètres!$A$1:$I$89,3,0)*0.475*44/12</f>
        <v>5.7660953669824634E-22</v>
      </c>
      <c r="AX185" s="23">
        <f t="shared" si="166"/>
        <v>3.2772819291765045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-1.1368683772161603E-13</v>
      </c>
      <c r="BE185" s="14">
        <f>BD185*VLOOKUP('Données projet'!$B$11,Paramètres!$A$1:$I$89,3,0)*VLOOKUP('Données projet'!$B$11,Paramètres!$A$1:$I$89,5,0)</f>
        <v>-9.9316821433603781E-14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236.12531905695994</v>
      </c>
      <c r="BJ185" s="62">
        <f t="shared" si="146"/>
        <v>270.64539221029258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2">
        <f t="shared" si="140"/>
        <v>29.197590546325394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70">
        <f t="shared" si="110"/>
        <v>534.78335353484977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151.58413719376074</v>
      </c>
      <c r="T186" s="62">
        <f t="shared" si="142"/>
        <v>310.105543138185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4.7734916802972016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2.4892148654686247E-21</v>
      </c>
      <c r="AC186" s="24">
        <f t="shared" si="163"/>
        <v>4.7734916802972016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1.1368683772161603E-13</v>
      </c>
      <c r="AJ186" s="14">
        <f>AI186*VLOOKUP('Données projet'!$B$10,Paramètres!$A$1:$I$89,3,0)*VLOOKUP('Données projet'!$B$10,Paramètres!$A$1:$I$89,5,0)</f>
        <v>6.7984728957526396E-14</v>
      </c>
      <c r="AK186" s="14">
        <f t="shared" si="164"/>
        <v>1.0682447123141398E-12</v>
      </c>
      <c r="AL186" s="22">
        <f t="shared" si="165"/>
        <v>1.978932943548152E-12</v>
      </c>
      <c r="AM186" s="62">
        <f t="shared" si="113"/>
        <v>293.3333333333353</v>
      </c>
      <c r="AN186" s="62">
        <f ca="1">AVERAGE(OFFSET($AM$3,0,0,'Données projet'!$E$10+1,1))-AVERAGE(OFFSET($H$3,0,0,'Données projet'!$E$10+1,1))</f>
        <v>147.72913422715322</v>
      </c>
      <c r="AO186" s="62">
        <f t="shared" si="144"/>
        <v>361.07991692964799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2.5760978231300702</v>
      </c>
      <c r="AV186" s="23">
        <f>EXP(-LN(2)/25)*AV185+(1-EXP(-LN(2)/25))/(LN(2)/25)*Calculateur!AQ186*Calculateur!AS186*VLOOKUP('Données projet'!$B$10,Paramètres!$A$1:$I$89,3,0)*0.475*44/12</f>
        <v>0.63189307128607897</v>
      </c>
      <c r="AW186" s="23">
        <f>EXP(-LN(2)/2)*AW185+(1-EXP(-LN(2)/2))/(LN(2)/2)*AQ186*AT186*VLOOKUP('Données projet'!$B$10,Paramètres!$A$1:$I$89,3,0)*0.475*44/12</f>
        <v>4.0772451349616342E-22</v>
      </c>
      <c r="AX186" s="23">
        <f t="shared" si="166"/>
        <v>3.2079908944161493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-1.1368683772161603E-13</v>
      </c>
      <c r="BE186" s="14">
        <f>BD186*VLOOKUP('Données projet'!$B$11,Paramètres!$A$1:$I$89,3,0)*VLOOKUP('Données projet'!$B$11,Paramètres!$A$1:$I$89,5,0)</f>
        <v>-9.9316821433603781E-14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236.12531905695994</v>
      </c>
      <c r="BJ186" s="62">
        <f t="shared" si="146"/>
        <v>270.64539221029258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2">
        <f t="shared" si="140"/>
        <v>29.338523894513862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70">
        <f t="shared" si="110"/>
        <v>536.07032911627812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151.58413719376074</v>
      </c>
      <c r="T187" s="62">
        <f t="shared" si="142"/>
        <v>310.105543138185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4.6798864199890078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1.7601407112032241E-21</v>
      </c>
      <c r="AC187" s="24">
        <f t="shared" si="163"/>
        <v>4.6798864199890078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1.1368683772161603E-13</v>
      </c>
      <c r="AJ187" s="14">
        <f>AI187*VLOOKUP('Données projet'!$B$10,Paramètres!$A$1:$I$89,3,0)*VLOOKUP('Données projet'!$B$10,Paramètres!$A$1:$I$89,5,0)</f>
        <v>6.7984728957526396E-14</v>
      </c>
      <c r="AK187" s="14">
        <f t="shared" si="164"/>
        <v>1.0682447123141398E-12</v>
      </c>
      <c r="AL187" s="22">
        <f t="shared" si="165"/>
        <v>1.978932943548152E-12</v>
      </c>
      <c r="AM187" s="62">
        <f t="shared" si="113"/>
        <v>293.3333333333353</v>
      </c>
      <c r="AN187" s="62">
        <f ca="1">AVERAGE(OFFSET($AM$3,0,0,'Données projet'!$E$10+1,1))-AVERAGE(OFFSET($H$3,0,0,'Données projet'!$E$10+1,1))</f>
        <v>147.72913422715322</v>
      </c>
      <c r="AO187" s="62">
        <f t="shared" si="144"/>
        <v>361.07991692964799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2.5255821160830121</v>
      </c>
      <c r="AV187" s="23">
        <f>EXP(-LN(2)/25)*AV186+(1-EXP(-LN(2)/25))/(LN(2)/25)*Calculateur!AQ187*Calculateur!AS187*VLOOKUP('Données projet'!$B$10,Paramètres!$A$1:$I$89,3,0)*0.475*44/12</f>
        <v>0.61461392202194876</v>
      </c>
      <c r="AW187" s="23">
        <f>EXP(-LN(2)/2)*AW186+(1-EXP(-LN(2)/2))/(LN(2)/2)*AQ187*AT187*VLOOKUP('Données projet'!$B$10,Paramètres!$A$1:$I$89,3,0)*0.475*44/12</f>
        <v>2.8830476834912317E-22</v>
      </c>
      <c r="AX187" s="23">
        <f t="shared" si="166"/>
        <v>3.140196038104961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-1.1368683772161603E-13</v>
      </c>
      <c r="BE187" s="14">
        <f>BD187*VLOOKUP('Données projet'!$B$11,Paramètres!$A$1:$I$89,3,0)*VLOOKUP('Données projet'!$B$11,Paramètres!$A$1:$I$89,5,0)</f>
        <v>-9.9316821433603781E-14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236.12531905695994</v>
      </c>
      <c r="BJ187" s="62">
        <f t="shared" si="146"/>
        <v>270.64539221029258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2">
        <f t="shared" si="140"/>
        <v>29.479368114770981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70">
        <f t="shared" si="110"/>
        <v>537.35714946655912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151.58413719376074</v>
      </c>
      <c r="T188" s="62">
        <f t="shared" si="142"/>
        <v>310.105543138185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4.5881167017418862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1.2446074327343123E-21</v>
      </c>
      <c r="AC188" s="24">
        <f t="shared" si="163"/>
        <v>4.5881167017418862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1.1368683772161603E-13</v>
      </c>
      <c r="AJ188" s="14">
        <f>AI188*VLOOKUP('Données projet'!$B$10,Paramètres!$A$1:$I$89,3,0)*VLOOKUP('Données projet'!$B$10,Paramètres!$A$1:$I$89,5,0)</f>
        <v>6.7984728957526396E-14</v>
      </c>
      <c r="AK188" s="14">
        <f t="shared" si="164"/>
        <v>1.0682447123141398E-12</v>
      </c>
      <c r="AL188" s="22">
        <f t="shared" si="165"/>
        <v>1.978932943548152E-12</v>
      </c>
      <c r="AM188" s="62">
        <f t="shared" si="113"/>
        <v>293.3333333333353</v>
      </c>
      <c r="AN188" s="62">
        <f ca="1">AVERAGE(OFFSET($AM$3,0,0,'Données projet'!$E$10+1,1))-AVERAGE(OFFSET($H$3,0,0,'Données projet'!$E$10+1,1))</f>
        <v>147.72913422715322</v>
      </c>
      <c r="AO188" s="62">
        <f t="shared" si="144"/>
        <v>361.07991692964799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2.476056991239608</v>
      </c>
      <c r="AV188" s="23">
        <f>EXP(-LN(2)/25)*AV187+(1-EXP(-LN(2)/25))/(LN(2)/25)*Calculateur!AQ188*Calculateur!AS188*VLOOKUP('Données projet'!$B$10,Paramètres!$A$1:$I$89,3,0)*0.475*44/12</f>
        <v>0.59780727200311712</v>
      </c>
      <c r="AW188" s="23">
        <f>EXP(-LN(2)/2)*AW187+(1-EXP(-LN(2)/2))/(LN(2)/2)*AQ188*AT188*VLOOKUP('Données projet'!$B$10,Paramètres!$A$1:$I$89,3,0)*0.475*44/12</f>
        <v>2.0386225674808171E-22</v>
      </c>
      <c r="AX188" s="23">
        <f t="shared" si="166"/>
        <v>3.0738642632427249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-1.1368683772161603E-13</v>
      </c>
      <c r="BE188" s="14">
        <f>BD188*VLOOKUP('Données projet'!$B$11,Paramètres!$A$1:$I$89,3,0)*VLOOKUP('Données projet'!$B$11,Paramètres!$A$1:$I$89,5,0)</f>
        <v>-9.9316821433603781E-14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236.12531905695994</v>
      </c>
      <c r="BJ188" s="62">
        <f t="shared" si="146"/>
        <v>270.64539221029258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2">
        <f t="shared" si="140"/>
        <v>29.620123744783776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70">
        <f t="shared" si="110"/>
        <v>538.6438155221648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151.58413719376074</v>
      </c>
      <c r="T189" s="62">
        <f t="shared" si="142"/>
        <v>310.105543138185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4.4981465316955891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8.8007035560161205E-22</v>
      </c>
      <c r="AC189" s="24">
        <f t="shared" si="163"/>
        <v>4.4981465316955891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1.1368683772161603E-13</v>
      </c>
      <c r="AJ189" s="14">
        <f>AI189*VLOOKUP('Données projet'!$B$10,Paramètres!$A$1:$I$89,3,0)*VLOOKUP('Données projet'!$B$10,Paramètres!$A$1:$I$89,5,0)</f>
        <v>6.7984728957526396E-14</v>
      </c>
      <c r="AK189" s="14">
        <f t="shared" si="164"/>
        <v>1.0682447123141398E-12</v>
      </c>
      <c r="AL189" s="22">
        <f t="shared" si="165"/>
        <v>1.978932943548152E-12</v>
      </c>
      <c r="AM189" s="62">
        <f t="shared" si="113"/>
        <v>293.3333333333353</v>
      </c>
      <c r="AN189" s="62">
        <f ca="1">AVERAGE(OFFSET($AM$3,0,0,'Données projet'!$E$10+1,1))-AVERAGE(OFFSET($H$3,0,0,'Données projet'!$E$10+1,1))</f>
        <v>147.72913422715322</v>
      </c>
      <c r="AO189" s="62">
        <f t="shared" si="144"/>
        <v>361.07991692964799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2.4275030238870396</v>
      </c>
      <c r="AV189" s="23">
        <f>EXP(-LN(2)/25)*AV188+(1-EXP(-LN(2)/25))/(LN(2)/25)*Calculateur!AQ189*Calculateur!AS189*VLOOKUP('Données projet'!$B$10,Paramètres!$A$1:$I$89,3,0)*0.475*44/12</f>
        <v>0.58146020071287374</v>
      </c>
      <c r="AW189" s="23">
        <f>EXP(-LN(2)/2)*AW188+(1-EXP(-LN(2)/2))/(LN(2)/2)*AQ189*AT189*VLOOKUP('Données projet'!$B$10,Paramètres!$A$1:$I$89,3,0)*0.475*44/12</f>
        <v>1.4415238417456158E-22</v>
      </c>
      <c r="AX189" s="23">
        <f t="shared" si="166"/>
        <v>3.0089632245999134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-1.1368683772161603E-13</v>
      </c>
      <c r="BE189" s="14">
        <f>BD189*VLOOKUP('Données projet'!$B$11,Paramètres!$A$1:$I$89,3,0)*VLOOKUP('Données projet'!$B$11,Paramètres!$A$1:$I$89,5,0)</f>
        <v>-9.9316821433603781E-14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236.12531905695994</v>
      </c>
      <c r="BJ189" s="62">
        <f t="shared" si="146"/>
        <v>270.64539221029258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2">
        <f t="shared" si="140"/>
        <v>29.760791316122987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70">
        <f t="shared" si="110"/>
        <v>539.93032820891392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151.58413719376074</v>
      </c>
      <c r="T190" s="62">
        <f t="shared" si="142"/>
        <v>310.105543138185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4.4099406218075154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6.2230371636715617E-22</v>
      </c>
      <c r="AC190" s="24">
        <f t="shared" si="163"/>
        <v>4.4099406218075154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1.1368683772161603E-13</v>
      </c>
      <c r="AJ190" s="14">
        <f>AI190*VLOOKUP('Données projet'!$B$10,Paramètres!$A$1:$I$89,3,0)*VLOOKUP('Données projet'!$B$10,Paramètres!$A$1:$I$89,5,0)</f>
        <v>6.7984728957526396E-14</v>
      </c>
      <c r="AK190" s="14">
        <f t="shared" si="164"/>
        <v>1.0682447123141398E-12</v>
      </c>
      <c r="AL190" s="22">
        <f t="shared" si="165"/>
        <v>1.978932943548152E-12</v>
      </c>
      <c r="AM190" s="62">
        <f t="shared" si="113"/>
        <v>293.3333333333353</v>
      </c>
      <c r="AN190" s="62">
        <f ca="1">AVERAGE(OFFSET($AM$3,0,0,'Données projet'!$E$10+1,1))-AVERAGE(OFFSET($H$3,0,0,'Données projet'!$E$10+1,1))</f>
        <v>147.72913422715322</v>
      </c>
      <c r="AO190" s="62">
        <f t="shared" si="144"/>
        <v>361.07991692964799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2.3799011702192594</v>
      </c>
      <c r="AV190" s="23">
        <f>EXP(-LN(2)/25)*AV189+(1-EXP(-LN(2)/25))/(LN(2)/25)*Calculateur!AQ190*Calculateur!AS190*VLOOKUP('Données projet'!$B$10,Paramètres!$A$1:$I$89,3,0)*0.475*44/12</f>
        <v>0.56556014094671725</v>
      </c>
      <c r="AW190" s="23">
        <f>EXP(-LN(2)/2)*AW189+(1-EXP(-LN(2)/2))/(LN(2)/2)*AQ190*AT190*VLOOKUP('Données projet'!$B$10,Paramètres!$A$1:$I$89,3,0)*0.475*44/12</f>
        <v>1.0193112837404086E-22</v>
      </c>
      <c r="AX190" s="23">
        <f t="shared" si="166"/>
        <v>2.9454613111659764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-1.1368683772161603E-13</v>
      </c>
      <c r="BE190" s="14">
        <f>BD190*VLOOKUP('Données projet'!$B$11,Paramètres!$A$1:$I$89,3,0)*VLOOKUP('Données projet'!$B$11,Paramètres!$A$1:$I$89,5,0)</f>
        <v>-9.9316821433603781E-14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236.12531905695994</v>
      </c>
      <c r="BJ190" s="62">
        <f t="shared" si="146"/>
        <v>270.64539221029258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2">
        <f t="shared" si="140"/>
        <v>29.901371354345098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70">
        <f t="shared" si="110"/>
        <v>541.21668844215083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151.58413719376074</v>
      </c>
      <c r="T191" s="62">
        <f t="shared" si="142"/>
        <v>310.105543138185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4.3234643760120539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4.4003517780080603E-22</v>
      </c>
      <c r="AC191" s="24">
        <f t="shared" si="163"/>
        <v>4.3234643760120539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1.1368683772161603E-13</v>
      </c>
      <c r="AJ191" s="14">
        <f>AI191*VLOOKUP('Données projet'!$B$10,Paramètres!$A$1:$I$89,3,0)*VLOOKUP('Données projet'!$B$10,Paramètres!$A$1:$I$89,5,0)</f>
        <v>6.7984728957526396E-14</v>
      </c>
      <c r="AK191" s="14">
        <f t="shared" si="164"/>
        <v>1.0682447123141398E-12</v>
      </c>
      <c r="AL191" s="22">
        <f t="shared" si="165"/>
        <v>1.978932943548152E-12</v>
      </c>
      <c r="AM191" s="62">
        <f t="shared" si="113"/>
        <v>293.3333333333353</v>
      </c>
      <c r="AN191" s="62">
        <f ca="1">AVERAGE(OFFSET($AM$3,0,0,'Données projet'!$E$10+1,1))-AVERAGE(OFFSET($H$3,0,0,'Données projet'!$E$10+1,1))</f>
        <v>147.72913422715322</v>
      </c>
      <c r="AO191" s="62">
        <f t="shared" si="144"/>
        <v>361.07991692964799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2.3332327598676401</v>
      </c>
      <c r="AV191" s="23">
        <f>EXP(-LN(2)/25)*AV190+(1-EXP(-LN(2)/25))/(LN(2)/25)*Calculateur!AQ191*Calculateur!AS191*VLOOKUP('Données projet'!$B$10,Paramètres!$A$1:$I$89,3,0)*0.475*44/12</f>
        <v>0.55009486915101402</v>
      </c>
      <c r="AW191" s="23">
        <f>EXP(-LN(2)/2)*AW190+(1-EXP(-LN(2)/2))/(LN(2)/2)*AQ191*AT191*VLOOKUP('Données projet'!$B$10,Paramètres!$A$1:$I$89,3,0)*0.475*44/12</f>
        <v>7.2076192087280792E-23</v>
      </c>
      <c r="AX191" s="23">
        <f t="shared" si="166"/>
        <v>2.883327629018654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-1.1368683772161603E-13</v>
      </c>
      <c r="BE191" s="14">
        <f>BD191*VLOOKUP('Données projet'!$B$11,Paramètres!$A$1:$I$89,3,0)*VLOOKUP('Données projet'!$B$11,Paramètres!$A$1:$I$89,5,0)</f>
        <v>-9.9316821433603781E-14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236.12531905695994</v>
      </c>
      <c r="BJ191" s="62">
        <f t="shared" si="146"/>
        <v>270.64539221029258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2">
        <f t="shared" si="140"/>
        <v>30.041864379091798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70">
        <f t="shared" si="110"/>
        <v>542.50289712691801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151.58413719376074</v>
      </c>
      <c r="T192" s="62">
        <f t="shared" si="142"/>
        <v>310.105543138185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4.2386838766513399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3.1115185818357809E-22</v>
      </c>
      <c r="AC192" s="24">
        <f t="shared" si="163"/>
        <v>4.2386838766513399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1.1368683772161603E-13</v>
      </c>
      <c r="AJ192" s="14">
        <f>AI192*VLOOKUP('Données projet'!$B$10,Paramètres!$A$1:$I$89,3,0)*VLOOKUP('Données projet'!$B$10,Paramètres!$A$1:$I$89,5,0)</f>
        <v>6.7984728957526396E-14</v>
      </c>
      <c r="AK192" s="14">
        <f t="shared" si="164"/>
        <v>1.0682447123141398E-12</v>
      </c>
      <c r="AL192" s="22">
        <f t="shared" si="165"/>
        <v>1.978932943548152E-12</v>
      </c>
      <c r="AM192" s="62">
        <f t="shared" si="113"/>
        <v>293.3333333333353</v>
      </c>
      <c r="AN192" s="62">
        <f ca="1">AVERAGE(OFFSET($AM$3,0,0,'Données projet'!$E$10+1,1))-AVERAGE(OFFSET($H$3,0,0,'Données projet'!$E$10+1,1))</f>
        <v>147.72913422715322</v>
      </c>
      <c r="AO192" s="62">
        <f t="shared" si="144"/>
        <v>361.07991692964799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2.2874794885780965</v>
      </c>
      <c r="AV192" s="23">
        <f>EXP(-LN(2)/25)*AV191+(1-EXP(-LN(2)/25))/(LN(2)/25)*Calculateur!AQ192*Calculateur!AS192*VLOOKUP('Données projet'!$B$10,Paramètres!$A$1:$I$89,3,0)*0.475*44/12</f>
        <v>0.53505249602584759</v>
      </c>
      <c r="AW192" s="23">
        <f>EXP(-LN(2)/2)*AW191+(1-EXP(-LN(2)/2))/(LN(2)/2)*AQ192*AT192*VLOOKUP('Données projet'!$B$10,Paramètres!$A$1:$I$89,3,0)*0.475*44/12</f>
        <v>5.0965564187020428E-23</v>
      </c>
      <c r="AX192" s="23">
        <f t="shared" si="166"/>
        <v>2.8225319846039438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-1.1368683772161603E-13</v>
      </c>
      <c r="BE192" s="14">
        <f>BD192*VLOOKUP('Données projet'!$B$11,Paramètres!$A$1:$I$89,3,0)*VLOOKUP('Données projet'!$B$11,Paramètres!$A$1:$I$89,5,0)</f>
        <v>-9.9316821433603781E-14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236.12531905695994</v>
      </c>
      <c r="BJ192" s="62">
        <f t="shared" si="146"/>
        <v>270.64539221029258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2">
        <f t="shared" si="140"/>
        <v>30.182270904187739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70">
        <f t="shared" si="110"/>
        <v>543.78895515812667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151.58413719376074</v>
      </c>
      <c r="T193" s="62">
        <f t="shared" si="142"/>
        <v>310.105543138185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4.1555658711720902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2.2001758890040301E-22</v>
      </c>
      <c r="AC193" s="24">
        <f t="shared" si="163"/>
        <v>4.1555658711720902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1.1368683772161603E-13</v>
      </c>
      <c r="AJ193" s="14">
        <f>AI193*VLOOKUP('Données projet'!$B$10,Paramètres!$A$1:$I$89,3,0)*VLOOKUP('Données projet'!$B$10,Paramètres!$A$1:$I$89,5,0)</f>
        <v>6.7984728957526396E-14</v>
      </c>
      <c r="AK193" s="14">
        <f t="shared" si="164"/>
        <v>1.0682447123141398E-12</v>
      </c>
      <c r="AL193" s="22">
        <f t="shared" si="165"/>
        <v>1.978932943548152E-12</v>
      </c>
      <c r="AM193" s="62">
        <f t="shared" si="113"/>
        <v>293.3333333333353</v>
      </c>
      <c r="AN193" s="62">
        <f ca="1">AVERAGE(OFFSET($AM$3,0,0,'Données projet'!$E$10+1,1))-AVERAGE(OFFSET($H$3,0,0,'Données projet'!$E$10+1,1))</f>
        <v>147.72913422715322</v>
      </c>
      <c r="AO193" s="62">
        <f t="shared" si="144"/>
        <v>361.07991692964799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2.2426234110318011</v>
      </c>
      <c r="AV193" s="23">
        <f>EXP(-LN(2)/25)*AV192+(1-EXP(-LN(2)/25))/(LN(2)/25)*Calculateur!AQ193*Calculateur!AS193*VLOOKUP('Données projet'!$B$10,Paramètres!$A$1:$I$89,3,0)*0.475*44/12</f>
        <v>0.52042145738483292</v>
      </c>
      <c r="AW193" s="23">
        <f>EXP(-LN(2)/2)*AW192+(1-EXP(-LN(2)/2))/(LN(2)/2)*AQ193*AT193*VLOOKUP('Données projet'!$B$10,Paramètres!$A$1:$I$89,3,0)*0.475*44/12</f>
        <v>3.6038096043640396E-23</v>
      </c>
      <c r="AX193" s="23">
        <f t="shared" si="166"/>
        <v>2.763044868416634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-1.1368683772161603E-13</v>
      </c>
      <c r="BE193" s="14">
        <f>BD193*VLOOKUP('Données projet'!$B$11,Paramètres!$A$1:$I$89,3,0)*VLOOKUP('Données projet'!$B$11,Paramètres!$A$1:$I$89,5,0)</f>
        <v>-9.9316821433603781E-14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236.12531905695994</v>
      </c>
      <c r="BJ193" s="62">
        <f t="shared" si="146"/>
        <v>270.64539221029258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2">
        <f t="shared" si="140"/>
        <v>30.322591437735614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70">
        <f t="shared" si="110"/>
        <v>545.07486342072252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151.58413719376074</v>
      </c>
      <c r="T194" s="62">
        <f t="shared" si="142"/>
        <v>310.105543138185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4.0740777590833117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1.5557592909178904E-22</v>
      </c>
      <c r="AC194" s="24">
        <f t="shared" si="163"/>
        <v>4.0740777590833117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1.1368683772161603E-13</v>
      </c>
      <c r="AJ194" s="14">
        <f>AI194*VLOOKUP('Données projet'!$B$10,Paramètres!$A$1:$I$89,3,0)*VLOOKUP('Données projet'!$B$10,Paramètres!$A$1:$I$89,5,0)</f>
        <v>6.7984728957526396E-14</v>
      </c>
      <c r="AK194" s="14">
        <f t="shared" si="164"/>
        <v>1.0682447123141398E-12</v>
      </c>
      <c r="AL194" s="22">
        <f t="shared" si="165"/>
        <v>1.978932943548152E-12</v>
      </c>
      <c r="AM194" s="62">
        <f t="shared" si="113"/>
        <v>293.3333333333353</v>
      </c>
      <c r="AN194" s="62">
        <f ca="1">AVERAGE(OFFSET($AM$3,0,0,'Données projet'!$E$10+1,1))-AVERAGE(OFFSET($H$3,0,0,'Données projet'!$E$10+1,1))</f>
        <v>147.72913422715322</v>
      </c>
      <c r="AO194" s="62">
        <f t="shared" si="144"/>
        <v>361.07991692964799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2.1986469338066827</v>
      </c>
      <c r="AV194" s="23">
        <f>EXP(-LN(2)/25)*AV193+(1-EXP(-LN(2)/25))/(LN(2)/25)*Calculateur!AQ194*Calculateur!AS194*VLOOKUP('Données projet'!$B$10,Paramètres!$A$1:$I$89,3,0)*0.475*44/12</f>
        <v>0.50619050526486964</v>
      </c>
      <c r="AW194" s="23">
        <f>EXP(-LN(2)/2)*AW193+(1-EXP(-LN(2)/2))/(LN(2)/2)*AQ194*AT194*VLOOKUP('Données projet'!$B$10,Paramètres!$A$1:$I$89,3,0)*0.475*44/12</f>
        <v>2.5482782093510214E-23</v>
      </c>
      <c r="AX194" s="23">
        <f t="shared" si="166"/>
        <v>2.7048374390715524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-1.1368683772161603E-13</v>
      </c>
      <c r="BE194" s="14">
        <f>BD194*VLOOKUP('Données projet'!$B$11,Paramètres!$A$1:$I$89,3,0)*VLOOKUP('Données projet'!$B$11,Paramètres!$A$1:$I$89,5,0)</f>
        <v>-9.9316821433603781E-14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236.12531905695994</v>
      </c>
      <c r="BJ194" s="62">
        <f t="shared" si="146"/>
        <v>270.64539221029258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2">
        <f t="shared" si="140"/>
        <v>30.462826482209802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70">
        <f t="shared" si="110"/>
        <v>546.36062278984843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151.58413719376074</v>
      </c>
      <c r="T195" s="62">
        <f t="shared" si="142"/>
        <v>310.105543138185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3.9941875791697532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1.1000879445020151E-22</v>
      </c>
      <c r="AC195" s="24">
        <f t="shared" si="163"/>
        <v>3.9941875791697532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1.1368683772161603E-13</v>
      </c>
      <c r="AJ195" s="14">
        <f>AI195*VLOOKUP('Données projet'!$B$10,Paramètres!$A$1:$I$89,3,0)*VLOOKUP('Données projet'!$B$10,Paramètres!$A$1:$I$89,5,0)</f>
        <v>6.7984728957526396E-14</v>
      </c>
      <c r="AK195" s="14">
        <f t="shared" si="164"/>
        <v>1.0682447123141398E-12</v>
      </c>
      <c r="AL195" s="22">
        <f t="shared" si="165"/>
        <v>1.978932943548152E-12</v>
      </c>
      <c r="AM195" s="62">
        <f t="shared" si="113"/>
        <v>293.3333333333353</v>
      </c>
      <c r="AN195" s="62">
        <f ca="1">AVERAGE(OFFSET($AM$3,0,0,'Données projet'!$E$10+1,1))-AVERAGE(OFFSET($H$3,0,0,'Données projet'!$E$10+1,1))</f>
        <v>147.72913422715322</v>
      </c>
      <c r="AO195" s="62">
        <f t="shared" si="144"/>
        <v>361.07991692964799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2.1555328084769463</v>
      </c>
      <c r="AV195" s="23">
        <f>EXP(-LN(2)/25)*AV194+(1-EXP(-LN(2)/25))/(LN(2)/25)*Calculateur!AQ195*Calculateur!AS195*VLOOKUP('Données projet'!$B$10,Paramètres!$A$1:$I$89,3,0)*0.475*44/12</f>
        <v>0.49234869927900005</v>
      </c>
      <c r="AW195" s="23">
        <f>EXP(-LN(2)/2)*AW194+(1-EXP(-LN(2)/2))/(LN(2)/2)*AQ195*AT195*VLOOKUP('Données projet'!$B$10,Paramètres!$A$1:$I$89,3,0)*0.475*44/12</f>
        <v>1.8019048021820198E-23</v>
      </c>
      <c r="AX195" s="23">
        <f t="shared" si="166"/>
        <v>2.6478815077559466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-1.1368683772161603E-13</v>
      </c>
      <c r="BE195" s="14">
        <f>BD195*VLOOKUP('Données projet'!$B$11,Paramètres!$A$1:$I$89,3,0)*VLOOKUP('Données projet'!$B$11,Paramètres!$A$1:$I$89,5,0)</f>
        <v>-9.9316821433603781E-14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236.12531905695994</v>
      </c>
      <c r="BJ195" s="62">
        <f t="shared" si="146"/>
        <v>270.64539221029258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2">
        <f t="shared" si="140"/>
        <v>30.602976534547494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70">
        <f t="shared" ref="H196:H203" si="192">(B196+E196+F196)*44/12+(C196+D196)*0.475*44/12</f>
        <v>547.64623413100321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151.58413719376074</v>
      </c>
      <c r="T196" s="62">
        <f t="shared" si="142"/>
        <v>310.105543138185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3.9158639969561015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7.7787964545894522E-23</v>
      </c>
      <c r="AC196" s="24">
        <f t="shared" si="163"/>
        <v>3.9158639969561015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1.1368683772161603E-13</v>
      </c>
      <c r="AJ196" s="14">
        <f>AI196*VLOOKUP('Données projet'!$B$10,Paramètres!$A$1:$I$89,3,0)*VLOOKUP('Données projet'!$B$10,Paramètres!$A$1:$I$89,5,0)</f>
        <v>6.7984728957526396E-14</v>
      </c>
      <c r="AK196" s="14">
        <f t="shared" si="164"/>
        <v>1.0682447123141398E-12</v>
      </c>
      <c r="AL196" s="22">
        <f t="shared" si="165"/>
        <v>1.978932943548152E-12</v>
      </c>
      <c r="AM196" s="62">
        <f t="shared" ref="AM196:AM203" si="193">AL196+(AD196+AE196)*44/12</f>
        <v>293.3333333333353</v>
      </c>
      <c r="AN196" s="62">
        <f ca="1">AVERAGE(OFFSET($AM$3,0,0,'Données projet'!$E$10+1,1))-AVERAGE(OFFSET($H$3,0,0,'Données projet'!$E$10+1,1))</f>
        <v>147.72913422715322</v>
      </c>
      <c r="AO196" s="62">
        <f t="shared" si="144"/>
        <v>361.07991692964799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2.1132641248479063</v>
      </c>
      <c r="AV196" s="23">
        <f>EXP(-LN(2)/25)*AV195+(1-EXP(-LN(2)/25))/(LN(2)/25)*Calculateur!AQ196*Calculateur!AS196*VLOOKUP('Données projet'!$B$10,Paramètres!$A$1:$I$89,3,0)*0.475*44/12</f>
        <v>0.47888539820572296</v>
      </c>
      <c r="AW196" s="23">
        <f>EXP(-LN(2)/2)*AW195+(1-EXP(-LN(2)/2))/(LN(2)/2)*AQ196*AT196*VLOOKUP('Données projet'!$B$10,Paramètres!$A$1:$I$89,3,0)*0.475*44/12</f>
        <v>1.2741391046755107E-23</v>
      </c>
      <c r="AX196" s="23">
        <f t="shared" si="166"/>
        <v>2.5921495230536293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-1.1368683772161603E-13</v>
      </c>
      <c r="BE196" s="14">
        <f>BD196*VLOOKUP('Données projet'!$B$11,Paramètres!$A$1:$I$89,3,0)*VLOOKUP('Données projet'!$B$11,Paramètres!$A$1:$I$89,5,0)</f>
        <v>-9.9316821433603781E-14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236.12531905695994</v>
      </c>
      <c r="BJ196" s="62">
        <f t="shared" si="146"/>
        <v>270.64539221029258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2">
        <f t="shared" ref="D197:D203" si="202">IFERROR(EXP(-1.0587+0.8836*LN(C197)+0.284),0)</f>
        <v>30.743042086238148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70">
        <f t="shared" si="192"/>
        <v>548.93169830019781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151.58413719376074</v>
      </c>
      <c r="T197" s="62">
        <f t="shared" ref="T197:T203" si="204">$T$3</f>
        <v>310.105543138185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3.8390762924169914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5.5004397225100753E-23</v>
      </c>
      <c r="AC197" s="24">
        <f t="shared" si="163"/>
        <v>3.8390762924169914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1.1368683772161603E-13</v>
      </c>
      <c r="AJ197" s="14">
        <f>AI197*VLOOKUP('Données projet'!$B$10,Paramètres!$A$1:$I$89,3,0)*VLOOKUP('Données projet'!$B$10,Paramètres!$A$1:$I$89,5,0)</f>
        <v>6.7984728957526396E-14</v>
      </c>
      <c r="AK197" s="14">
        <f t="shared" si="164"/>
        <v>1.0682447123141398E-12</v>
      </c>
      <c r="AL197" s="22">
        <f t="shared" si="165"/>
        <v>1.978932943548152E-12</v>
      </c>
      <c r="AM197" s="62">
        <f t="shared" si="193"/>
        <v>293.3333333333353</v>
      </c>
      <c r="AN197" s="62">
        <f ca="1">AVERAGE(OFFSET($AM$3,0,0,'Données projet'!$E$10+1,1))-AVERAGE(OFFSET($H$3,0,0,'Données projet'!$E$10+1,1))</f>
        <v>147.72913422715322</v>
      </c>
      <c r="AO197" s="62">
        <f t="shared" ref="AO197:AO203" si="205">$AO$3</f>
        <v>361.07991692964799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2.0718243043234805</v>
      </c>
      <c r="AV197" s="23">
        <f>EXP(-LN(2)/25)*AV196+(1-EXP(-LN(2)/25))/(LN(2)/25)*Calculateur!AQ197*Calculateur!AS197*VLOOKUP('Données projet'!$B$10,Paramètres!$A$1:$I$89,3,0)*0.475*44/12</f>
        <v>0.46579025180829886</v>
      </c>
      <c r="AW197" s="23">
        <f>EXP(-LN(2)/2)*AW196+(1-EXP(-LN(2)/2))/(LN(2)/2)*AQ197*AT197*VLOOKUP('Données projet'!$B$10,Paramètres!$A$1:$I$89,3,0)*0.475*44/12</f>
        <v>9.009524010910099E-24</v>
      </c>
      <c r="AX197" s="23">
        <f t="shared" si="166"/>
        <v>2.5376145561317793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-1.1368683772161603E-13</v>
      </c>
      <c r="BE197" s="14">
        <f>BD197*VLOOKUP('Données projet'!$B$11,Paramètres!$A$1:$I$89,3,0)*VLOOKUP('Données projet'!$B$11,Paramètres!$A$1:$I$89,5,0)</f>
        <v>-9.9316821433603781E-14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236.12531905695994</v>
      </c>
      <c r="BJ197" s="62">
        <f t="shared" ref="BJ197:BJ203" si="206">$BJ$3</f>
        <v>270.64539221029258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2">
        <f t="shared" si="202"/>
        <v>30.883023623410974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70">
        <f t="shared" si="192"/>
        <v>550.21701614410711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151.58413719376074</v>
      </c>
      <c r="T198" s="62">
        <f t="shared" si="204"/>
        <v>310.105543138185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3.7637943479280183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3.8893982272947261E-23</v>
      </c>
      <c r="AC198" s="24">
        <f t="shared" si="163"/>
        <v>3.7637943479280183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1.1368683772161603E-13</v>
      </c>
      <c r="AJ198" s="14">
        <f>AI198*VLOOKUP('Données projet'!$B$10,Paramètres!$A$1:$I$89,3,0)*VLOOKUP('Données projet'!$B$10,Paramètres!$A$1:$I$89,5,0)</f>
        <v>6.7984728957526396E-14</v>
      </c>
      <c r="AK198" s="14">
        <f t="shared" si="164"/>
        <v>1.0682447123141398E-12</v>
      </c>
      <c r="AL198" s="22">
        <f t="shared" si="165"/>
        <v>1.978932943548152E-12</v>
      </c>
      <c r="AM198" s="62">
        <f t="shared" si="193"/>
        <v>293.3333333333353</v>
      </c>
      <c r="AN198" s="62">
        <f ca="1">AVERAGE(OFFSET($AM$3,0,0,'Données projet'!$E$10+1,1))-AVERAGE(OFFSET($H$3,0,0,'Données projet'!$E$10+1,1))</f>
        <v>147.72913422715322</v>
      </c>
      <c r="AO198" s="62">
        <f t="shared" si="205"/>
        <v>361.07991692964799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2.031197093403744</v>
      </c>
      <c r="AV198" s="23">
        <f>EXP(-LN(2)/25)*AV197+(1-EXP(-LN(2)/25))/(LN(2)/25)*Calculateur!AQ198*Calculateur!AS198*VLOOKUP('Données projet'!$B$10,Paramètres!$A$1:$I$89,3,0)*0.475*44/12</f>
        <v>0.45305319287775614</v>
      </c>
      <c r="AW198" s="23">
        <f>EXP(-LN(2)/2)*AW197+(1-EXP(-LN(2)/2))/(LN(2)/2)*AQ198*AT198*VLOOKUP('Données projet'!$B$10,Paramètres!$A$1:$I$89,3,0)*0.475*44/12</f>
        <v>6.3706955233775535E-24</v>
      </c>
      <c r="AX198" s="23">
        <f t="shared" si="166"/>
        <v>2.4842502862815001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-1.1368683772161603E-13</v>
      </c>
      <c r="BE198" s="14">
        <f>BD198*VLOOKUP('Données projet'!$B$11,Paramètres!$A$1:$I$89,3,0)*VLOOKUP('Données projet'!$B$11,Paramètres!$A$1:$I$89,5,0)</f>
        <v>-9.9316821433603781E-14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236.12531905695994</v>
      </c>
      <c r="BJ198" s="62">
        <f t="shared" si="206"/>
        <v>270.64539221029258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2">
        <f t="shared" si="202"/>
        <v>31.022921626920507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70">
        <f t="shared" si="192"/>
        <v>551.50218850021952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151.58413719376074</v>
      </c>
      <c r="T199" s="62">
        <f t="shared" si="204"/>
        <v>310.105543138185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3.6899886364530219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2.7502198612550377E-23</v>
      </c>
      <c r="AC199" s="24">
        <f t="shared" si="163"/>
        <v>3.6899886364530219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1.1368683772161603E-13</v>
      </c>
      <c r="AJ199" s="14">
        <f>AI199*VLOOKUP('Données projet'!$B$10,Paramètres!$A$1:$I$89,3,0)*VLOOKUP('Données projet'!$B$10,Paramètres!$A$1:$I$89,5,0)</f>
        <v>6.7984728957526396E-14</v>
      </c>
      <c r="AK199" s="14">
        <f t="shared" si="164"/>
        <v>1.0682447123141398E-12</v>
      </c>
      <c r="AL199" s="22">
        <f t="shared" si="165"/>
        <v>1.978932943548152E-12</v>
      </c>
      <c r="AM199" s="62">
        <f t="shared" si="193"/>
        <v>293.3333333333353</v>
      </c>
      <c r="AN199" s="62">
        <f ca="1">AVERAGE(OFFSET($AM$3,0,0,'Données projet'!$E$10+1,1))-AVERAGE(OFFSET($H$3,0,0,'Données projet'!$E$10+1,1))</f>
        <v>147.72913422715322</v>
      </c>
      <c r="AO199" s="62">
        <f t="shared" si="205"/>
        <v>361.07991692964799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1.9913665573099915</v>
      </c>
      <c r="AV199" s="23">
        <f>EXP(-LN(2)/25)*AV198+(1-EXP(-LN(2)/25))/(LN(2)/25)*Calculateur!AQ199*Calculateur!AS199*VLOOKUP('Données projet'!$B$10,Paramètres!$A$1:$I$89,3,0)*0.475*44/12</f>
        <v>0.44066442949348195</v>
      </c>
      <c r="AW199" s="23">
        <f>EXP(-LN(2)/2)*AW198+(1-EXP(-LN(2)/2))/(LN(2)/2)*AQ199*AT199*VLOOKUP('Données projet'!$B$10,Paramètres!$A$1:$I$89,3,0)*0.475*44/12</f>
        <v>4.5047620054550495E-24</v>
      </c>
      <c r="AX199" s="23">
        <f t="shared" si="166"/>
        <v>2.4320309868034733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-1.1368683772161603E-13</v>
      </c>
      <c r="BE199" s="14">
        <f>BD199*VLOOKUP('Données projet'!$B$11,Paramètres!$A$1:$I$89,3,0)*VLOOKUP('Données projet'!$B$11,Paramètres!$A$1:$I$89,5,0)</f>
        <v>-9.9316821433603781E-14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236.12531905695994</v>
      </c>
      <c r="BJ199" s="62">
        <f t="shared" si="206"/>
        <v>270.64539221029258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2">
        <f t="shared" si="202"/>
        <v>31.162736572430603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70">
        <f t="shared" si="192"/>
        <v>552.78721619698297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151.58413719376074</v>
      </c>
      <c r="T200" s="62">
        <f t="shared" si="204"/>
        <v>310.105543138185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3.6176302099630111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1.944699113647363E-23</v>
      </c>
      <c r="AC200" s="24">
        <f t="shared" si="163"/>
        <v>3.6176302099630111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1.1368683772161603E-13</v>
      </c>
      <c r="AJ200" s="14">
        <f>AI200*VLOOKUP('Données projet'!$B$10,Paramètres!$A$1:$I$89,3,0)*VLOOKUP('Données projet'!$B$10,Paramètres!$A$1:$I$89,5,0)</f>
        <v>6.7984728957526396E-14</v>
      </c>
      <c r="AK200" s="14">
        <f t="shared" si="164"/>
        <v>1.0682447123141398E-12</v>
      </c>
      <c r="AL200" s="22">
        <f t="shared" si="165"/>
        <v>1.978932943548152E-12</v>
      </c>
      <c r="AM200" s="62">
        <f t="shared" si="193"/>
        <v>293.3333333333353</v>
      </c>
      <c r="AN200" s="62">
        <f ca="1">AVERAGE(OFFSET($AM$3,0,0,'Données projet'!$E$10+1,1))-AVERAGE(OFFSET($H$3,0,0,'Données projet'!$E$10+1,1))</f>
        <v>147.72913422715322</v>
      </c>
      <c r="AO200" s="62">
        <f t="shared" si="205"/>
        <v>361.07991692964799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1.9523170737348094</v>
      </c>
      <c r="AV200" s="23">
        <f>EXP(-LN(2)/25)*AV199+(1-EXP(-LN(2)/25))/(LN(2)/25)*Calculateur!AQ200*Calculateur!AS200*VLOOKUP('Données projet'!$B$10,Paramètres!$A$1:$I$89,3,0)*0.475*44/12</f>
        <v>0.42861443749544748</v>
      </c>
      <c r="AW200" s="23">
        <f>EXP(-LN(2)/2)*AW199+(1-EXP(-LN(2)/2))/(LN(2)/2)*AQ200*AT200*VLOOKUP('Données projet'!$B$10,Paramètres!$A$1:$I$89,3,0)*0.475*44/12</f>
        <v>3.1853477616887767E-24</v>
      </c>
      <c r="AX200" s="23">
        <f t="shared" si="166"/>
        <v>2.3809315112302567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-1.1368683772161603E-13</v>
      </c>
      <c r="BE200" s="14">
        <f>BD200*VLOOKUP('Données projet'!$B$11,Paramètres!$A$1:$I$89,3,0)*VLOOKUP('Données projet'!$B$11,Paramètres!$A$1:$I$89,5,0)</f>
        <v>-9.9316821433603781E-14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236.12531905695994</v>
      </c>
      <c r="BJ200" s="62">
        <f t="shared" si="206"/>
        <v>270.64539221029258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2">
        <f t="shared" si="202"/>
        <v>31.302468930496392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70">
        <f t="shared" si="192"/>
        <v>554.07210005394757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151.58413719376074</v>
      </c>
      <c r="T201" s="62">
        <f t="shared" si="204"/>
        <v>310.105543138185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3.5466906880821871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1.3751099306275188E-23</v>
      </c>
      <c r="AC201" s="24">
        <f t="shared" si="163"/>
        <v>3.5466906880821871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1.1368683772161603E-13</v>
      </c>
      <c r="AJ201" s="14">
        <f>AI201*VLOOKUP('Données projet'!$B$10,Paramètres!$A$1:$I$89,3,0)*VLOOKUP('Données projet'!$B$10,Paramètres!$A$1:$I$89,5,0)</f>
        <v>6.7984728957526396E-14</v>
      </c>
      <c r="AK201" s="14">
        <f t="shared" si="164"/>
        <v>1.0682447123141398E-12</v>
      </c>
      <c r="AL201" s="22">
        <f t="shared" si="165"/>
        <v>1.978932943548152E-12</v>
      </c>
      <c r="AM201" s="62">
        <f t="shared" si="193"/>
        <v>293.3333333333353</v>
      </c>
      <c r="AN201" s="62">
        <f ca="1">AVERAGE(OFFSET($AM$3,0,0,'Données projet'!$E$10+1,1))-AVERAGE(OFFSET($H$3,0,0,'Données projet'!$E$10+1,1))</f>
        <v>147.72913422715322</v>
      </c>
      <c r="AO201" s="62">
        <f t="shared" si="205"/>
        <v>361.07991692964799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1.9140333267147034</v>
      </c>
      <c r="AV201" s="23">
        <f>EXP(-LN(2)/25)*AV200+(1-EXP(-LN(2)/25))/(LN(2)/25)*Calculateur!AQ201*Calculateur!AS201*VLOOKUP('Données projet'!$B$10,Paramètres!$A$1:$I$89,3,0)*0.475*44/12</f>
        <v>0.41689395316228078</v>
      </c>
      <c r="AW201" s="23">
        <f>EXP(-LN(2)/2)*AW200+(1-EXP(-LN(2)/2))/(LN(2)/2)*AQ201*AT201*VLOOKUP('Données projet'!$B$10,Paramètres!$A$1:$I$89,3,0)*0.475*44/12</f>
        <v>2.2523810027275247E-24</v>
      </c>
      <c r="AX201" s="23">
        <f t="shared" si="166"/>
        <v>2.3309272798769842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-1.1368683772161603E-13</v>
      </c>
      <c r="BE201" s="14">
        <f>BD201*VLOOKUP('Données projet'!$B$11,Paramètres!$A$1:$I$89,3,0)*VLOOKUP('Données projet'!$B$11,Paramètres!$A$1:$I$89,5,0)</f>
        <v>-9.9316821433603781E-14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236.12531905695994</v>
      </c>
      <c r="BJ201" s="62">
        <f t="shared" si="206"/>
        <v>270.64539221029258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2">
        <f t="shared" si="202"/>
        <v>31.442119166644662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70">
        <f t="shared" si="192"/>
        <v>555.35684088190578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151.58413719376074</v>
      </c>
      <c r="T202" s="62">
        <f t="shared" si="204"/>
        <v>310.105543138185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3.47714224695661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9.7234955682368152E-24</v>
      </c>
      <c r="AC202" s="24">
        <f t="shared" si="163"/>
        <v>3.47714224695661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1.1368683772161603E-13</v>
      </c>
      <c r="AJ202" s="14">
        <f>AI202*VLOOKUP('Données projet'!$B$10,Paramètres!$A$1:$I$89,3,0)*VLOOKUP('Données projet'!$B$10,Paramètres!$A$1:$I$89,5,0)</f>
        <v>6.7984728957526396E-14</v>
      </c>
      <c r="AK202" s="14">
        <f t="shared" si="164"/>
        <v>1.0682447123141398E-12</v>
      </c>
      <c r="AL202" s="22">
        <f t="shared" si="165"/>
        <v>1.978932943548152E-12</v>
      </c>
      <c r="AM202" s="62">
        <f t="shared" si="193"/>
        <v>293.3333333333353</v>
      </c>
      <c r="AN202" s="62">
        <f ca="1">AVERAGE(OFFSET($AM$3,0,0,'Données projet'!$E$10+1,1))-AVERAGE(OFFSET($H$3,0,0,'Données projet'!$E$10+1,1))</f>
        <v>147.72913422715322</v>
      </c>
      <c r="AO202" s="62">
        <f t="shared" si="205"/>
        <v>361.07991692964799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1.8765003006228818</v>
      </c>
      <c r="AV202" s="23">
        <f>EXP(-LN(2)/25)*AV201+(1-EXP(-LN(2)/25))/(LN(2)/25)*Calculateur!AQ202*Calculateur!AS202*VLOOKUP('Données projet'!$B$10,Paramètres!$A$1:$I$89,3,0)*0.475*44/12</f>
        <v>0.40549396608955807</v>
      </c>
      <c r="AW202" s="23">
        <f>EXP(-LN(2)/2)*AW201+(1-EXP(-LN(2)/2))/(LN(2)/2)*AQ202*AT202*VLOOKUP('Données projet'!$B$10,Paramètres!$A$1:$I$89,3,0)*0.475*44/12</f>
        <v>1.5926738808443884E-24</v>
      </c>
      <c r="AX202" s="23">
        <f t="shared" si="166"/>
        <v>2.2819942667124398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-1.1368683772161603E-13</v>
      </c>
      <c r="BE202" s="14">
        <f>BD202*VLOOKUP('Données projet'!$B$11,Paramètres!$A$1:$I$89,3,0)*VLOOKUP('Données projet'!$B$11,Paramètres!$A$1:$I$89,5,0)</f>
        <v>-9.9316821433603781E-14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236.12531905695994</v>
      </c>
      <c r="BJ202" s="62">
        <f t="shared" si="206"/>
        <v>270.64539221029258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2">
        <f t="shared" si="202"/>
        <v>31.581687741452679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70">
        <f t="shared" si="192"/>
        <v>556.64143948302979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151.58413719376074</v>
      </c>
      <c r="T203" s="62">
        <f t="shared" si="204"/>
        <v>310.105543138185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3.408957608341145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6.8755496531375942E-24</v>
      </c>
      <c r="AC203" s="24">
        <f t="shared" si="163"/>
        <v>3.408957608341145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1.1368683772161603E-13</v>
      </c>
      <c r="AJ203" s="14">
        <f>AI203*VLOOKUP('Données projet'!$B$10,Paramètres!$A$1:$I$89,3,0)*VLOOKUP('Données projet'!$B$10,Paramètres!$A$1:$I$89,5,0)</f>
        <v>6.7984728957526396E-14</v>
      </c>
      <c r="AK203" s="14">
        <f t="shared" si="164"/>
        <v>1.0682447123141398E-12</v>
      </c>
      <c r="AL203" s="22">
        <f t="shared" si="165"/>
        <v>1.978932943548152E-12</v>
      </c>
      <c r="AM203" s="62">
        <f t="shared" si="193"/>
        <v>293.3333333333353</v>
      </c>
      <c r="AN203" s="62">
        <f ca="1">AVERAGE(OFFSET($AM$3,0,0,'Données projet'!$E$10+1,1))-AVERAGE(OFFSET($H$3,0,0,'Données projet'!$E$10+1,1))</f>
        <v>147.72913422715322</v>
      </c>
      <c r="AO203" s="62">
        <f t="shared" si="205"/>
        <v>361.07991692964799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1.8397032742798354</v>
      </c>
      <c r="AV203" s="23">
        <f>EXP(-LN(2)/25)*AV202+(1-EXP(-LN(2)/25))/(LN(2)/25)*Calculateur!AQ203*Calculateur!AS203*VLOOKUP('Données projet'!$B$10,Paramètres!$A$1:$I$89,3,0)*0.475*44/12</f>
        <v>0.39440571226283822</v>
      </c>
      <c r="AW203" s="23">
        <f>EXP(-LN(2)/2)*AW202+(1-EXP(-LN(2)/2))/(LN(2)/2)*AQ203*AT203*VLOOKUP('Données projet'!$B$10,Paramètres!$A$1:$I$89,3,0)*0.475*44/12</f>
        <v>1.1261905013637624E-24</v>
      </c>
      <c r="AX203" s="23">
        <f t="shared" si="166"/>
        <v>2.2341089865426738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-1.1368683772161603E-13</v>
      </c>
      <c r="BE203" s="14">
        <f>BD203*VLOOKUP('Données projet'!$B$11,Paramètres!$A$1:$I$89,3,0)*VLOOKUP('Données projet'!$B$11,Paramètres!$A$1:$I$89,5,0)</f>
        <v>-9.9316821433603781E-14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236.12531905695994</v>
      </c>
      <c r="BJ203" s="62">
        <f t="shared" si="206"/>
        <v>270.64539221029258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1.4261938757879591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1.4749438547769935</v>
      </c>
      <c r="BA205" s="88">
        <f>EXP(LN('Données projet'!B88)/'Données projet'!A88)</f>
        <v>1.2765231539157764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8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9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8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20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20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9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8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9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workbookViewId="0">
      <selection activeCell="Q17" sqref="Q17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9" t="s">
        <v>271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1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22.5</v>
      </c>
      <c r="C6" s="156">
        <f ca="1">IF(OR('Données projet'!B9="",'Données projet'!C9="",'Données projet'!C9=0%),0,Calculateur!S3)</f>
        <v>151.58413719376074</v>
      </c>
      <c r="D6" s="156">
        <f>IF(OR('Données projet'!B9="",'Données projet'!C9="",'Données projet'!C9=0%),0,Calculateur!T3)</f>
        <v>310.105543138185</v>
      </c>
      <c r="E6" s="156">
        <f ca="1">MIN(C6,D6)</f>
        <v>151.58413719376074</v>
      </c>
      <c r="F6" s="156">
        <f ca="1">E6*B6</f>
        <v>3410.6430868596167</v>
      </c>
      <c r="G6" s="156">
        <f ca="1">F6*(100%-'Données projet'!$C$24)*(100%-'Données projet'!$C$25)*(100%-'Données projet'!$C$26)*(100%-'Données projet'!$C$27)</f>
        <v>2087.3135691580856</v>
      </c>
      <c r="H6" s="157">
        <f>IF(OR('Données projet'!B9="",'Données projet'!C9="",'Données projet'!C9=0%),0,AVERAGE(Calculateur!$AC$3:$AC$33)*B6)</f>
        <v>217.889594657191</v>
      </c>
      <c r="I6" s="158">
        <f>H6*(100%-'Données projet'!$C$24)*(100%-'Données projet'!$C$25)*(100%-'Données projet'!$C$26)*(100%-'Données projet'!$C$27)</f>
        <v>133.34843193020092</v>
      </c>
      <c r="J6" s="159">
        <f>IF(OR('Données projet'!B9="",'Données projet'!C9="",'Données projet'!C9=0%),0,SUM(Calculateur!$V$3:$V$33)*VLOOKUP('Données projet'!$B$9,Paramètres!$A$1:$I$89,9,0)*B6)</f>
        <v>1593</v>
      </c>
      <c r="K6" s="160">
        <f>J6*(100%-'Données projet'!$C$24)*(100%-'Données projet'!$C$25)*(100%-'Données projet'!$C$26)*(100%-'Données projet'!$C$27)</f>
        <v>974.91600000000005</v>
      </c>
      <c r="L6" s="161">
        <f ca="1">G6+I6+K6</f>
        <v>3195.5780010882868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Pin taeda</v>
      </c>
      <c r="B7" s="163">
        <f>'Données projet'!D10</f>
        <v>6.9</v>
      </c>
      <c r="C7" s="156">
        <f ca="1">IF(OR('Données projet'!B10="",'Données projet'!C10="",'Données projet'!C10=0%),0,Calculateur!AN3)</f>
        <v>147.72913422715322</v>
      </c>
      <c r="D7" s="156">
        <f>IF(OR('Données projet'!B10="",'Données projet'!C10="",'Données projet'!C10=0%),0,Calculateur!AO3)</f>
        <v>361.07991692964799</v>
      </c>
      <c r="E7" s="156">
        <f t="shared" ref="E7:E15" ca="1" si="0">MIN(C7,D7)</f>
        <v>147.72913422715322</v>
      </c>
      <c r="F7" s="156">
        <f t="shared" ref="F7:F15" ca="1" si="1">E7*B7</f>
        <v>1019.3310261673573</v>
      </c>
      <c r="G7" s="156">
        <f ca="1">F7*(100%-'Données projet'!$C$24)*(100%-'Données projet'!$C$25)*(100%-'Données projet'!$C$26)*(100%-'Données projet'!$C$27)</f>
        <v>623.83058801442269</v>
      </c>
      <c r="H7" s="164">
        <f>IF(OR('Données projet'!B10="",'Données projet'!C10="",'Données projet'!C10=0%),0,AVERAGE(Calculateur!$AX$3:$AX$33)*B7)</f>
        <v>103.72823791654676</v>
      </c>
      <c r="I7" s="158">
        <f>H7*(100%-'Données projet'!$C$24)*(100%-'Données projet'!$C$25)*(100%-'Données projet'!$C$26)*(100%-'Données projet'!$C$27)</f>
        <v>63.481681604926614</v>
      </c>
      <c r="J7" s="159">
        <f>IF(OR('Données projet'!B10="",'Données projet'!C10="",'Données projet'!C10=0%),0,SUM(Calculateur!$AQ$3:$AQ$33)*VLOOKUP('Données projet'!$B$10,Paramètres!$A$1:$I$89,9,0)*B7)</f>
        <v>1311.414</v>
      </c>
      <c r="K7" s="160">
        <f>J7*(100%-'Données projet'!$C$24)*(100%-'Données projet'!$C$25)*(100%-'Données projet'!$C$26)*(100%-'Données projet'!$C$27)</f>
        <v>802.58536800000002</v>
      </c>
      <c r="L7" s="161">
        <f t="shared" ref="L7:L15" ca="1" si="2">G7+I7+K7</f>
        <v>1489.8976376193493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Chêne rouge d'Amérique</v>
      </c>
      <c r="B8" s="163">
        <f>'Données projet'!D11</f>
        <v>0.6</v>
      </c>
      <c r="C8" s="156">
        <f ca="1">IF(OR('Données projet'!B11="",'Données projet'!C11="",'Données projet'!C11=0%),0,Calculateur!BI3)</f>
        <v>236.12531905695994</v>
      </c>
      <c r="D8" s="156">
        <f>IF(OR('Données projet'!B11="",'Données projet'!C11="",'Données projet'!C11=0%),0,Calculateur!BJ3)</f>
        <v>270.64539221029258</v>
      </c>
      <c r="E8" s="156">
        <f t="shared" ca="1" si="0"/>
        <v>236.12531905695994</v>
      </c>
      <c r="F8" s="156">
        <f t="shared" ca="1" si="1"/>
        <v>141.67519143417596</v>
      </c>
      <c r="G8" s="156">
        <f ca="1">F8*(100%-'Données projet'!$C$24)*(100%-'Données projet'!$C$25)*(100%-'Données projet'!$C$26)*(100%-'Données projet'!$C$27)</f>
        <v>86.705217157715694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18.599999999999998</v>
      </c>
      <c r="K8" s="160">
        <f>J8*(100%-'Données projet'!$C$24)*(100%-'Données projet'!$C$25)*(100%-'Données projet'!$C$26)*(100%-'Données projet'!$C$27)</f>
        <v>11.383199999999999</v>
      </c>
      <c r="L8" s="161">
        <f t="shared" ca="1" si="2"/>
        <v>98.088417157715696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4571.6493044611498</v>
      </c>
      <c r="G16" s="175">
        <f t="shared" ca="1" si="3"/>
        <v>2797.8493743302238</v>
      </c>
      <c r="H16" s="176">
        <f t="shared" si="3"/>
        <v>321.61783257373776</v>
      </c>
      <c r="I16" s="176">
        <f t="shared" si="3"/>
        <v>196.83011353512754</v>
      </c>
      <c r="J16" s="177">
        <f t="shared" si="3"/>
        <v>2923.0139999999997</v>
      </c>
      <c r="K16" s="177">
        <f t="shared" si="3"/>
        <v>1788.8845680000002</v>
      </c>
      <c r="L16" s="178">
        <f t="shared" ca="1" si="3"/>
        <v>4783.5640558653513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1" t="s">
        <v>246</v>
      </c>
      <c r="G17" s="322"/>
      <c r="H17" s="322"/>
      <c r="I17" s="322"/>
      <c r="J17" s="322"/>
      <c r="K17" s="322"/>
      <c r="L17" s="322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3"/>
      <c r="G18" s="323"/>
      <c r="H18" s="323"/>
      <c r="I18" s="323"/>
      <c r="J18" s="323"/>
      <c r="K18" s="323"/>
      <c r="L18" s="323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Pin taeda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Chêne rouge d'Amérique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64" zoomScale="90" zoomScaleNormal="90" workbookViewId="0">
      <selection activeCell="C80" sqref="C80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9" t="s">
        <v>272</v>
      </c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1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7" t="s">
        <v>315</v>
      </c>
      <c r="I4" s="327"/>
      <c r="K4" s="324" t="s">
        <v>253</v>
      </c>
      <c r="L4" s="325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5" t="s">
        <v>310</v>
      </c>
      <c r="S7" s="336"/>
      <c r="T7" s="336"/>
      <c r="U7" s="336"/>
      <c r="V7" s="337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22.5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Pin taeda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6.9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Chêne rouge d'Amérique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0.6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8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8"/>
      <c r="H16" s="203"/>
      <c r="I16" s="204"/>
      <c r="J16" s="216"/>
      <c r="K16" s="225"/>
      <c r="L16" s="324" t="s">
        <v>254</v>
      </c>
      <c r="M16" s="325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8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8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8"/>
      <c r="H19" s="232" t="s">
        <v>178</v>
      </c>
      <c r="I19" s="232" t="s">
        <v>287</v>
      </c>
      <c r="J19" s="260"/>
      <c r="K19" s="183"/>
      <c r="L19" s="324" t="s">
        <v>288</v>
      </c>
      <c r="M19" s="325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8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13</v>
      </c>
      <c r="B23" s="193">
        <f>'Données projet'!D36</f>
        <v>28</v>
      </c>
      <c r="C23" s="292"/>
      <c r="D23" s="194">
        <f>B23*C23</f>
        <v>0</v>
      </c>
      <c r="E23" s="206"/>
      <c r="F23" s="261"/>
      <c r="H23" s="203"/>
      <c r="I23" s="204"/>
      <c r="K23" s="225"/>
      <c r="L23" s="326" t="s">
        <v>260</v>
      </c>
      <c r="M23" s="326"/>
      <c r="N23" s="326"/>
      <c r="O23" s="25"/>
      <c r="P23" s="25"/>
      <c r="Q23" s="265"/>
      <c r="R23" s="25"/>
      <c r="S23" s="185" t="s">
        <v>264</v>
      </c>
      <c r="T23" s="34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40"/>
      <c r="V23" s="340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18</v>
      </c>
      <c r="B24" s="193">
        <f>'Données projet'!D37</f>
        <v>40</v>
      </c>
      <c r="C24" s="292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1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1"/>
      <c r="V24" s="341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23</v>
      </c>
      <c r="B25" s="193">
        <f>'Données projet'!D38</f>
        <v>52</v>
      </c>
      <c r="C25" s="292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42">
        <f ca="1">T23-T24</f>
        <v>0</v>
      </c>
      <c r="U25" s="342"/>
      <c r="V25" s="342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0</v>
      </c>
      <c r="C26" s="292"/>
      <c r="D26" s="194">
        <f t="shared" si="2"/>
        <v>0</v>
      </c>
      <c r="E26" s="206"/>
      <c r="F26" s="264"/>
      <c r="G26" s="259"/>
      <c r="H26" s="203"/>
      <c r="I26" s="204"/>
      <c r="K26" s="225"/>
      <c r="L26" s="329" t="s">
        <v>258</v>
      </c>
      <c r="M26" s="330"/>
      <c r="N26" s="330"/>
      <c r="O26" s="330"/>
      <c r="P26" s="331"/>
      <c r="Q26" s="265"/>
      <c r="R26" s="25"/>
      <c r="S26" s="198" t="s">
        <v>265</v>
      </c>
      <c r="T26" s="339" t="str">
        <f ca="1">IF(T25&lt;0,"Votre projet est additionnel","Votre projet n'est pas additionnel")</f>
        <v>Votre projet n'est pas additionnel</v>
      </c>
      <c r="U26" s="339"/>
      <c r="V26" s="339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34</v>
      </c>
      <c r="B27" s="193">
        <f>'Données projet'!D40</f>
        <v>325</v>
      </c>
      <c r="C27" s="292"/>
      <c r="D27" s="194">
        <f t="shared" si="2"/>
        <v>0</v>
      </c>
      <c r="E27" s="206"/>
      <c r="F27" s="264"/>
      <c r="G27" s="259"/>
      <c r="H27" s="203"/>
      <c r="I27" s="204"/>
      <c r="K27" s="225"/>
      <c r="L27" s="332"/>
      <c r="M27" s="333"/>
      <c r="N27" s="333"/>
      <c r="O27" s="333"/>
      <c r="P27" s="334"/>
      <c r="Q27" s="265"/>
      <c r="R27" s="25"/>
      <c r="S27" s="338" t="s">
        <v>267</v>
      </c>
      <c r="T27" s="338"/>
      <c r="U27" s="338"/>
      <c r="V27" s="338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92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92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92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92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92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92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92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92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92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92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92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92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92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92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92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Pin taeda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12</v>
      </c>
      <c r="B54" s="193">
        <f>'Données projet'!D62</f>
        <v>34</v>
      </c>
      <c r="C54" s="292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17</v>
      </c>
      <c r="B55" s="193">
        <f>'Données projet'!D63</f>
        <v>43</v>
      </c>
      <c r="C55" s="292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22</v>
      </c>
      <c r="B56" s="193">
        <f>'Données projet'!D64</f>
        <v>56</v>
      </c>
      <c r="C56" s="292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30</v>
      </c>
      <c r="B57" s="193">
        <f>'Données projet'!D65</f>
        <v>309</v>
      </c>
      <c r="C57" s="292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92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92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92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92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92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92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92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str">
        <f>IF(O63+1&lt;=MIN('Données projet'!$E$9:$E$18),O63+1,"STOP")</f>
        <v>STOP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92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92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92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92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92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92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92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92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92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Chêne rouge d'Amérique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20</v>
      </c>
      <c r="B85" s="193">
        <f>'Données projet'!D88</f>
        <v>50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25</v>
      </c>
      <c r="B86" s="193">
        <f>'Données projet'!D89</f>
        <v>37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30</v>
      </c>
      <c r="B87" s="193">
        <f>'Données projet'!D90</f>
        <v>37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35</v>
      </c>
      <c r="B88" s="193">
        <f>'Données projet'!D91</f>
        <v>36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40</v>
      </c>
      <c r="B89" s="193">
        <f>'Données projet'!D92</f>
        <v>33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45</v>
      </c>
      <c r="B90" s="193">
        <f>'Données projet'!D93</f>
        <v>31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50</v>
      </c>
      <c r="B91" s="193">
        <f>'Données projet'!D94</f>
        <v>28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55</v>
      </c>
      <c r="B92" s="193">
        <f>'Données projet'!D95</f>
        <v>25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60</v>
      </c>
      <c r="B93" s="193">
        <f>'Données projet'!D96</f>
        <v>22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65</v>
      </c>
      <c r="B94" s="193">
        <f>'Données projet'!D97</f>
        <v>20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70</v>
      </c>
      <c r="B95" s="193">
        <f>'Données projet'!D98</f>
        <v>17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75</v>
      </c>
      <c r="B96" s="193">
        <f>'Données projet'!D99</f>
        <v>15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80</v>
      </c>
      <c r="B97" s="193">
        <f>'Données projet'!D100</f>
        <v>13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85</v>
      </c>
      <c r="B98" s="193">
        <f>'Données projet'!D101</f>
        <v>12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90</v>
      </c>
      <c r="B99" s="193">
        <f>'Données projet'!D102</f>
        <v>236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92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92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92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92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92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92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92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92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92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92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92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92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92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92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92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92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92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92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92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92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TABORSKI Paul</cp:lastModifiedBy>
  <dcterms:created xsi:type="dcterms:W3CDTF">2021-02-01T08:22:39Z</dcterms:created>
  <dcterms:modified xsi:type="dcterms:W3CDTF">2025-03-24T15:33:40Z</dcterms:modified>
</cp:coreProperties>
</file>