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62 - 578 - BORDERES ET LAMENSANS MONGE Julien SWC E10\Dossier déposé 03 03 2025\"/>
    </mc:Choice>
  </mc:AlternateContent>
  <xr:revisionPtr revIDLastSave="0" documentId="13_ncr:1_{14A9D9AE-F05B-4F09-8583-3177589174DE}" xr6:coauthVersionLast="36" xr6:coauthVersionMax="36" xr10:uidLastSave="{00000000-0000-0000-0000-000000000000}"/>
  <bookViews>
    <workbookView xWindow="0" yWindow="0" windowWidth="21570" windowHeight="9330" tabRatio="866" activeTab="5" xr2:uid="{00000000-000D-0000-FFFF-FFFF00000000}"/>
  </bookViews>
  <sheets>
    <sheet name="Accueil" sheetId="5" r:id="rId1"/>
    <sheet name="Données projet" sheetId="1" r:id="rId2"/>
    <sheet name="Calculateur" sheetId="2" state="hidden" r:id="rId3"/>
    <sheet name="Paramètres" sheetId="3" state="hidden" r:id="rId4"/>
    <sheet name="Scénario référence" sheetId="7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2" i="6" l="1"/>
  <c r="I23" i="6"/>
  <c r="I24" i="6"/>
  <c r="I25" i="6"/>
  <c r="I21" i="6"/>
  <c r="I20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I167" i="2" l="1"/>
  <c r="EV168" i="2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DI192" i="2" l="1"/>
  <c r="EX193" i="2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 l="1"/>
  <c r="EA201" i="2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38" i="2" a="1"/>
  <c r="BC3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134" i="2" a="1"/>
  <c r="CS134" i="2" s="1"/>
  <c r="DN45" i="2" a="1"/>
  <c r="DN45" i="2" s="1"/>
  <c r="FD82" i="2" a="1"/>
  <c r="FD82" i="2" s="1"/>
  <c r="DN187" i="2" a="1"/>
  <c r="DN187" i="2" s="1"/>
  <c r="HJ202" i="2"/>
  <c r="EY202" i="2"/>
  <c r="AX200" i="2"/>
  <c r="BC83" i="2" l="1" a="1"/>
  <c r="BC83" i="2" s="1"/>
  <c r="BC151" i="2" a="1"/>
  <c r="BC151" i="2" s="1"/>
  <c r="BC7" i="2" a="1"/>
  <c r="BC7" i="2" s="1"/>
  <c r="BC185" i="2" a="1"/>
  <c r="BC185" i="2" s="1"/>
  <c r="BC117" i="2" a="1"/>
  <c r="BC117" i="2" s="1"/>
  <c r="BC84" i="2" a="1"/>
  <c r="BC84" i="2" s="1"/>
  <c r="BC32" i="2" a="1"/>
  <c r="BC32" i="2" s="1"/>
  <c r="BC143" i="2" a="1"/>
  <c r="BC143" i="2" s="1"/>
  <c r="BC65" i="2" a="1"/>
  <c r="BC65" i="2" s="1"/>
  <c r="BC114" i="2" a="1"/>
  <c r="BC114" i="2" s="1"/>
  <c r="CS120" i="2" a="1"/>
  <c r="CS120" i="2" s="1"/>
  <c r="CS66" i="2" a="1"/>
  <c r="CS66" i="2" s="1"/>
  <c r="CS56" i="2" a="1"/>
  <c r="CS56" i="2" s="1"/>
  <c r="CS72" i="2" a="1"/>
  <c r="CS72" i="2" s="1"/>
  <c r="CS38" i="2" a="1"/>
  <c r="CS38" i="2" s="1"/>
  <c r="CS185" i="2" a="1"/>
  <c r="CS185" i="2" s="1"/>
  <c r="CS105" i="2" a="1"/>
  <c r="CS105" i="2" s="1"/>
  <c r="CS24" i="2" a="1"/>
  <c r="CS24" i="2" s="1"/>
  <c r="CS161" i="2" a="1"/>
  <c r="CS161" i="2" s="1"/>
  <c r="CS77" i="2" a="1"/>
  <c r="CS77" i="2" s="1"/>
  <c r="BX107" i="2" a="1"/>
  <c r="BX107" i="2" s="1"/>
  <c r="BC31" i="2" a="1"/>
  <c r="BC31" i="2" s="1"/>
  <c r="BC181" i="2" a="1"/>
  <c r="BC181" i="2" s="1"/>
  <c r="BC164" i="2" a="1"/>
  <c r="BC164" i="2" s="1"/>
  <c r="BC82" i="2" a="1"/>
  <c r="BC82" i="2" s="1"/>
  <c r="BC192" i="2" a="1"/>
  <c r="BC192" i="2" s="1"/>
  <c r="BC47" i="2" a="1"/>
  <c r="BC47" i="2" s="1"/>
  <c r="BC18" i="2" a="1"/>
  <c r="BC18" i="2" s="1"/>
  <c r="BC55" i="2" a="1"/>
  <c r="BC55" i="2" s="1"/>
  <c r="BC130" i="2" a="1"/>
  <c r="BC130" i="2" s="1"/>
  <c r="BC58" i="2" a="1"/>
  <c r="BC58" i="2" s="1"/>
  <c r="AH90" i="2" a="1"/>
  <c r="AH90" i="2" s="1"/>
  <c r="AH62" i="2" a="1"/>
  <c r="AH62" i="2" s="1"/>
  <c r="BC126" i="2" a="1"/>
  <c r="BC126" i="2" s="1"/>
  <c r="BC68" i="2" a="1"/>
  <c r="BC68" i="2" s="1"/>
  <c r="BC34" i="2" a="1"/>
  <c r="BC34" i="2" s="1"/>
  <c r="AH19" i="2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N203" i="2" s="1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DI203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78" i="2"/>
  <c r="CD88" i="2"/>
  <c r="CD87" i="2"/>
  <c r="CD109" i="2"/>
  <c r="CD197" i="2"/>
  <c r="CD58" i="2"/>
  <c r="CD119" i="2"/>
  <c r="CD67" i="2"/>
  <c r="CD80" i="2"/>
  <c r="CD129" i="2"/>
  <c r="CD160" i="2"/>
  <c r="CD27" i="2"/>
  <c r="CD192" i="2"/>
  <c r="CD14" i="2"/>
  <c r="CD68" i="2"/>
  <c r="CD42" i="2"/>
  <c r="CD173" i="2"/>
  <c r="CD101" i="2"/>
  <c r="CD41" i="2"/>
  <c r="CD50" i="2"/>
  <c r="CD156" i="2"/>
  <c r="CD167" i="2"/>
  <c r="CD117" i="2"/>
  <c r="CD40" i="2"/>
  <c r="CD188" i="2"/>
  <c r="CD184" i="2"/>
  <c r="CD12" i="2"/>
  <c r="CD187" i="2"/>
  <c r="CD78" i="2"/>
  <c r="CD24" i="2"/>
  <c r="CD5" i="2"/>
  <c r="CD114" i="2"/>
  <c r="CD191" i="2"/>
  <c r="CD20" i="2"/>
  <c r="CD189" i="2"/>
  <c r="CD134" i="2"/>
  <c r="CD7" i="2"/>
  <c r="CD18" i="2"/>
  <c r="CD31" i="2"/>
  <c r="CD126" i="2"/>
  <c r="CD75" i="2"/>
  <c r="CD150" i="2"/>
  <c r="CD71" i="2"/>
  <c r="CD95" i="2"/>
  <c r="CD61" i="2"/>
  <c r="CD59" i="2"/>
  <c r="CD169" i="2"/>
  <c r="CD93" i="2"/>
  <c r="CD36" i="2"/>
  <c r="CD11" i="2"/>
  <c r="CD135" i="2"/>
  <c r="CD82" i="2"/>
  <c r="CD81" i="2"/>
  <c r="CD35" i="2"/>
  <c r="CD21" i="2"/>
  <c r="CD6" i="2"/>
  <c r="CD194" i="2"/>
  <c r="CD201" i="2"/>
  <c r="CD131" i="2"/>
  <c r="CD145" i="2"/>
  <c r="CD170" i="2"/>
  <c r="CD85" i="2"/>
  <c r="CD203" i="2"/>
  <c r="CD193" i="2"/>
  <c r="CD83" i="2"/>
  <c r="CD45" i="2"/>
  <c r="CD140" i="2"/>
  <c r="CD3" i="2"/>
  <c r="C9" i="4" s="1"/>
  <c r="E9" i="4" s="1"/>
  <c r="F9" i="4" s="1"/>
  <c r="G9" i="4" s="1"/>
  <c r="L9" i="4" s="1"/>
  <c r="CD92" i="2"/>
  <c r="CD46" i="2"/>
  <c r="CD33" i="2"/>
  <c r="CD183" i="2"/>
  <c r="CD176" i="2"/>
  <c r="CD105" i="2"/>
  <c r="CD43" i="2"/>
  <c r="CD44" i="2"/>
  <c r="CD8" i="2"/>
  <c r="CD84" i="2"/>
  <c r="CD148" i="2"/>
  <c r="CD23" i="2"/>
  <c r="CD139" i="2"/>
  <c r="CD186" i="2"/>
  <c r="CD97" i="2"/>
  <c r="CD132" i="2"/>
  <c r="CD123" i="2"/>
  <c r="CD118" i="2"/>
  <c r="CD163" i="2"/>
  <c r="CD106" i="2"/>
  <c r="CD149" i="2"/>
  <c r="CD137" i="2"/>
  <c r="CD151" i="2"/>
  <c r="CD10" i="2"/>
  <c r="CD53" i="2"/>
  <c r="CD182" i="2"/>
  <c r="CD153" i="2"/>
  <c r="CD15" i="2"/>
  <c r="CD94" i="2"/>
  <c r="CD98" i="2"/>
  <c r="CD19" i="2"/>
  <c r="CD51" i="2"/>
  <c r="CD179" i="2"/>
  <c r="CD63" i="2"/>
  <c r="CD69" i="2"/>
  <c r="CD136" i="2"/>
  <c r="CD113" i="2"/>
  <c r="CD9" i="2"/>
  <c r="CD141" i="2"/>
  <c r="CD152" i="2"/>
  <c r="CD181" i="2"/>
  <c r="CD199" i="2"/>
  <c r="CD39" i="2"/>
  <c r="CD32" i="2"/>
  <c r="CD13" i="2"/>
  <c r="CD127" i="2"/>
  <c r="CD157" i="2"/>
  <c r="CD37" i="2"/>
  <c r="CD171" i="2"/>
  <c r="CD168" i="2"/>
  <c r="CD48" i="2"/>
  <c r="CD200" i="2"/>
  <c r="CD115" i="2"/>
  <c r="CD25" i="2"/>
  <c r="CD112" i="2"/>
  <c r="CD121" i="2"/>
  <c r="CD158" i="2"/>
  <c r="CD30" i="2"/>
  <c r="CD144" i="2"/>
  <c r="CD162" i="2"/>
  <c r="CD57" i="2"/>
  <c r="CD54" i="2"/>
  <c r="CD143" i="2"/>
  <c r="CD49" i="2"/>
  <c r="CD172" i="2"/>
  <c r="CD146" i="2"/>
  <c r="CD100" i="2"/>
  <c r="CD122" i="2"/>
  <c r="CD16" i="2"/>
  <c r="CD116" i="2"/>
  <c r="CD161" i="2"/>
  <c r="CD34" i="2"/>
  <c r="CD159" i="2"/>
  <c r="CD120" i="2"/>
  <c r="CD164" i="2"/>
  <c r="CD110" i="2"/>
  <c r="CD90" i="2"/>
  <c r="CD124" i="2"/>
  <c r="CD66" i="2"/>
  <c r="CD133" i="2"/>
  <c r="CD4" i="2"/>
  <c r="CD29" i="2"/>
  <c r="CD86" i="2"/>
  <c r="CD196" i="2"/>
  <c r="CD55" i="2"/>
  <c r="CD79" i="2"/>
  <c r="CD195" i="2"/>
  <c r="CD125" i="2"/>
  <c r="CD104" i="2"/>
  <c r="CD73" i="2"/>
  <c r="CD99" i="2"/>
  <c r="CD174" i="2"/>
  <c r="CD102" i="2"/>
  <c r="CD38" i="2"/>
  <c r="CD142" i="2"/>
  <c r="CD154" i="2"/>
  <c r="CD65" i="2"/>
  <c r="CD89" i="2"/>
  <c r="CD108" i="2"/>
  <c r="CD26" i="2"/>
  <c r="CD185" i="2"/>
  <c r="CD175" i="2"/>
  <c r="CD47" i="2"/>
  <c r="CD91" i="2"/>
  <c r="CD111" i="2"/>
  <c r="CD62" i="2"/>
  <c r="CD52" i="2"/>
  <c r="CD77" i="2"/>
  <c r="CD22" i="2"/>
  <c r="CD198" i="2"/>
  <c r="CD28" i="2"/>
  <c r="CD64" i="2"/>
  <c r="CD190" i="2"/>
  <c r="CD76" i="2"/>
  <c r="CD128" i="2"/>
  <c r="CD56" i="2"/>
  <c r="CD165" i="2"/>
  <c r="CD74" i="2"/>
  <c r="CD155" i="2"/>
  <c r="CD72" i="2"/>
  <c r="CD202" i="2"/>
  <c r="CD103" i="2"/>
  <c r="CD147" i="2"/>
  <c r="CD138" i="2"/>
  <c r="CD180" i="2"/>
  <c r="CD17" i="2"/>
  <c r="CD130" i="2"/>
  <c r="CD107" i="2"/>
  <c r="CD96" i="2"/>
  <c r="CD177" i="2"/>
  <c r="CD166" i="2"/>
  <c r="CD70" i="2"/>
  <c r="CY29" i="2"/>
  <c r="CY112" i="2"/>
  <c r="CY187" i="2"/>
  <c r="CY88" i="2"/>
  <c r="CY164" i="2"/>
  <c r="CY103" i="2"/>
  <c r="CY135" i="2"/>
  <c r="CY75" i="2"/>
  <c r="CY169" i="2"/>
  <c r="CY128" i="2"/>
  <c r="CY141" i="2"/>
  <c r="CY115" i="2"/>
  <c r="CY9" i="2"/>
  <c r="CY170" i="2"/>
  <c r="CY38" i="2"/>
  <c r="CY87" i="2"/>
  <c r="CY152" i="2"/>
  <c r="CY21" i="2"/>
  <c r="CY76" i="2"/>
  <c r="CY136" i="2"/>
  <c r="CY161" i="2"/>
  <c r="CY8" i="2"/>
  <c r="CY39" i="2"/>
  <c r="CY32" i="2"/>
  <c r="CY46" i="2"/>
  <c r="CY14" i="2"/>
  <c r="CY83" i="2"/>
  <c r="CY60" i="2"/>
  <c r="CY12" i="2"/>
  <c r="CY156" i="2"/>
  <c r="CY165" i="2"/>
  <c r="CY20" i="2"/>
  <c r="CY203" i="2"/>
  <c r="CY199" i="2"/>
  <c r="CY107" i="2"/>
  <c r="CY101" i="2"/>
  <c r="CY149" i="2"/>
  <c r="CY166" i="2"/>
  <c r="CY26" i="2"/>
  <c r="CY110" i="2"/>
  <c r="CY182" i="2"/>
  <c r="CY42" i="2"/>
  <c r="CY67" i="2"/>
  <c r="CY151" i="2"/>
  <c r="CY52" i="2"/>
  <c r="CY117" i="2"/>
  <c r="CY146" i="2"/>
  <c r="CY127" i="2"/>
  <c r="CY180" i="2"/>
  <c r="CY23" i="2"/>
  <c r="CY27" i="2"/>
  <c r="CY175" i="2"/>
  <c r="CY106" i="2"/>
  <c r="CY13" i="2"/>
  <c r="CY153" i="2"/>
  <c r="CY37" i="2"/>
  <c r="CY89" i="2"/>
  <c r="CY158" i="2"/>
  <c r="CY71" i="2"/>
  <c r="CY121" i="2"/>
  <c r="CY84" i="2"/>
  <c r="CY40" i="2"/>
  <c r="CY179" i="2"/>
  <c r="CY190" i="2"/>
  <c r="CY74" i="2"/>
  <c r="CY155" i="2"/>
  <c r="CY134" i="2"/>
  <c r="CY173" i="2"/>
  <c r="CY111" i="2"/>
  <c r="CY154" i="2"/>
  <c r="CY5" i="2"/>
  <c r="CY145" i="2"/>
  <c r="CY168" i="2"/>
  <c r="CY66" i="2"/>
  <c r="CY162" i="2"/>
  <c r="CY85" i="2"/>
  <c r="CY104" i="2"/>
  <c r="CY24" i="2"/>
  <c r="CY86" i="2"/>
  <c r="CY36" i="2"/>
  <c r="CY122" i="2"/>
  <c r="CY119" i="2"/>
  <c r="CY157" i="2"/>
  <c r="CY15" i="2"/>
  <c r="CY192" i="2"/>
  <c r="CY28" i="2"/>
  <c r="CY10" i="2"/>
  <c r="CY113" i="2"/>
  <c r="CY167" i="2"/>
  <c r="CY57" i="2"/>
  <c r="CY35" i="2"/>
  <c r="CY131" i="2"/>
  <c r="CY143" i="2"/>
  <c r="CY31" i="2"/>
  <c r="CY70" i="2"/>
  <c r="CY114" i="2"/>
  <c r="CY163" i="2"/>
  <c r="CY159" i="2"/>
  <c r="CY118" i="2"/>
  <c r="CY140" i="2"/>
  <c r="CY53" i="2"/>
  <c r="CY147" i="2"/>
  <c r="CY174" i="2"/>
  <c r="CY137" i="2"/>
  <c r="CY41" i="2"/>
  <c r="CY56" i="2"/>
  <c r="CY19" i="2"/>
  <c r="CY47" i="2"/>
  <c r="CY45" i="2"/>
  <c r="CY144" i="2"/>
  <c r="CY200" i="2"/>
  <c r="CY160" i="2"/>
  <c r="CY94" i="2"/>
  <c r="CY120" i="2"/>
  <c r="CY59" i="2"/>
  <c r="CY11" i="2"/>
  <c r="CY49" i="2"/>
  <c r="CY130" i="2"/>
  <c r="CY3" i="2"/>
  <c r="C10" i="4" s="1"/>
  <c r="E10" i="4" s="1"/>
  <c r="F10" i="4" s="1"/>
  <c r="G10" i="4" s="1"/>
  <c r="L10" i="4" s="1"/>
  <c r="CY17" i="2"/>
  <c r="CY196" i="2"/>
  <c r="CY63" i="2"/>
  <c r="CY123" i="2"/>
  <c r="CY4" i="2"/>
  <c r="CY132" i="2"/>
  <c r="CY181" i="2"/>
  <c r="CY77" i="2"/>
  <c r="CY78" i="2"/>
  <c r="CY126" i="2"/>
  <c r="CY82" i="2"/>
  <c r="CY96" i="2"/>
  <c r="CY69" i="2"/>
  <c r="CY194" i="2"/>
  <c r="CY185" i="2"/>
  <c r="CY109" i="2"/>
  <c r="CY72" i="2"/>
  <c r="CY48" i="2"/>
  <c r="CY138" i="2"/>
  <c r="CY80" i="2"/>
  <c r="CY129" i="2"/>
  <c r="CY65" i="2"/>
  <c r="CY34" i="2"/>
  <c r="CY44" i="2"/>
  <c r="CY191" i="2"/>
  <c r="CY150" i="2"/>
  <c r="CY97" i="2"/>
  <c r="CY193" i="2"/>
  <c r="CY62" i="2"/>
  <c r="CY116" i="2"/>
  <c r="CY133" i="2"/>
  <c r="CY183" i="2"/>
  <c r="CY189" i="2"/>
  <c r="CY177" i="2"/>
  <c r="CY176" i="2"/>
  <c r="CY61" i="2"/>
  <c r="CY7" i="2"/>
  <c r="CY172" i="2"/>
  <c r="CY124" i="2"/>
  <c r="CY92" i="2"/>
  <c r="CY64" i="2"/>
  <c r="CY90" i="2"/>
  <c r="CY18" i="2"/>
  <c r="CY98" i="2"/>
  <c r="CY81" i="2"/>
  <c r="CY188" i="2"/>
  <c r="CY102" i="2"/>
  <c r="CY178" i="2"/>
  <c r="CY30" i="2"/>
  <c r="CY99" i="2"/>
  <c r="CY6" i="2"/>
  <c r="CY58" i="2"/>
  <c r="CY68" i="2"/>
  <c r="CY93" i="2"/>
  <c r="CY201" i="2"/>
  <c r="CY33" i="2"/>
  <c r="CY55" i="2"/>
  <c r="CY171" i="2"/>
  <c r="CY100" i="2"/>
  <c r="CY202" i="2"/>
  <c r="CY91" i="2"/>
  <c r="CY16" i="2"/>
  <c r="CY148" i="2"/>
  <c r="CY186" i="2"/>
  <c r="CY198" i="2"/>
  <c r="CY195" i="2"/>
  <c r="CY197" i="2"/>
  <c r="CY43" i="2"/>
  <c r="CY184" i="2"/>
  <c r="CY125" i="2"/>
  <c r="CY79" i="2"/>
  <c r="CY51" i="2"/>
  <c r="CY73" i="2"/>
  <c r="CY139" i="2"/>
  <c r="CY95" i="2"/>
  <c r="CY25" i="2"/>
  <c r="CY54" i="2"/>
  <c r="CY22" i="2"/>
  <c r="CY142" i="2"/>
  <c r="CY50" i="2"/>
  <c r="CY108" i="2"/>
  <c r="CY105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I95" i="2" l="1"/>
  <c r="BI52" i="2"/>
  <c r="BI117" i="2"/>
  <c r="BI47" i="2"/>
  <c r="BI129" i="2"/>
  <c r="BI79" i="2"/>
  <c r="BI116" i="2"/>
  <c r="BI66" i="2"/>
  <c r="BI103" i="2"/>
  <c r="BI166" i="2"/>
  <c r="BI174" i="2"/>
  <c r="BI39" i="2"/>
  <c r="BI107" i="2"/>
  <c r="BI8" i="2"/>
  <c r="BI146" i="2"/>
  <c r="BI161" i="2"/>
  <c r="BI7" i="2"/>
  <c r="BI53" i="2"/>
  <c r="BI26" i="2"/>
  <c r="BI27" i="2"/>
  <c r="BI104" i="2"/>
  <c r="BI151" i="2"/>
  <c r="BI17" i="2"/>
  <c r="BI40" i="2"/>
  <c r="BI134" i="2"/>
  <c r="BI185" i="2"/>
  <c r="BI180" i="2"/>
  <c r="BI168" i="2"/>
  <c r="BI87" i="2"/>
  <c r="BI114" i="2"/>
  <c r="BI75" i="2"/>
  <c r="BI13" i="2"/>
  <c r="BI177" i="2"/>
  <c r="BI65" i="2"/>
  <c r="BI135" i="2"/>
  <c r="BI19" i="2"/>
  <c r="BI70" i="2"/>
  <c r="BI41" i="2"/>
  <c r="BI120" i="2"/>
  <c r="BI31" i="2"/>
  <c r="BI83" i="2"/>
  <c r="BI145" i="2"/>
  <c r="BI51" i="2"/>
  <c r="BI14" i="2"/>
  <c r="BI63" i="2"/>
  <c r="BI186" i="2"/>
  <c r="BI62" i="2"/>
  <c r="BI123" i="2"/>
  <c r="BI3" i="2"/>
  <c r="C8" i="4" s="1"/>
  <c r="E8" i="4" s="1"/>
  <c r="F8" i="4" s="1"/>
  <c r="G8" i="4" s="1"/>
  <c r="L8" i="4" s="1"/>
  <c r="BI37" i="2"/>
  <c r="BI100" i="2"/>
  <c r="BI163" i="2"/>
  <c r="BI60" i="2"/>
  <c r="BI121" i="2"/>
  <c r="BI85" i="2"/>
  <c r="BI24" i="2"/>
  <c r="BI183" i="2"/>
  <c r="BI88" i="2"/>
  <c r="BI156" i="2"/>
  <c r="BI169" i="2"/>
  <c r="BI76" i="2"/>
  <c r="BI6" i="2"/>
  <c r="BI101" i="2"/>
  <c r="BI138" i="2"/>
  <c r="BI201" i="2"/>
  <c r="BI131" i="2"/>
  <c r="BI157" i="2"/>
  <c r="BI20" i="2"/>
  <c r="BI58" i="2"/>
  <c r="BI23" i="2"/>
  <c r="BI126" i="2"/>
  <c r="BI172" i="2"/>
  <c r="BI68" i="2"/>
  <c r="BI109" i="2"/>
  <c r="BI12" i="2"/>
  <c r="BI32" i="2"/>
  <c r="BI55" i="2"/>
  <c r="BI71" i="2"/>
  <c r="BI142" i="2"/>
  <c r="BI44" i="2"/>
  <c r="BI61" i="2"/>
  <c r="BI69" i="2"/>
  <c r="BI90" i="2"/>
  <c r="BI22" i="2"/>
  <c r="BI45" i="2"/>
  <c r="BI132" i="2"/>
  <c r="BI159" i="2"/>
  <c r="BI59" i="2"/>
  <c r="BI48" i="2"/>
  <c r="BI67" i="2"/>
  <c r="BI33" i="2"/>
  <c r="BI182" i="2"/>
  <c r="BI200" i="2"/>
  <c r="BI46" i="2"/>
  <c r="BI141" i="2"/>
  <c r="BI130" i="2"/>
  <c r="BI196" i="2"/>
  <c r="BI113" i="2"/>
  <c r="BI49" i="2"/>
  <c r="BI122" i="2"/>
  <c r="BI34" i="2"/>
  <c r="BI77" i="2"/>
  <c r="BI93" i="2"/>
  <c r="BI140" i="2"/>
  <c r="BI36" i="2"/>
  <c r="BI192" i="2"/>
  <c r="BI38" i="2"/>
  <c r="BI194" i="2"/>
  <c r="BI50" i="2"/>
  <c r="BI158" i="2"/>
  <c r="BI127" i="2"/>
  <c r="BI28" i="2"/>
  <c r="BI184" i="2"/>
  <c r="BI128" i="2"/>
  <c r="BI80" i="2"/>
  <c r="BI119" i="2"/>
  <c r="BI165" i="2"/>
  <c r="BI91" i="2"/>
  <c r="BI154" i="2"/>
  <c r="BI74" i="2"/>
  <c r="BI111" i="2"/>
  <c r="BI115" i="2"/>
  <c r="BI96" i="2"/>
  <c r="BI199" i="2"/>
  <c r="BI136" i="2"/>
  <c r="BI72" i="2"/>
  <c r="BI9" i="2"/>
  <c r="BI82" i="2"/>
  <c r="BI195" i="2"/>
  <c r="BI84" i="2"/>
  <c r="BI108" i="2"/>
  <c r="BI153" i="2"/>
  <c r="BI30" i="2"/>
  <c r="BI16" i="2"/>
  <c r="BI11" i="2"/>
  <c r="BI193" i="2"/>
  <c r="BI118" i="2"/>
  <c r="BI102" i="2"/>
  <c r="BI178" i="2"/>
  <c r="BI170" i="2"/>
  <c r="BI81" i="2"/>
  <c r="BI190" i="2"/>
  <c r="BI147" i="2"/>
  <c r="BI10" i="2"/>
  <c r="BI148" i="2"/>
  <c r="BI149" i="2"/>
  <c r="BI89" i="2"/>
  <c r="BI137" i="2"/>
  <c r="BI164" i="2"/>
  <c r="BI99" i="2"/>
  <c r="BI203" i="2"/>
  <c r="BI94" i="2"/>
  <c r="BI97" i="2"/>
  <c r="BI197" i="2"/>
  <c r="BI110" i="2"/>
  <c r="BI143" i="2"/>
  <c r="BI139" i="2"/>
  <c r="BI42" i="2"/>
  <c r="BI181" i="2"/>
  <c r="BI124" i="2"/>
  <c r="BI105" i="2"/>
  <c r="BI112" i="2"/>
  <c r="BI18" i="2"/>
  <c r="BI35" i="2"/>
  <c r="BI162" i="2"/>
  <c r="BI175" i="2"/>
  <c r="BI21" i="2"/>
  <c r="BI179" i="2"/>
  <c r="BI15" i="2"/>
  <c r="BI29" i="2"/>
  <c r="BI98" i="2"/>
  <c r="BI191" i="2"/>
  <c r="BI25" i="2"/>
  <c r="BI73" i="2"/>
  <c r="BI54" i="2"/>
  <c r="BI4" i="2"/>
  <c r="BI125" i="2"/>
  <c r="BI106" i="2"/>
  <c r="BI152" i="2"/>
  <c r="BI171" i="2"/>
  <c r="BI144" i="2"/>
  <c r="BI160" i="2"/>
  <c r="BI155" i="2"/>
  <c r="BI202" i="2"/>
  <c r="BI56" i="2"/>
  <c r="BI150" i="2"/>
  <c r="BI5" i="2"/>
  <c r="BI64" i="2"/>
  <c r="BI43" i="2"/>
  <c r="BI187" i="2"/>
  <c r="BI198" i="2"/>
  <c r="BI176" i="2"/>
  <c r="BI133" i="2"/>
  <c r="BI92" i="2"/>
  <c r="BI78" i="2"/>
  <c r="BI86" i="2"/>
  <c r="BI188" i="2"/>
  <c r="BI173" i="2"/>
  <c r="BI189" i="2"/>
  <c r="BI57" i="2"/>
  <c r="BI167" i="2"/>
  <c r="BF124" i="2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<sst xmlns="http://schemas.openxmlformats.org/spreadsheetml/2006/main" count="1172" uniqueCount="324">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</sst>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2.0845501970519011</c:v>
                </c:pt>
                <c:pt idx="2">
                  <c:v>2.9146842827645361</c:v>
                </c:pt>
                <c:pt idx="3">
                  <c:v>4.0768397344927632</c:v>
                </c:pt>
                <c:pt idx="4">
                  <c:v>5.7043524683781746</c:v>
                </c:pt>
                <c:pt idx="5">
                  <c:v>7.984306999995689</c:v>
                </c:pt>
                <c:pt idx="6">
                  <c:v>11.179278416162669</c:v>
                </c:pt>
                <c:pt idx="7">
                  <c:v>15.657897331929332</c:v>
                </c:pt>
                <c:pt idx="8">
                  <c:v>21.937828644824531</c:v>
                </c:pt>
                <c:pt idx="9">
                  <c:v>30.74622014423613</c:v>
                </c:pt>
                <c:pt idx="10">
                  <c:v>43.104741594589846</c:v>
                </c:pt>
                <c:pt idx="11">
                  <c:v>60.449244438445447</c:v>
                </c:pt>
                <c:pt idx="12">
                  <c:v>84.798173291464195</c:v>
                </c:pt>
                <c:pt idx="13">
                  <c:v>118.98964183445605</c:v>
                </c:pt>
                <c:pt idx="14">
                  <c:v>167.01523742754262</c:v>
                </c:pt>
                <c:pt idx="15">
                  <c:v>234.49011436739411</c:v>
                </c:pt>
                <c:pt idx="16">
                  <c:v>329.31514933251395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58" zoomScale="90" zoomScaleNormal="90" workbookViewId="0">
      <selection activeCell="E94" sqref="E94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3.76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0.247</v>
      </c>
      <c r="D9" s="36">
        <f t="shared" ref="D9:D18" si="0">C9*$C$5</f>
        <v>0.92871999999999999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138</v>
      </c>
      <c r="C10" s="35">
        <v>0.625</v>
      </c>
      <c r="D10" s="36">
        <f t="shared" si="0"/>
        <v>2.3499999999999996</v>
      </c>
      <c r="E10" s="37">
        <v>30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118</v>
      </c>
      <c r="C11" s="35">
        <v>0.128</v>
      </c>
      <c r="D11" s="36">
        <f t="shared" si="0"/>
        <v>0.48127999999999999</v>
      </c>
      <c r="E11" s="37">
        <v>16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3.76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taeda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12</v>
      </c>
      <c r="B62" s="63">
        <v>106</v>
      </c>
      <c r="C62" s="63">
        <v>1</v>
      </c>
      <c r="D62" s="63">
        <v>34</v>
      </c>
      <c r="E62" s="54"/>
      <c r="F62" s="54"/>
      <c r="G62" s="54">
        <v>1</v>
      </c>
      <c r="H62" s="54"/>
      <c r="I62" s="56">
        <f>IFERROR(B62/A62,"")</f>
        <v>8.8333333333333339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17</v>
      </c>
      <c r="B63" s="63">
        <v>176</v>
      </c>
      <c r="C63" s="63">
        <v>2</v>
      </c>
      <c r="D63" s="63">
        <v>43</v>
      </c>
      <c r="E63" s="54">
        <v>0.2</v>
      </c>
      <c r="F63" s="54"/>
      <c r="G63" s="54">
        <v>0.8</v>
      </c>
      <c r="H63" s="54"/>
      <c r="I63" s="52">
        <f>IF(A63&lt;&gt;0,(B63-(B62-D62))/(A63-A62),"")</f>
        <v>20.8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22</v>
      </c>
      <c r="B64" s="63">
        <v>232</v>
      </c>
      <c r="C64" s="63">
        <v>3</v>
      </c>
      <c r="D64" s="63">
        <v>56</v>
      </c>
      <c r="E64" s="54">
        <v>0.4</v>
      </c>
      <c r="F64" s="54"/>
      <c r="G64" s="54">
        <v>0.6</v>
      </c>
      <c r="H64" s="54"/>
      <c r="I64" s="52">
        <f>IF(A64&lt;&gt;0,(B64-(B63-D63))/(A64-A63),"")</f>
        <v>19.8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309</v>
      </c>
      <c r="C65" s="63">
        <v>4</v>
      </c>
      <c r="D65" s="63">
        <v>309</v>
      </c>
      <c r="E65" s="54">
        <v>0.4</v>
      </c>
      <c r="F65" s="54">
        <v>0.4</v>
      </c>
      <c r="G65" s="54">
        <v>0.2</v>
      </c>
      <c r="H65" s="54"/>
      <c r="I65" s="52">
        <f>IF(A65&lt;&gt;0,(B65-(B64-D64))/(A65-A64),"")</f>
        <v>16.625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Peuplier Taro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16</v>
      </c>
      <c r="B88" s="53">
        <v>262</v>
      </c>
      <c r="C88" s="53">
        <v>1</v>
      </c>
      <c r="D88" s="53">
        <v>262</v>
      </c>
      <c r="E88" s="54">
        <v>0.77</v>
      </c>
      <c r="F88" s="54">
        <v>0.21</v>
      </c>
      <c r="G88" s="54"/>
      <c r="H88" s="93"/>
      <c r="I88" s="56">
        <f>IFERROR(B88/A88,"")</f>
        <v>16.375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0" t="s">
        <v>176</v>
      </c>
      <c r="C1" s="311"/>
      <c r="D1" s="311"/>
      <c r="E1" s="311"/>
      <c r="F1" s="311"/>
      <c r="G1" s="311"/>
      <c r="H1" s="312"/>
      <c r="I1" s="307" t="str">
        <f>IF('Données projet'!$B$9="","",'Données projet'!$B$9)</f>
        <v>Pin maritime</v>
      </c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9"/>
      <c r="AD1" s="308" t="str">
        <f>IF('Données projet'!$B$10="","",'Données projet'!$B$10)</f>
        <v>Pin taeda</v>
      </c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9"/>
      <c r="AY1" s="307" t="str">
        <f>IF('Données projet'!$B$11="","",'Données projet'!$B$11)</f>
        <v>Peuplier Taro</v>
      </c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9"/>
      <c r="BT1" s="307" t="str">
        <f>IF('Données projet'!$B$12="","",'Données projet'!$B$12)</f>
        <v/>
      </c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9"/>
      <c r="CO1" s="307" t="str">
        <f>IF('Données projet'!$B$13="","",'Données projet'!$B$13)</f>
        <v/>
      </c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308"/>
      <c r="DH1" s="308"/>
      <c r="DI1" s="309"/>
      <c r="DJ1" s="307" t="str">
        <f>IF('Données projet'!$B$14="","",'Données projet'!$B$14)</f>
        <v/>
      </c>
      <c r="DK1" s="308"/>
      <c r="DL1" s="308"/>
      <c r="DM1" s="308"/>
      <c r="DN1" s="308"/>
      <c r="DO1" s="308"/>
      <c r="DP1" s="308"/>
      <c r="DQ1" s="308"/>
      <c r="DR1" s="308"/>
      <c r="DS1" s="308"/>
      <c r="DT1" s="308"/>
      <c r="DU1" s="308"/>
      <c r="DV1" s="308"/>
      <c r="DW1" s="308"/>
      <c r="DX1" s="308"/>
      <c r="DY1" s="308"/>
      <c r="DZ1" s="308"/>
      <c r="EA1" s="308"/>
      <c r="EB1" s="308"/>
      <c r="EC1" s="308"/>
      <c r="ED1" s="309"/>
      <c r="EE1" s="307" t="str">
        <f>IF('Données projet'!$B$15="","",'Données projet'!$B$15)</f>
        <v/>
      </c>
      <c r="EF1" s="308"/>
      <c r="EG1" s="308"/>
      <c r="EH1" s="308"/>
      <c r="EI1" s="308"/>
      <c r="EJ1" s="308"/>
      <c r="EK1" s="308"/>
      <c r="EL1" s="308"/>
      <c r="EM1" s="308"/>
      <c r="EN1" s="308"/>
      <c r="EO1" s="308"/>
      <c r="EP1" s="308"/>
      <c r="EQ1" s="308"/>
      <c r="ER1" s="308"/>
      <c r="ES1" s="308"/>
      <c r="ET1" s="308"/>
      <c r="EU1" s="308"/>
      <c r="EV1" s="308"/>
      <c r="EW1" s="308"/>
      <c r="EX1" s="308"/>
      <c r="EY1" s="309"/>
      <c r="EZ1" s="307" t="str">
        <f>IF('Données projet'!$B$16="","",'Données projet'!$B$16)</f>
        <v/>
      </c>
      <c r="FA1" s="308"/>
      <c r="FB1" s="308"/>
      <c r="FC1" s="308"/>
      <c r="FD1" s="308"/>
      <c r="FE1" s="308"/>
      <c r="FF1" s="308"/>
      <c r="FG1" s="308"/>
      <c r="FH1" s="308"/>
      <c r="FI1" s="308"/>
      <c r="FJ1" s="308"/>
      <c r="FK1" s="308"/>
      <c r="FL1" s="308"/>
      <c r="FM1" s="308"/>
      <c r="FN1" s="308"/>
      <c r="FO1" s="308"/>
      <c r="FP1" s="308"/>
      <c r="FQ1" s="308"/>
      <c r="FR1" s="308"/>
      <c r="FS1" s="308"/>
      <c r="FT1" s="309"/>
      <c r="FU1" s="307" t="str">
        <f>IF('Données projet'!$B$17="","",'Données projet'!$B$17)</f>
        <v/>
      </c>
      <c r="FV1" s="308"/>
      <c r="FW1" s="308"/>
      <c r="FX1" s="308"/>
      <c r="FY1" s="308"/>
      <c r="FZ1" s="308"/>
      <c r="GA1" s="308"/>
      <c r="GB1" s="308"/>
      <c r="GC1" s="308"/>
      <c r="GD1" s="308"/>
      <c r="GE1" s="308"/>
      <c r="GF1" s="308"/>
      <c r="GG1" s="308"/>
      <c r="GH1" s="308"/>
      <c r="GI1" s="308"/>
      <c r="GJ1" s="308"/>
      <c r="GK1" s="308"/>
      <c r="GL1" s="308"/>
      <c r="GM1" s="308"/>
      <c r="GN1" s="308"/>
      <c r="GO1" s="309"/>
      <c r="GP1" s="307" t="str">
        <f>IF('Données projet'!$B$18="","",'Données projet'!$B$18)</f>
        <v/>
      </c>
      <c r="GQ1" s="308"/>
      <c r="GR1" s="308"/>
      <c r="GS1" s="308"/>
      <c r="GT1" s="308"/>
      <c r="GU1" s="308"/>
      <c r="GV1" s="308"/>
      <c r="GW1" s="308"/>
      <c r="GX1" s="308"/>
      <c r="GY1" s="308"/>
      <c r="GZ1" s="308"/>
      <c r="HA1" s="308"/>
      <c r="HB1" s="308"/>
      <c r="HC1" s="308"/>
      <c r="HD1" s="308"/>
      <c r="HE1" s="308"/>
      <c r="HF1" s="308"/>
      <c r="HG1" s="308"/>
      <c r="HH1" s="308"/>
      <c r="HI1" s="308"/>
      <c r="HJ1" s="309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182.84082525184493</v>
      </c>
      <c r="T3" s="62">
        <f>IF('Données projet'!E9&gt;30,$R$33-$H$33,LOOKUP('Données projet'!$E$9,$A$3:$A$203,R3:R203)-LOOKUP('Données projet'!$E$9,$A$3:$A$203,$H$3:$H$203))</f>
        <v>430.83336115516937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182.84082525184493</v>
      </c>
      <c r="AO3" s="62">
        <f>IF('Données projet'!E10&gt;30,$AM$33-$H$33,LOOKUP('Données projet'!$E$10,$A$3:$A$203,AM3:AM203)-LOOKUP('Données projet'!$E$10,$A$3:$A$203,$H$3:$H$203))</f>
        <v>430.83336115516937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256.66666666666669</v>
      </c>
      <c r="BI3" s="62">
        <f ca="1">AVERAGE(OFFSET($BH$3,0,0,'Données projet'!$E$11+1,1))-AVERAGE(OFFSET($H$3,0,0,'Données projet'!$E$11+1,1))</f>
        <v>74.52152468677042</v>
      </c>
      <c r="BJ3" s="62">
        <f>IF('Données projet'!E11&gt;30,$BH$33-$H$33,LOOKUP('Données projet'!$E$11,$A$3:$A$203,BH3:BH203)-LOOKUP('Données projet'!$E$11,$A$3:$A$203,$H$3:$H$203))</f>
        <v>344.26747505795851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0.115596</v>
      </c>
      <c r="D4" s="12">
        <f>IFERROR(EXP(-1.0587+0.8836*LN(C4)+0.284),0)</f>
        <v>6.8480721690467913E-2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0.18472260492446957</v>
      </c>
      <c r="H4" s="70">
        <f t="shared" ref="H4:H67" si="1">(B4+E4+F4)*44/12+(C4+D4)*0.475*44/12</f>
        <v>256.98726695694427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260.1434244379796</v>
      </c>
      <c r="S4" s="62">
        <f ca="1">AVERAGE(OFFSET($R$3,0,0,'Données projet'!$E$9+1,1))-AVERAGE(OFFSET($H$3,0,0,'Données projet'!$E$9+1,1))</f>
        <v>182.84082525184493</v>
      </c>
      <c r="T4" s="62">
        <f>$T$3</f>
        <v>430.83336115516937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8.8333333333333339</v>
      </c>
      <c r="AI4" s="14">
        <f>IF('Données projet'!$A$62&gt;35,AI3+AH4-AQ3,IF(A4&lt;'Données projet'!$A$62,$AF$205^A4,IF(A4='Données projet'!$A$62,'Données projet'!$B$62,AI3+AH4-AQ3)))</f>
        <v>1.4749438547769935</v>
      </c>
      <c r="AJ4" s="14">
        <f>AI4*VLOOKUP('Données projet'!$B$10,Paramètres!$A$1:$I$89,3,0)*VLOOKUP('Données projet'!$B$10,Paramètres!$A$1:$I$89,5,0)</f>
        <v>0.88201642515664225</v>
      </c>
      <c r="AK4" s="14">
        <f>EXP(-1.0587+0.8836*LN(AJ4)+0.284)</f>
        <v>0.4124537465701128</v>
      </c>
      <c r="AL4" s="22">
        <f t="shared" ref="AL4:AL67" si="4">(AJ4+AK4)*0.475*44/12</f>
        <v>2.254535549090765</v>
      </c>
      <c r="AM4" s="62">
        <f t="shared" ref="AM4:AM67" si="5">AL4+(AD4+AE4)*44/12</f>
        <v>260.1434244379796</v>
      </c>
      <c r="AN4" s="62">
        <f ca="1">AVERAGE(OFFSET($AM$3,0,0,'Données projet'!$E$10+1,1))-AVERAGE(OFFSET($H$3,0,0,'Données projet'!$E$10+1,1))</f>
        <v>182.84082525184493</v>
      </c>
      <c r="AO4" s="62">
        <f>$AO$3</f>
        <v>430.83336115516937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16.375</v>
      </c>
      <c r="BD4" s="13">
        <f>IF('Données projet'!$A$88&gt;35,BD3+BC4-BL3,IF(A4&lt;'Données projet'!$A$88,$BA$205^A4,IF(A4='Données projet'!$A$88,'Données projet'!$B$88,BD3+BC4-BL3)))</f>
        <v>1.4162627436518509</v>
      </c>
      <c r="BE4" s="14">
        <f>BD4*VLOOKUP('Données projet'!$B$11,Paramètres!$A$1:$I$89,3,0)*VLOOKUP('Données projet'!$B$11,Paramètres!$A$1:$I$89,5,0)</f>
        <v>0.81304811587565451</v>
      </c>
      <c r="BF4" s="14">
        <f>EXP(-1.0587+0.8836*LN(BE4)+0.284)</f>
        <v>0.38382281066132229</v>
      </c>
      <c r="BG4" s="22">
        <f t="shared" ref="BG4:BG67" si="7">(BE4+BF4)*0.475*44/12</f>
        <v>2.0845501970519011</v>
      </c>
      <c r="BH4" s="62">
        <f t="shared" ref="BH4:BH67" si="8">BG4+(AY4+AZ4)*44/12</f>
        <v>259.97343908594075</v>
      </c>
      <c r="BI4" s="62">
        <f ca="1">AVERAGE(OFFSET($BH$3,0,0,'Données projet'!$E$11+1,1))-AVERAGE(OFFSET($H$3,0,0,'Données projet'!$E$11+1,1))</f>
        <v>74.52152468677042</v>
      </c>
      <c r="BJ4" s="62">
        <f>$BJ$3</f>
        <v>344.26747505795851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0.23119200000000001</v>
      </c>
      <c r="D5" s="12">
        <f t="shared" ref="D5:D68" si="32">IFERROR(EXP(-1.0587+0.8836*LN(C5)+0.284),0)</f>
        <v>0.12634510850381211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0.358791624674001</v>
      </c>
      <c r="H5" s="70">
        <f t="shared" si="1"/>
        <v>257.28937713064414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262.38956383505422</v>
      </c>
      <c r="S5" s="62">
        <f ca="1">AVERAGE(OFFSET($R$3,0,0,'Données projet'!$E$9+1,1))-AVERAGE(OFFSET($H$3,0,0,'Données projet'!$E$9+1,1))</f>
        <v>182.84082525184493</v>
      </c>
      <c r="T5" s="62">
        <f t="shared" ref="T5:T68" si="34">$T$3</f>
        <v>430.83336115516937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8.8333333333333339</v>
      </c>
      <c r="AI5" s="14">
        <f>IF('Données projet'!$A$62&gt;35,AI4+AH5-AQ4,IF(A5&lt;'Données projet'!$A$62,$AF$205^A5,IF(A5='Données projet'!$A$62,'Données projet'!$B$62,AI4+AH5-AQ4)))</f>
        <v>2.1754593747444169</v>
      </c>
      <c r="AJ5" s="14">
        <f>AI5*VLOOKUP('Données projet'!$B$10,Paramètres!$A$1:$I$89,3,0)*VLOOKUP('Données projet'!$B$10,Paramètres!$A$1:$I$89,5,0)</f>
        <v>1.3009247060971614</v>
      </c>
      <c r="AK5" s="14">
        <f t="shared" ref="AK5:AK68" si="35">EXP(-1.0587+0.8836*LN(AJ5)+0.284)</f>
        <v>0.58144049425293109</v>
      </c>
      <c r="AL5" s="22">
        <f t="shared" si="4"/>
        <v>3.2784527239430776</v>
      </c>
      <c r="AM5" s="62">
        <f t="shared" si="5"/>
        <v>262.38956383505422</v>
      </c>
      <c r="AN5" s="62">
        <f ca="1">AVERAGE(OFFSET($AM$3,0,0,'Données projet'!$E$10+1,1))-AVERAGE(OFFSET($H$3,0,0,'Données projet'!$E$10+1,1))</f>
        <v>182.84082525184493</v>
      </c>
      <c r="AO5" s="62">
        <f t="shared" ref="AO5:AO68" si="36">$AO$3</f>
        <v>430.83336115516937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16.375</v>
      </c>
      <c r="BD5" s="13">
        <f>IF('Données projet'!$A$88&gt;35,BD4+BC5-BL4,IF(A5&lt;'Données projet'!$A$88,$BA$205^A5,IF(A5='Données projet'!$A$88,'Données projet'!$B$88,BD4+BC5-BL4)))</f>
        <v>2.0058001590562684</v>
      </c>
      <c r="BE5" s="14">
        <f>BD5*VLOOKUP('Données projet'!$B$11,Paramètres!$A$1:$I$89,3,0)*VLOOKUP('Données projet'!$B$11,Paramètres!$A$1:$I$89,5,0)</f>
        <v>1.1514897553110226</v>
      </c>
      <c r="BF5" s="14">
        <f t="shared" ref="BF5:BF68" si="37">EXP(-1.0587+0.8836*LN(BE5)+0.284)</f>
        <v>0.52201318216143844</v>
      </c>
      <c r="BG5" s="22">
        <f t="shared" si="7"/>
        <v>2.9146842827645361</v>
      </c>
      <c r="BH5" s="62">
        <f t="shared" si="8"/>
        <v>262.02579539387568</v>
      </c>
      <c r="BI5" s="62">
        <f ca="1">AVERAGE(OFFSET($BH$3,0,0,'Données projet'!$E$11+1,1))-AVERAGE(OFFSET($H$3,0,0,'Données projet'!$E$11+1,1))</f>
        <v>74.52152468677042</v>
      </c>
      <c r="BJ5" s="62">
        <f t="shared" ref="BJ5:BJ68" si="38">$BJ$3</f>
        <v>344.26747505795851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0.34678799999999999</v>
      </c>
      <c r="D6" s="12">
        <f t="shared" si="32"/>
        <v>0.18078095205851968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0.52942007118854961</v>
      </c>
      <c r="H6" s="70">
        <f t="shared" si="1"/>
        <v>257.58551592483525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265.10280709686913</v>
      </c>
      <c r="S6" s="62">
        <f ca="1">AVERAGE(OFFSET($R$3,0,0,'Données projet'!$E$9+1,1))-AVERAGE(OFFSET($H$3,0,0,'Données projet'!$E$9+1,1))</f>
        <v>182.84082525184493</v>
      </c>
      <c r="T6" s="62">
        <f t="shared" si="34"/>
        <v>430.83336115516937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8.8333333333333339</v>
      </c>
      <c r="AI6" s="14">
        <f>IF('Données projet'!$A$62&gt;35,AI5+AH6-AQ5,IF(A6&lt;'Données projet'!$A$62,$AF$205^A6,IF(A6='Données projet'!$A$62,'Données projet'!$B$62,AI5+AH6-AQ5)))</f>
        <v>3.2086804360962784</v>
      </c>
      <c r="AJ6" s="14">
        <f>AI6*VLOOKUP('Données projet'!$B$10,Paramètres!$A$1:$I$89,3,0)*VLOOKUP('Données projet'!$B$10,Paramètres!$A$1:$I$89,5,0)</f>
        <v>1.9187909007855746</v>
      </c>
      <c r="AK6" s="14">
        <f t="shared" si="35"/>
        <v>0.81966293473739615</v>
      </c>
      <c r="AL6" s="22">
        <f t="shared" si="4"/>
        <v>4.7694737635358404</v>
      </c>
      <c r="AM6" s="62">
        <f t="shared" si="5"/>
        <v>265.10280709686913</v>
      </c>
      <c r="AN6" s="62">
        <f ca="1">AVERAGE(OFFSET($AM$3,0,0,'Données projet'!$E$10+1,1))-AVERAGE(OFFSET($H$3,0,0,'Données projet'!$E$10+1,1))</f>
        <v>182.84082525184493</v>
      </c>
      <c r="AO6" s="62">
        <f t="shared" si="36"/>
        <v>430.83336115516937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16.375</v>
      </c>
      <c r="BD6" s="13">
        <f>IF('Données projet'!$A$88&gt;35,BD5+BC6-BL5,IF(A6&lt;'Données projet'!$A$88,$BA$205^A6,IF(A6='Données projet'!$A$88,'Données projet'!$B$88,BD5+BC6-BL5)))</f>
        <v>2.8407400364823494</v>
      </c>
      <c r="BE6" s="14">
        <f>BD6*VLOOKUP('Données projet'!$B$11,Paramètres!$A$1:$I$89,3,0)*VLOOKUP('Données projet'!$B$11,Paramètres!$A$1:$I$89,5,0)</f>
        <v>1.6308120401437873</v>
      </c>
      <c r="BF6" s="14">
        <f t="shared" si="37"/>
        <v>0.70995718540229702</v>
      </c>
      <c r="BG6" s="22">
        <f t="shared" si="7"/>
        <v>4.0768397344927632</v>
      </c>
      <c r="BH6" s="62">
        <f t="shared" si="8"/>
        <v>264.41017306782607</v>
      </c>
      <c r="BI6" s="62">
        <f ca="1">AVERAGE(OFFSET($BH$3,0,0,'Données projet'!$E$11+1,1))-AVERAGE(OFFSET($H$3,0,0,'Données projet'!$E$11+1,1))</f>
        <v>74.52152468677042</v>
      </c>
      <c r="BJ6" s="62">
        <f t="shared" si="38"/>
        <v>344.26747505795851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0.46238400000000002</v>
      </c>
      <c r="D7" s="12">
        <f t="shared" si="32"/>
        <v>0.23310336177520194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0.69792766830774655</v>
      </c>
      <c r="H7" s="70">
        <f t="shared" si="1"/>
        <v>257.87797382175847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268.49713617112559</v>
      </c>
      <c r="S7" s="62">
        <f ca="1">AVERAGE(OFFSET($R$3,0,0,'Données projet'!$E$9+1,1))-AVERAGE(OFFSET($H$3,0,0,'Données projet'!$E$9+1,1))</f>
        <v>182.84082525184493</v>
      </c>
      <c r="T7" s="62">
        <f t="shared" si="34"/>
        <v>430.83336115516937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8.8333333333333339</v>
      </c>
      <c r="AI7" s="14">
        <f>IF('Données projet'!$A$62&gt;35,AI6+AH7-AQ6,IF(A7&lt;'Données projet'!$A$62,$AF$205^A7,IF(A7='Données projet'!$A$62,'Données projet'!$B$62,AI6+AH7-AQ6)))</f>
        <v>4.7326234911633689</v>
      </c>
      <c r="AJ7" s="14">
        <f>AI7*VLOOKUP('Données projet'!$B$10,Paramètres!$A$1:$I$89,3,0)*VLOOKUP('Données projet'!$B$10,Paramètres!$A$1:$I$89,5,0)</f>
        <v>2.8301088477156946</v>
      </c>
      <c r="AK7" s="14">
        <f t="shared" si="35"/>
        <v>1.1554876779704684</v>
      </c>
      <c r="AL7" s="22">
        <f t="shared" si="4"/>
        <v>6.9415806155700679</v>
      </c>
      <c r="AM7" s="62">
        <f t="shared" si="5"/>
        <v>268.49713617112559</v>
      </c>
      <c r="AN7" s="62">
        <f ca="1">AVERAGE(OFFSET($AM$3,0,0,'Données projet'!$E$10+1,1))-AVERAGE(OFFSET($H$3,0,0,'Données projet'!$E$10+1,1))</f>
        <v>182.84082525184493</v>
      </c>
      <c r="AO7" s="62">
        <f t="shared" si="36"/>
        <v>430.83336115516937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16.375</v>
      </c>
      <c r="BD7" s="13">
        <f>IF('Données projet'!$A$88&gt;35,BD6+BC7-BL6,IF(A7&lt;'Données projet'!$A$88,$BA$205^A7,IF(A7='Données projet'!$A$88,'Données projet'!$B$88,BD6+BC7-BL6)))</f>
        <v>4.0232342780701513</v>
      </c>
      <c r="BE7" s="14">
        <f>BD7*VLOOKUP('Données projet'!$B$11,Paramètres!$A$1:$I$89,3,0)*VLOOKUP('Données projet'!$B$11,Paramètres!$A$1:$I$89,5,0)</f>
        <v>2.3096583343545127</v>
      </c>
      <c r="BF7" s="14">
        <f t="shared" si="37"/>
        <v>0.96556796327888861</v>
      </c>
      <c r="BG7" s="22">
        <f t="shared" si="7"/>
        <v>5.7043524683781746</v>
      </c>
      <c r="BH7" s="62">
        <f t="shared" si="8"/>
        <v>267.25990802393369</v>
      </c>
      <c r="BI7" s="62">
        <f ca="1">AVERAGE(OFFSET($BH$3,0,0,'Données projet'!$E$11+1,1))-AVERAGE(OFFSET($H$3,0,0,'Données projet'!$E$11+1,1))</f>
        <v>74.52152468677042</v>
      </c>
      <c r="BJ7" s="62">
        <f t="shared" si="38"/>
        <v>344.26747505795851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0.57798000000000005</v>
      </c>
      <c r="D8" s="12">
        <f t="shared" si="32"/>
        <v>0.28390838835541737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0.8649125581391206</v>
      </c>
      <c r="H8" s="70">
        <f t="shared" si="1"/>
        <v>258.16778894305236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272.88493956505795</v>
      </c>
      <c r="S8" s="62">
        <f ca="1">AVERAGE(OFFSET($R$3,0,0,'Données projet'!$E$9+1,1))-AVERAGE(OFFSET($H$3,0,0,'Données projet'!$E$9+1,1))</f>
        <v>182.84082525184493</v>
      </c>
      <c r="T8" s="62">
        <f t="shared" si="34"/>
        <v>430.83336115516937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8.8333333333333339</v>
      </c>
      <c r="AI8" s="14">
        <f>IF('Données projet'!$A$62&gt;35,AI7+AH8-AQ7,IF(A8&lt;'Données projet'!$A$62,$AF$205^A8,IF(A8='Données projet'!$A$62,'Données projet'!$B$62,AI7+AH8-AQ7)))</f>
        <v>6.9803539352646524</v>
      </c>
      <c r="AJ8" s="14">
        <f>AI8*VLOOKUP('Données projet'!$B$10,Paramètres!$A$1:$I$89,3,0)*VLOOKUP('Données projet'!$B$10,Paramètres!$A$1:$I$89,5,0)</f>
        <v>4.1742516532882625</v>
      </c>
      <c r="AK8" s="14">
        <f t="shared" si="35"/>
        <v>1.6289034398869595</v>
      </c>
      <c r="AL8" s="22">
        <f t="shared" si="4"/>
        <v>10.107161787280178</v>
      </c>
      <c r="AM8" s="62">
        <f t="shared" si="5"/>
        <v>272.88493956505795</v>
      </c>
      <c r="AN8" s="62">
        <f ca="1">AVERAGE(OFFSET($AM$3,0,0,'Données projet'!$E$10+1,1))-AVERAGE(OFFSET($H$3,0,0,'Données projet'!$E$10+1,1))</f>
        <v>182.84082525184493</v>
      </c>
      <c r="AO8" s="62">
        <f t="shared" si="36"/>
        <v>430.83336115516937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16.375</v>
      </c>
      <c r="BD8" s="13">
        <f>IF('Données projet'!$A$88&gt;35,BD7+BC8-BL7,IF(A8&lt;'Données projet'!$A$88,$BA$205^A8,IF(A8='Données projet'!$A$88,'Données projet'!$B$88,BD7+BC8-BL7)))</f>
        <v>5.6979568170138064</v>
      </c>
      <c r="BE8" s="14">
        <f>BD8*VLOOKUP('Données projet'!$B$11,Paramètres!$A$1:$I$89,3,0)*VLOOKUP('Données projet'!$B$11,Paramètres!$A$1:$I$89,5,0)</f>
        <v>3.2710830495112857</v>
      </c>
      <c r="BF8" s="14">
        <f t="shared" si="37"/>
        <v>1.3132080509647088</v>
      </c>
      <c r="BG8" s="22">
        <f t="shared" si="7"/>
        <v>7.984306999995689</v>
      </c>
      <c r="BH8" s="62">
        <f t="shared" si="8"/>
        <v>270.76208477777345</v>
      </c>
      <c r="BI8" s="62">
        <f ca="1">AVERAGE(OFFSET($BH$3,0,0,'Données projet'!$E$11+1,1))-AVERAGE(OFFSET($H$3,0,0,'Données projet'!$E$11+1,1))</f>
        <v>74.52152468677042</v>
      </c>
      <c r="BJ8" s="62">
        <f t="shared" si="38"/>
        <v>344.26747505795851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0.69357600000000008</v>
      </c>
      <c r="D9" s="12">
        <f t="shared" si="32"/>
        <v>0.33353604400514691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1.0307159459139368</v>
      </c>
      <c r="H9" s="70">
        <f t="shared" si="1"/>
        <v>258.45555347664231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278.72242949911606</v>
      </c>
      <c r="S9" s="62">
        <f ca="1">AVERAGE(OFFSET($R$3,0,0,'Données projet'!$E$9+1,1))-AVERAGE(OFFSET($H$3,0,0,'Données projet'!$E$9+1,1))</f>
        <v>182.84082525184493</v>
      </c>
      <c r="T9" s="62">
        <f t="shared" si="34"/>
        <v>430.83336115516937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8.8333333333333339</v>
      </c>
      <c r="AI9" s="14">
        <f>IF('Données projet'!$A$62&gt;35,AI8+AH9-AQ8,IF(A9&lt;'Données projet'!$A$62,$AF$205^A9,IF(A9='Données projet'!$A$62,'Données projet'!$B$62,AI8+AH9-AQ8)))</f>
        <v>10.295630140987003</v>
      </c>
      <c r="AJ9" s="14">
        <f>AI9*VLOOKUP('Données projet'!$B$10,Paramètres!$A$1:$I$89,3,0)*VLOOKUP('Données projet'!$B$10,Paramètres!$A$1:$I$89,5,0)</f>
        <v>6.1567868243102275</v>
      </c>
      <c r="AK9" s="14">
        <f t="shared" si="35"/>
        <v>2.2962827445602434</v>
      </c>
      <c r="AL9" s="22">
        <f t="shared" si="4"/>
        <v>14.722429499116073</v>
      </c>
      <c r="AM9" s="62">
        <f t="shared" si="5"/>
        <v>278.72242949911606</v>
      </c>
      <c r="AN9" s="62">
        <f ca="1">AVERAGE(OFFSET($AM$3,0,0,'Données projet'!$E$10+1,1))-AVERAGE(OFFSET($H$3,0,0,'Données projet'!$E$10+1,1))</f>
        <v>182.84082525184493</v>
      </c>
      <c r="AO9" s="62">
        <f t="shared" si="36"/>
        <v>430.83336115516937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16.375</v>
      </c>
      <c r="BD9" s="13">
        <f>IF('Données projet'!$A$88&gt;35,BD8+BC9-BL8,IF(A9&lt;'Données projet'!$A$88,$BA$205^A9,IF(A9='Données projet'!$A$88,'Données projet'!$B$88,BD8+BC9-BL8)))</f>
        <v>8.0698039548737412</v>
      </c>
      <c r="BE9" s="14">
        <f>BD9*VLOOKUP('Données projet'!$B$11,Paramètres!$A$1:$I$89,3,0)*VLOOKUP('Données projet'!$B$11,Paramètres!$A$1:$I$89,5,0)</f>
        <v>4.6327130544139177</v>
      </c>
      <c r="BF9" s="14">
        <f t="shared" si="37"/>
        <v>1.7860113950574723</v>
      </c>
      <c r="BG9" s="22">
        <f t="shared" si="7"/>
        <v>11.179278416162669</v>
      </c>
      <c r="BH9" s="62">
        <f t="shared" si="8"/>
        <v>275.17927841616267</v>
      </c>
      <c r="BI9" s="62">
        <f ca="1">AVERAGE(OFFSET($BH$3,0,0,'Données projet'!$E$11+1,1))-AVERAGE(OFFSET($H$3,0,0,'Données projet'!$E$11+1,1))</f>
        <v>74.52152468677042</v>
      </c>
      <c r="BJ9" s="62">
        <f t="shared" si="38"/>
        <v>344.26747505795851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0.80917200000000011</v>
      </c>
      <c r="D10" s="12">
        <f t="shared" si="32"/>
        <v>0.3822055214468229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1.1955577934518997</v>
      </c>
      <c r="H10" s="70">
        <f t="shared" si="1"/>
        <v>258.74164918318655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286.6760886613967</v>
      </c>
      <c r="S10" s="62">
        <f ca="1">AVERAGE(OFFSET($R$3,0,0,'Données projet'!$E$9+1,1))-AVERAGE(OFFSET($H$3,0,0,'Données projet'!$E$9+1,1))</f>
        <v>182.84082525184493</v>
      </c>
      <c r="T10" s="62">
        <f t="shared" si="34"/>
        <v>430.83336115516937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8.8333333333333339</v>
      </c>
      <c r="AI10" s="14">
        <f>IF('Données projet'!$A$62&gt;35,AI9+AH10-AQ9,IF(A10&lt;'Données projet'!$A$62,$AF$205^A10,IF(A10='Données projet'!$A$62,'Données projet'!$B$62,AI9+AH10-AQ9)))</f>
        <v>15.18547640750557</v>
      </c>
      <c r="AJ10" s="14">
        <f>AI10*VLOOKUP('Données projet'!$B$10,Paramètres!$A$1:$I$89,3,0)*VLOOKUP('Données projet'!$B$10,Paramètres!$A$1:$I$89,5,0)</f>
        <v>9.080914891688332</v>
      </c>
      <c r="AK10" s="14">
        <f t="shared" si="35"/>
        <v>3.2370945470721373</v>
      </c>
      <c r="AL10" s="22">
        <f t="shared" si="4"/>
        <v>21.45386643917448</v>
      </c>
      <c r="AM10" s="62">
        <f t="shared" si="5"/>
        <v>286.6760886613967</v>
      </c>
      <c r="AN10" s="62">
        <f ca="1">AVERAGE(OFFSET($AM$3,0,0,'Données projet'!$E$10+1,1))-AVERAGE(OFFSET($H$3,0,0,'Données projet'!$E$10+1,1))</f>
        <v>182.84082525184493</v>
      </c>
      <c r="AO10" s="62">
        <f t="shared" si="36"/>
        <v>430.83336115516937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16.375</v>
      </c>
      <c r="BD10" s="13">
        <f>IF('Données projet'!$A$88&gt;35,BD9+BC10-BL9,IF(A10&lt;'Données projet'!$A$88,$BA$205^A10,IF(A10='Données projet'!$A$88,'Données projet'!$B$88,BD9+BC10-BL9)))</f>
        <v>11.42896268986204</v>
      </c>
      <c r="BE10" s="14">
        <f>BD10*VLOOKUP('Données projet'!$B$11,Paramètres!$A$1:$I$89,3,0)*VLOOKUP('Données projet'!$B$11,Paramètres!$A$1:$I$89,5,0)</f>
        <v>6.5611389009959993</v>
      </c>
      <c r="BF10" s="14">
        <f t="shared" si="37"/>
        <v>2.4290413852792163</v>
      </c>
      <c r="BG10" s="22">
        <f t="shared" si="7"/>
        <v>15.657897331929332</v>
      </c>
      <c r="BH10" s="62">
        <f t="shared" si="8"/>
        <v>280.88011955415158</v>
      </c>
      <c r="BI10" s="62">
        <f ca="1">AVERAGE(OFFSET($BH$3,0,0,'Données projet'!$E$11+1,1))-AVERAGE(OFFSET($H$3,0,0,'Données projet'!$E$11+1,1))</f>
        <v>74.52152468677042</v>
      </c>
      <c r="BJ10" s="62">
        <f t="shared" si="38"/>
        <v>344.26747505795851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0.92476800000000015</v>
      </c>
      <c r="D11" s="12">
        <f t="shared" si="32"/>
        <v>0.43006949706534298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1.3595913128445198</v>
      </c>
      <c r="H11" s="70">
        <f t="shared" si="1"/>
        <v>259.02634197405547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297.71991279004334</v>
      </c>
      <c r="S11" s="62">
        <f ca="1">AVERAGE(OFFSET($R$3,0,0,'Données projet'!$E$9+1,1))-AVERAGE(OFFSET($H$3,0,0,'Données projet'!$E$9+1,1))</f>
        <v>182.84082525184493</v>
      </c>
      <c r="T11" s="62">
        <f t="shared" si="34"/>
        <v>430.83336115516937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8.8333333333333339</v>
      </c>
      <c r="AI11" s="14">
        <f>IF('Données projet'!$A$62&gt;35,AI10+AH11-AQ10,IF(A11&lt;'Données projet'!$A$62,$AF$205^A11,IF(A11='Données projet'!$A$62,'Données projet'!$B$62,AI10+AH11-AQ10)))</f>
        <v>22.397725109111352</v>
      </c>
      <c r="AJ11" s="14">
        <f>AI11*VLOOKUP('Données projet'!$B$10,Paramètres!$A$1:$I$89,3,0)*VLOOKUP('Données projet'!$B$10,Paramètres!$A$1:$I$89,5,0)</f>
        <v>13.39383961524859</v>
      </c>
      <c r="AK11" s="14">
        <f t="shared" si="35"/>
        <v>4.5633670903584358</v>
      </c>
      <c r="AL11" s="22">
        <f t="shared" si="4"/>
        <v>31.275468345598899</v>
      </c>
      <c r="AM11" s="62">
        <f t="shared" si="5"/>
        <v>297.71991279004334</v>
      </c>
      <c r="AN11" s="62">
        <f ca="1">AVERAGE(OFFSET($AM$3,0,0,'Données projet'!$E$10+1,1))-AVERAGE(OFFSET($H$3,0,0,'Données projet'!$E$10+1,1))</f>
        <v>182.84082525184493</v>
      </c>
      <c r="AO11" s="62">
        <f t="shared" si="36"/>
        <v>430.83336115516937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16.375</v>
      </c>
      <c r="BD11" s="13">
        <f>IF('Données projet'!$A$88&gt;35,BD10+BC11-BL10,IF(A11&lt;'Données projet'!$A$88,$BA$205^A11,IF(A11='Données projet'!$A$88,'Données projet'!$B$88,BD10+BC11-BL10)))</f>
        <v>16.18641405623865</v>
      </c>
      <c r="BE11" s="14">
        <f>BD11*VLOOKUP('Données projet'!$B$11,Paramètres!$A$1:$I$89,3,0)*VLOOKUP('Données projet'!$B$11,Paramètres!$A$1:$I$89,5,0)</f>
        <v>9.2922965814054841</v>
      </c>
      <c r="BF11" s="14">
        <f t="shared" si="37"/>
        <v>3.3035858940918543</v>
      </c>
      <c r="BG11" s="22">
        <f t="shared" si="7"/>
        <v>21.937828644824531</v>
      </c>
      <c r="BH11" s="62">
        <f t="shared" si="8"/>
        <v>288.38227308926901</v>
      </c>
      <c r="BI11" s="62">
        <f ca="1">AVERAGE(OFFSET($BH$3,0,0,'Données projet'!$E$11+1,1))-AVERAGE(OFFSET($H$3,0,0,'Données projet'!$E$11+1,1))</f>
        <v>74.52152468677042</v>
      </c>
      <c r="BJ11" s="62">
        <f t="shared" si="38"/>
        <v>344.26747505795851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1.0403640000000001</v>
      </c>
      <c r="D12" s="12">
        <f t="shared" si="32"/>
        <v>0.47724018994580608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1.5229291169280723</v>
      </c>
      <c r="H12" s="70">
        <f t="shared" si="1"/>
        <v>259.30982729748894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313.27776290704742</v>
      </c>
      <c r="S12" s="62">
        <f ca="1">AVERAGE(OFFSET($R$3,0,0,'Données projet'!$E$9+1,1))-AVERAGE(OFFSET($H$3,0,0,'Données projet'!$E$9+1,1))</f>
        <v>182.84082525184493</v>
      </c>
      <c r="T12" s="62">
        <f t="shared" si="34"/>
        <v>430.83336115516937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8.8333333333333339</v>
      </c>
      <c r="AI12" s="14">
        <f>IF('Données projet'!$A$62&gt;35,AI11+AH12-AQ11,IF(A12&lt;'Données projet'!$A$62,$AF$205^A12,IF(A12='Données projet'!$A$62,'Données projet'!$B$62,AI11+AH12-AQ11)))</f>
        <v>33.035387010668153</v>
      </c>
      <c r="AJ12" s="14">
        <f>AI12*VLOOKUP('Données projet'!$B$10,Paramètres!$A$1:$I$89,3,0)*VLOOKUP('Données projet'!$B$10,Paramètres!$A$1:$I$89,5,0)</f>
        <v>19.755161432379555</v>
      </c>
      <c r="AK12" s="14">
        <f t="shared" si="35"/>
        <v>6.433027796547198</v>
      </c>
      <c r="AL12" s="22">
        <f t="shared" si="4"/>
        <v>45.61109624038076</v>
      </c>
      <c r="AM12" s="62">
        <f t="shared" si="5"/>
        <v>313.27776290704742</v>
      </c>
      <c r="AN12" s="62">
        <f ca="1">AVERAGE(OFFSET($AM$3,0,0,'Données projet'!$E$10+1,1))-AVERAGE(OFFSET($H$3,0,0,'Données projet'!$E$10+1,1))</f>
        <v>182.84082525184493</v>
      </c>
      <c r="AO12" s="62">
        <f t="shared" si="36"/>
        <v>430.83336115516937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16.375</v>
      </c>
      <c r="BD12" s="13">
        <f>IF('Données projet'!$A$88&gt;35,BD11+BC12-BL11,IF(A12&lt;'Données projet'!$A$88,$BA$205^A12,IF(A12='Données projet'!$A$88,'Données projet'!$B$88,BD11+BC12-BL11)))</f>
        <v>22.924215181173437</v>
      </c>
      <c r="BE12" s="14">
        <f>BD12*VLOOKUP('Données projet'!$B$11,Paramètres!$A$1:$I$89,3,0)*VLOOKUP('Données projet'!$B$11,Paramètres!$A$1:$I$89,5,0)</f>
        <v>13.160333451208048</v>
      </c>
      <c r="BF12" s="14">
        <f t="shared" si="37"/>
        <v>4.4929986890232234</v>
      </c>
      <c r="BG12" s="22">
        <f t="shared" si="7"/>
        <v>30.74622014423613</v>
      </c>
      <c r="BH12" s="62">
        <f t="shared" si="8"/>
        <v>298.41288681090282</v>
      </c>
      <c r="BI12" s="62">
        <f ca="1">AVERAGE(OFFSET($BH$3,0,0,'Données projet'!$E$11+1,1))-AVERAGE(OFFSET($H$3,0,0,'Données projet'!$E$11+1,1))</f>
        <v>74.52152468677042</v>
      </c>
      <c r="BJ12" s="62">
        <f t="shared" si="38"/>
        <v>344.26747505795851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1.1559600000000001</v>
      </c>
      <c r="D13" s="12">
        <f t="shared" si="32"/>
        <v>0.52380341863278845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1.6856573253648337</v>
      </c>
      <c r="H13" s="70">
        <f t="shared" si="1"/>
        <v>259.59225462078547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335.43181126874777</v>
      </c>
      <c r="S13" s="62">
        <f ca="1">AVERAGE(OFFSET($R$3,0,0,'Données projet'!$E$9+1,1))-AVERAGE(OFFSET($H$3,0,0,'Données projet'!$E$9+1,1))</f>
        <v>182.84082525184493</v>
      </c>
      <c r="T13" s="62">
        <f t="shared" si="34"/>
        <v>430.83336115516937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8.8333333333333339</v>
      </c>
      <c r="AI13" s="14">
        <f>IF('Données projet'!$A$62&gt;35,AI12+AH13-AQ12,IF(A13&lt;'Données projet'!$A$62,$AF$205^A13,IF(A13='Données projet'!$A$62,'Données projet'!$B$62,AI12+AH13-AQ12)))</f>
        <v>48.725341061564706</v>
      </c>
      <c r="AJ13" s="14">
        <f>AI13*VLOOKUP('Données projet'!$B$10,Paramètres!$A$1:$I$89,3,0)*VLOOKUP('Données projet'!$B$10,Paramètres!$A$1:$I$89,5,0)</f>
        <v>29.137753954815693</v>
      </c>
      <c r="AK13" s="14">
        <f t="shared" si="35"/>
        <v>9.0687086556296208</v>
      </c>
      <c r="AL13" s="22">
        <f t="shared" si="4"/>
        <v>66.542922379858922</v>
      </c>
      <c r="AM13" s="62">
        <f t="shared" si="5"/>
        <v>335.43181126874777</v>
      </c>
      <c r="AN13" s="62">
        <f ca="1">AVERAGE(OFFSET($AM$3,0,0,'Données projet'!$E$10+1,1))-AVERAGE(OFFSET($H$3,0,0,'Données projet'!$E$10+1,1))</f>
        <v>182.84082525184493</v>
      </c>
      <c r="AO13" s="62">
        <f t="shared" si="36"/>
        <v>430.83336115516937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16.375</v>
      </c>
      <c r="BD13" s="13">
        <f>IF('Données projet'!$A$88&gt;35,BD12+BC13-BL12,IF(A13&lt;'Données projet'!$A$88,$BA$205^A13,IF(A13='Données projet'!$A$88,'Données projet'!$B$88,BD12+BC13-BL12)))</f>
        <v>32.466711888554102</v>
      </c>
      <c r="BE13" s="14">
        <f>BD13*VLOOKUP('Données projet'!$B$11,Paramètres!$A$1:$I$89,3,0)*VLOOKUP('Données projet'!$B$11,Paramètres!$A$1:$I$89,5,0)</f>
        <v>18.63848996098114</v>
      </c>
      <c r="BF13" s="14">
        <f t="shared" si="37"/>
        <v>6.1106439689269063</v>
      </c>
      <c r="BG13" s="22">
        <f t="shared" si="7"/>
        <v>43.104741594589846</v>
      </c>
      <c r="BH13" s="62">
        <f t="shared" si="8"/>
        <v>311.99363048347868</v>
      </c>
      <c r="BI13" s="62">
        <f ca="1">AVERAGE(OFFSET($BH$3,0,0,'Données projet'!$E$11+1,1))-AVERAGE(OFFSET($H$3,0,0,'Données projet'!$E$11+1,1))</f>
        <v>74.52152468677042</v>
      </c>
      <c r="BJ13" s="62">
        <f t="shared" si="38"/>
        <v>344.26747505795851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1.2715560000000001</v>
      </c>
      <c r="D14" s="12">
        <f t="shared" si="32"/>
        <v>0.56982684474398859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1.847843837181687</v>
      </c>
      <c r="H14" s="70">
        <f t="shared" si="1"/>
        <v>259.87374178792913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367.22785087914758</v>
      </c>
      <c r="S14" s="62">
        <f ca="1">AVERAGE(OFFSET($R$3,0,0,'Données projet'!$E$9+1,1))-AVERAGE(OFFSET($H$3,0,0,'Données projet'!$E$9+1,1))</f>
        <v>182.84082525184493</v>
      </c>
      <c r="T14" s="62">
        <f t="shared" si="34"/>
        <v>430.83336115516937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8.8333333333333339</v>
      </c>
      <c r="AI14" s="14">
        <f>IF('Données projet'!$A$62&gt;35,AI13+AH14-AQ13,IF(A14&lt;'Données projet'!$A$62,$AF$205^A14,IF(A14='Données projet'!$A$62,'Données projet'!$B$62,AI13+AH14-AQ13)))</f>
        <v>71.867142370667978</v>
      </c>
      <c r="AJ14" s="14">
        <f>AI14*VLOOKUP('Données projet'!$B$10,Paramètres!$A$1:$I$89,3,0)*VLOOKUP('Données projet'!$B$10,Paramètres!$A$1:$I$89,5,0)</f>
        <v>42.976551137659456</v>
      </c>
      <c r="AK14" s="14">
        <f t="shared" si="35"/>
        <v>12.784256384658107</v>
      </c>
      <c r="AL14" s="22">
        <f t="shared" si="4"/>
        <v>97.116739768036425</v>
      </c>
      <c r="AM14" s="62">
        <f t="shared" si="5"/>
        <v>367.22785087914758</v>
      </c>
      <c r="AN14" s="62">
        <f ca="1">AVERAGE(OFFSET($AM$3,0,0,'Données projet'!$E$10+1,1))-AVERAGE(OFFSET($H$3,0,0,'Données projet'!$E$10+1,1))</f>
        <v>182.84082525184493</v>
      </c>
      <c r="AO14" s="62">
        <f t="shared" si="36"/>
        <v>430.83336115516937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16.375</v>
      </c>
      <c r="BD14" s="13">
        <f>IF('Données projet'!$A$88&gt;35,BD13+BC14-BL13,IF(A14&lt;'Données projet'!$A$88,$BA$205^A14,IF(A14='Données projet'!$A$88,'Données projet'!$B$88,BD13+BC14-BL13)))</f>
        <v>45.981394456637794</v>
      </c>
      <c r="BE14" s="14">
        <f>BD14*VLOOKUP('Données projet'!$B$11,Paramètres!$A$1:$I$89,3,0)*VLOOKUP('Données projet'!$B$11,Paramètres!$A$1:$I$89,5,0)</f>
        <v>26.396998929666623</v>
      </c>
      <c r="BF14" s="14">
        <f t="shared" si="37"/>
        <v>8.31070122637861</v>
      </c>
      <c r="BG14" s="22">
        <f t="shared" si="7"/>
        <v>60.449244438445447</v>
      </c>
      <c r="BH14" s="62">
        <f t="shared" si="8"/>
        <v>330.56035554955656</v>
      </c>
      <c r="BI14" s="62">
        <f ca="1">AVERAGE(OFFSET($BH$3,0,0,'Données projet'!$E$11+1,1))-AVERAGE(OFFSET($H$3,0,0,'Données projet'!$E$11+1,1))</f>
        <v>74.52152468677042</v>
      </c>
      <c r="BJ14" s="62">
        <f t="shared" si="38"/>
        <v>344.26747505795851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1.3871520000000002</v>
      </c>
      <c r="D15" s="12">
        <f t="shared" si="32"/>
        <v>0.61536512217610362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2.0095434980433891</v>
      </c>
      <c r="H15" s="70">
        <f t="shared" si="1"/>
        <v>260.15438398779008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413.12259794811348</v>
      </c>
      <c r="S15" s="62">
        <f ca="1">AVERAGE(OFFSET($R$3,0,0,'Données projet'!$E$9+1,1))-AVERAGE(OFFSET($H$3,0,0,'Données projet'!$E$9+1,1))</f>
        <v>182.84082525184493</v>
      </c>
      <c r="T15" s="62">
        <f t="shared" si="34"/>
        <v>430.83336115516937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>
        <f>VLOOKUP(A15,'Données projet'!$A$61:$I$81,2,0)</f>
        <v>106</v>
      </c>
      <c r="AG15" s="13">
        <f>VLOOKUP(A15,'Données projet'!$A$61:$I$81,9,0)</f>
        <v>8.8333333333333339</v>
      </c>
      <c r="AH15" s="13">
        <f t="array" ref="AH15">INDEX(AG:AG,MIN(IF(ISNUMBER(AG15:AG211),ROW(AG15:AG211),"")))</f>
        <v>8.8333333333333339</v>
      </c>
      <c r="AI15" s="14">
        <f>IF('Données projet'!$A$62&gt;35,AI14+AH15-AQ14,IF(A15&lt;'Données projet'!$A$62,$AF$205^A15,IF(A15='Données projet'!$A$62,'Données projet'!$B$62,AI14+AH15-AQ14)))</f>
        <v>106</v>
      </c>
      <c r="AJ15" s="14">
        <f>AI15*VLOOKUP('Données projet'!$B$10,Paramètres!$A$1:$I$89,3,0)*VLOOKUP('Données projet'!$B$10,Paramètres!$A$1:$I$89,5,0)</f>
        <v>63.388000000000012</v>
      </c>
      <c r="AK15" s="14">
        <f t="shared" si="35"/>
        <v>18.022104085041263</v>
      </c>
      <c r="AL15" s="22">
        <f t="shared" si="4"/>
        <v>141.78926461478019</v>
      </c>
      <c r="AM15" s="62">
        <f t="shared" si="5"/>
        <v>413.12259794811348</v>
      </c>
      <c r="AN15" s="62">
        <f ca="1">AVERAGE(OFFSET($AM$3,0,0,'Données projet'!$E$10+1,1))-AVERAGE(OFFSET($H$3,0,0,'Données projet'!$E$10+1,1))</f>
        <v>182.84082525184493</v>
      </c>
      <c r="AO15" s="62">
        <f t="shared" si="36"/>
        <v>430.83336115516937</v>
      </c>
      <c r="AP15" s="16">
        <f>IF(ISNA(VLOOKUP(A15,'Données projet'!$A$61:$I$81,3,0)),0,VLOOKUP(A15,'Données projet'!$A$61:$I$81,3,0))</f>
        <v>1</v>
      </c>
      <c r="AQ15" s="16">
        <f>IF(ISNA(VLOOKUP(A15,'Données projet'!$A$61:$I$81,4,0)),0,VLOOKUP(A15,'Données projet'!$A$61:$I$81,4,0))</f>
        <v>34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1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23.020547073308105</v>
      </c>
      <c r="AX15" s="23">
        <f t="shared" si="6"/>
        <v>23.020547073308105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16.375</v>
      </c>
      <c r="BD15" s="13">
        <f>IF('Données projet'!$A$88&gt;35,BD14+BC15-BL14,IF(A15&lt;'Données projet'!$A$88,$BA$205^A15,IF(A15='Données projet'!$A$88,'Données projet'!$B$88,BD14+BC15-BL14)))</f>
        <v>65.121735870095861</v>
      </c>
      <c r="BE15" s="14">
        <f>BD15*VLOOKUP('Données projet'!$B$11,Paramètres!$A$1:$I$89,3,0)*VLOOKUP('Données projet'!$B$11,Paramètres!$A$1:$I$89,5,0)</f>
        <v>37.385086128304629</v>
      </c>
      <c r="BF15" s="14">
        <f t="shared" si="37"/>
        <v>11.302860259138933</v>
      </c>
      <c r="BG15" s="22">
        <f t="shared" si="7"/>
        <v>84.798173291464195</v>
      </c>
      <c r="BH15" s="62">
        <f t="shared" si="8"/>
        <v>356.13150662479751</v>
      </c>
      <c r="BI15" s="62">
        <f ca="1">AVERAGE(OFFSET($BH$3,0,0,'Données projet'!$E$11+1,1))-AVERAGE(OFFSET($H$3,0,0,'Données projet'!$E$11+1,1))</f>
        <v>74.52152468677042</v>
      </c>
      <c r="BJ15" s="62">
        <f t="shared" si="38"/>
        <v>344.26747505795851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1.5027480000000002</v>
      </c>
      <c r="D16" s="12">
        <f t="shared" si="32"/>
        <v>0.66046327641041636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2.1708014914153657</v>
      </c>
      <c r="H16" s="70">
        <f t="shared" si="1"/>
        <v>260.43425963974818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397.11674874565313</v>
      </c>
      <c r="S16" s="62">
        <f ca="1">AVERAGE(OFFSET($R$3,0,0,'Données projet'!$E$9+1,1))-AVERAGE(OFFSET($H$3,0,0,'Données projet'!$E$9+1,1))</f>
        <v>182.84082525184493</v>
      </c>
      <c r="T16" s="62">
        <f t="shared" si="34"/>
        <v>430.83336115516937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20.8</v>
      </c>
      <c r="AI16" s="14">
        <f>IF('Données projet'!$A$62&gt;35,AI15+AH16-AQ15,IF(A16&lt;'Données projet'!$A$62,$AF$205^A16,IF(A16='Données projet'!$A$62,'Données projet'!$B$62,AI15+AH16-AQ15)))</f>
        <v>92.8</v>
      </c>
      <c r="AJ16" s="14">
        <f>AI16*VLOOKUP('Données projet'!$B$10,Paramètres!$A$1:$I$89,3,0)*VLOOKUP('Données projet'!$B$10,Paramètres!$A$1:$I$89,5,0)</f>
        <v>55.494400000000006</v>
      </c>
      <c r="AK16" s="14">
        <f t="shared" si="35"/>
        <v>16.023988434505792</v>
      </c>
      <c r="AL16" s="22">
        <f t="shared" si="4"/>
        <v>124.5611931900976</v>
      </c>
      <c r="AM16" s="62">
        <f t="shared" si="5"/>
        <v>397.11674874565313</v>
      </c>
      <c r="AN16" s="62">
        <f ca="1">AVERAGE(OFFSET($AM$3,0,0,'Données projet'!$E$10+1,1))-AVERAGE(OFFSET($H$3,0,0,'Données projet'!$E$10+1,1))</f>
        <v>182.84082525184493</v>
      </c>
      <c r="AO16" s="62">
        <f t="shared" si="36"/>
        <v>430.83336115516937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16.277984942160291</v>
      </c>
      <c r="AX16" s="23">
        <f t="shared" si="6"/>
        <v>16.277984942160291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16.375</v>
      </c>
      <c r="BD16" s="13">
        <f>IF('Données projet'!$A$88&gt;35,BD15+BC16-BL15,IF(A16&lt;'Données projet'!$A$88,$BA$205^A16,IF(A16='Données projet'!$A$88,'Données projet'!$B$88,BD15+BC16-BL15)))</f>
        <v>92.229488314753112</v>
      </c>
      <c r="BE16" s="14">
        <f>BD16*VLOOKUP('Données projet'!$B$11,Paramètres!$A$1:$I$89,3,0)*VLOOKUP('Données projet'!$B$11,Paramètres!$A$1:$I$89,5,0)</f>
        <v>52.947104651733468</v>
      </c>
      <c r="BF16" s="14">
        <f t="shared" si="37"/>
        <v>15.372306927858519</v>
      </c>
      <c r="BG16" s="22">
        <f t="shared" si="7"/>
        <v>118.98964183445605</v>
      </c>
      <c r="BH16" s="62">
        <f t="shared" si="8"/>
        <v>391.54519739001159</v>
      </c>
      <c r="BI16" s="62">
        <f ca="1">AVERAGE(OFFSET($BH$3,0,0,'Données projet'!$E$11+1,1))-AVERAGE(OFFSET($H$3,0,0,'Données projet'!$E$11+1,1))</f>
        <v>74.52152468677042</v>
      </c>
      <c r="BJ16" s="62">
        <f t="shared" si="38"/>
        <v>344.26747505795851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1.6183440000000002</v>
      </c>
      <c r="D17" s="12">
        <f t="shared" si="32"/>
        <v>0.70515901243307966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2.3316556545819682</v>
      </c>
      <c r="H17" s="70">
        <f t="shared" si="1"/>
        <v>260.71343441332095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425.4630229177061</v>
      </c>
      <c r="S17" s="62">
        <f ca="1">AVERAGE(OFFSET($R$3,0,0,'Données projet'!$E$9+1,1))-AVERAGE(OFFSET($H$3,0,0,'Données projet'!$E$9+1,1))</f>
        <v>182.84082525184493</v>
      </c>
      <c r="T17" s="62">
        <f t="shared" si="34"/>
        <v>430.83336115516937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20.8</v>
      </c>
      <c r="AI17" s="14">
        <f>IF('Données projet'!$A$62&gt;35,AI16+AH17-AQ16,IF(A17&lt;'Données projet'!$A$62,$AF$205^A17,IF(A17='Données projet'!$A$62,'Données projet'!$B$62,AI16+AH17-AQ16)))</f>
        <v>113.6</v>
      </c>
      <c r="AJ17" s="14">
        <f>AI17*VLOOKUP('Données projet'!$B$10,Paramètres!$A$1:$I$89,3,0)*VLOOKUP('Données projet'!$B$10,Paramètres!$A$1:$I$89,5,0)</f>
        <v>67.9328</v>
      </c>
      <c r="AK17" s="14">
        <f t="shared" si="35"/>
        <v>19.159206778906245</v>
      </c>
      <c r="AL17" s="22">
        <f t="shared" si="4"/>
        <v>151.68524513992836</v>
      </c>
      <c r="AM17" s="62">
        <f t="shared" si="5"/>
        <v>425.4630229177061</v>
      </c>
      <c r="AN17" s="62">
        <f ca="1">AVERAGE(OFFSET($AM$3,0,0,'Données projet'!$E$10+1,1))-AVERAGE(OFFSET($H$3,0,0,'Données projet'!$E$10+1,1))</f>
        <v>182.84082525184493</v>
      </c>
      <c r="AO17" s="62">
        <f t="shared" si="36"/>
        <v>430.83336115516937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11.510273536654053</v>
      </c>
      <c r="AX17" s="23">
        <f t="shared" si="6"/>
        <v>11.510273536654053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16.375</v>
      </c>
      <c r="BD17" s="13">
        <f>IF('Données projet'!$A$88&gt;35,BD16+BC17-BL16,IF(A17&lt;'Données projet'!$A$88,$BA$205^A17,IF(A17='Données projet'!$A$88,'Données projet'!$B$88,BD16+BC17-BL16)))</f>
        <v>130.62118816625858</v>
      </c>
      <c r="BE17" s="14">
        <f>BD17*VLOOKUP('Données projet'!$B$11,Paramètres!$A$1:$I$89,3,0)*VLOOKUP('Données projet'!$B$11,Paramètres!$A$1:$I$89,5,0)</f>
        <v>74.987011702485731</v>
      </c>
      <c r="BF17" s="14">
        <f t="shared" si="37"/>
        <v>20.906904523854521</v>
      </c>
      <c r="BG17" s="22">
        <f t="shared" si="7"/>
        <v>167.01523742754262</v>
      </c>
      <c r="BH17" s="62">
        <f t="shared" si="8"/>
        <v>440.79301520532039</v>
      </c>
      <c r="BI17" s="62">
        <f ca="1">AVERAGE(OFFSET($BH$3,0,0,'Données projet'!$E$11+1,1))-AVERAGE(OFFSET($H$3,0,0,'Données projet'!$E$11+1,1))</f>
        <v>74.52152468677042</v>
      </c>
      <c r="BJ17" s="62">
        <f t="shared" si="38"/>
        <v>344.26747505795851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1.7339400000000003</v>
      </c>
      <c r="D18" s="12">
        <f t="shared" si="32"/>
        <v>0.74948434358331895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2.4921381132099274</v>
      </c>
      <c r="H18" s="70">
        <f t="shared" si="1"/>
        <v>260.99196406507428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453.69346731764233</v>
      </c>
      <c r="S18" s="62">
        <f ca="1">AVERAGE(OFFSET($R$3,0,0,'Données projet'!$E$9+1,1))-AVERAGE(OFFSET($H$3,0,0,'Données projet'!$E$9+1,1))</f>
        <v>182.84082525184493</v>
      </c>
      <c r="T18" s="62">
        <f t="shared" si="34"/>
        <v>430.83336115516937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20.8</v>
      </c>
      <c r="AI18" s="14">
        <f>IF('Données projet'!$A$62&gt;35,AI17+AH18-AQ17,IF(A18&lt;'Données projet'!$A$62,$AF$205^A18,IF(A18='Données projet'!$A$62,'Données projet'!$B$62,AI17+AH18-AQ17)))</f>
        <v>134.4</v>
      </c>
      <c r="AJ18" s="14">
        <f>AI18*VLOOKUP('Données projet'!$B$10,Paramètres!$A$1:$I$89,3,0)*VLOOKUP('Données projet'!$B$10,Paramètres!$A$1:$I$89,5,0)</f>
        <v>80.371200000000016</v>
      </c>
      <c r="AK18" s="14">
        <f t="shared" si="35"/>
        <v>22.227919990990831</v>
      </c>
      <c r="AL18" s="22">
        <f t="shared" si="4"/>
        <v>178.69346731764236</v>
      </c>
      <c r="AM18" s="62">
        <f t="shared" si="5"/>
        <v>453.69346731764233</v>
      </c>
      <c r="AN18" s="62">
        <f ca="1">AVERAGE(OFFSET($AM$3,0,0,'Données projet'!$E$10+1,1))-AVERAGE(OFFSET($H$3,0,0,'Données projet'!$E$10+1,1))</f>
        <v>182.84082525184493</v>
      </c>
      <c r="AO18" s="62">
        <f t="shared" si="36"/>
        <v>430.83336115516937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8.1389924710801456</v>
      </c>
      <c r="AX18" s="23">
        <f t="shared" si="6"/>
        <v>8.1389924710801456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16.375</v>
      </c>
      <c r="BD18" s="13">
        <f>IF('Données projet'!$A$88&gt;35,BD17+BC18-BL17,IF(A18&lt;'Données projet'!$A$88,$BA$205^A18,IF(A18='Données projet'!$A$88,'Données projet'!$B$88,BD17+BC18-BL17)))</f>
        <v>184.99392233141</v>
      </c>
      <c r="BE18" s="14">
        <f>BD18*VLOOKUP('Données projet'!$B$11,Paramètres!$A$1:$I$89,3,0)*VLOOKUP('Données projet'!$B$11,Paramètres!$A$1:$I$89,5,0)</f>
        <v>106.20131093201586</v>
      </c>
      <c r="BF18" s="14">
        <f t="shared" si="37"/>
        <v>28.434161432038191</v>
      </c>
      <c r="BG18" s="22">
        <f t="shared" si="7"/>
        <v>234.49011436739411</v>
      </c>
      <c r="BH18" s="62">
        <f t="shared" si="8"/>
        <v>509.49011436739409</v>
      </c>
      <c r="BI18" s="62">
        <f ca="1">AVERAGE(OFFSET($BH$3,0,0,'Données projet'!$E$11+1,1))-AVERAGE(OFFSET($H$3,0,0,'Données projet'!$E$11+1,1))</f>
        <v>74.52152468677042</v>
      </c>
      <c r="BJ18" s="62">
        <f t="shared" si="38"/>
        <v>344.26747505795851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1.8495360000000003</v>
      </c>
      <c r="D19" s="12">
        <f t="shared" si="32"/>
        <v>0.79346677326947701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2.6522764672107741</v>
      </c>
      <c r="H19" s="70">
        <f t="shared" si="1"/>
        <v>261.26989649677768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481.82808974199105</v>
      </c>
      <c r="S19" s="62">
        <f ca="1">AVERAGE(OFFSET($R$3,0,0,'Données projet'!$E$9+1,1))-AVERAGE(OFFSET($H$3,0,0,'Données projet'!$E$9+1,1))</f>
        <v>182.84082525184493</v>
      </c>
      <c r="T19" s="62">
        <f t="shared" si="34"/>
        <v>430.83336115516937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20.8</v>
      </c>
      <c r="AI19" s="14">
        <f>IF('Données projet'!$A$62&gt;35,AI18+AH19-AQ18,IF(A19&lt;'Données projet'!$A$62,$AF$205^A19,IF(A19='Données projet'!$A$62,'Données projet'!$B$62,AI18+AH19-AQ18)))</f>
        <v>155.20000000000002</v>
      </c>
      <c r="AJ19" s="14">
        <f>AI19*VLOOKUP('Données projet'!$B$10,Paramètres!$A$1:$I$89,3,0)*VLOOKUP('Données projet'!$B$10,Paramètres!$A$1:$I$89,5,0)</f>
        <v>92.809600000000017</v>
      </c>
      <c r="AK19" s="14">
        <f t="shared" si="35"/>
        <v>25.241615800824192</v>
      </c>
      <c r="AL19" s="22">
        <f t="shared" si="4"/>
        <v>205.60586751976882</v>
      </c>
      <c r="AM19" s="62">
        <f t="shared" si="5"/>
        <v>481.82808974199105</v>
      </c>
      <c r="AN19" s="62">
        <f ca="1">AVERAGE(OFFSET($AM$3,0,0,'Données projet'!$E$10+1,1))-AVERAGE(OFFSET($H$3,0,0,'Données projet'!$E$10+1,1))</f>
        <v>182.84082525184493</v>
      </c>
      <c r="AO19" s="62">
        <f t="shared" si="36"/>
        <v>430.83336115516937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5.7551367683270263</v>
      </c>
      <c r="AX19" s="23">
        <f t="shared" si="6"/>
        <v>5.7551367683270263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>
        <f>VLOOKUP(A19,'Données projet'!$A$87:$I$107,2,0)</f>
        <v>262</v>
      </c>
      <c r="BB19" s="13">
        <f>VLOOKUP(A19,'Données projet'!$A$87:$I$107,9,0)</f>
        <v>16.375</v>
      </c>
      <c r="BC19" s="13">
        <f t="array" ref="BC19">INDEX(BB:BB,MIN(IF(ISNUMBER(BB19:BB215),ROW(BB19:BB215),"")))</f>
        <v>16.375</v>
      </c>
      <c r="BD19" s="13">
        <f>IF('Données projet'!$A$88&gt;35,BD18+BC19-BL18,IF(A19&lt;'Données projet'!$A$88,$BA$205^A19,IF(A19='Données projet'!$A$88,'Données projet'!$B$88,BD18+BC19-BL18)))</f>
        <v>262</v>
      </c>
      <c r="BE19" s="14">
        <f>BD19*VLOOKUP('Données projet'!$B$11,Paramètres!$A$1:$I$89,3,0)*VLOOKUP('Données projet'!$B$11,Paramètres!$A$1:$I$89,5,0)</f>
        <v>150.40896000000001</v>
      </c>
      <c r="BF19" s="14">
        <f t="shared" si="37"/>
        <v>38.671508516275928</v>
      </c>
      <c r="BG19" s="22">
        <f t="shared" si="7"/>
        <v>329.31514933251395</v>
      </c>
      <c r="BH19" s="62">
        <f t="shared" si="8"/>
        <v>605.53737155473618</v>
      </c>
      <c r="BI19" s="62">
        <f ca="1">AVERAGE(OFFSET($BH$3,0,0,'Données projet'!$E$11+1,1))-AVERAGE(OFFSET($H$3,0,0,'Données projet'!$E$11+1,1))</f>
        <v>74.52152468677042</v>
      </c>
      <c r="BJ19" s="62">
        <f t="shared" si="38"/>
        <v>344.26747505795851</v>
      </c>
      <c r="BK19" s="16">
        <f>IF(ISNA(VLOOKUP(A19,'Données projet'!$A$87:$I$107,3,0)),0,VLOOKUP(A19,'Données projet'!$A$87:$I$107,3,0))</f>
        <v>1</v>
      </c>
      <c r="BL19" s="16">
        <f>IF(ISNA(VLOOKUP(A19,'Données projet'!$A$87:$I$107,4,0)),0,VLOOKUP(A19,'Données projet'!$A$87:$I$107,4,0))</f>
        <v>262</v>
      </c>
      <c r="BM19" s="17">
        <f>IF(ISNA(VLOOKUP(A19,'Données projet'!$A$87:$I$107,5,0)),0%,VLOOKUP(A19,'Données projet'!$A$87:$I$107,5,0)*VLOOKUP('Données projet'!$B$11,Paramètres!$A$1:$I$89,7,0))</f>
        <v>0.46199999999999997</v>
      </c>
      <c r="BN19" s="17">
        <f>IF(ISNA(VLOOKUP(A19,'Données projet'!$A$87:$I$107,6,0)),0%,VLOOKUP(A19,'Données projet'!$A$87:$I$107,6,0)*VLOOKUP('Données projet'!$B$11,Paramètres!$A$1:$I$89,7,0))</f>
        <v>0.126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76.817964344516611</v>
      </c>
      <c r="BQ19" s="23">
        <f>EXP(-LN(2)/25)*BQ18+(1-EXP(-LN(2)/25))/(LN(2)/25)*Calculateur!BL19*Calculateur!BN19*VLOOKUP('Données projet'!$B$11,Paramètres!$A$1:$I$89,3,0)*0.475*44/12</f>
        <v>20.867864386078121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97.685828730594736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1.9651320000000003</v>
      </c>
      <c r="D20" s="12">
        <f t="shared" si="32"/>
        <v>0.83713017266164735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2.8120946715130923</v>
      </c>
      <c r="H20" s="70">
        <f t="shared" si="1"/>
        <v>261.54727328405238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509.88120811744579</v>
      </c>
      <c r="S20" s="62">
        <f ca="1">AVERAGE(OFFSET($R$3,0,0,'Données projet'!$E$9+1,1))-AVERAGE(OFFSET($H$3,0,0,'Données projet'!$E$9+1,1))</f>
        <v>182.84082525184493</v>
      </c>
      <c r="T20" s="62">
        <f t="shared" si="34"/>
        <v>430.83336115516937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>
        <f>VLOOKUP(A20,'Données projet'!$A$61:$I$81,2,0)</f>
        <v>176</v>
      </c>
      <c r="AG20" s="13">
        <f>VLOOKUP(A20,'Données projet'!$A$61:$I$81,9,0)</f>
        <v>20.8</v>
      </c>
      <c r="AH20" s="13">
        <f t="array" ref="AH20">INDEX(AG:AG,MIN(IF(ISNUMBER(AG20:AG216),ROW(AG20:AG216),"")))</f>
        <v>20.8</v>
      </c>
      <c r="AI20" s="14">
        <f>IF('Données projet'!$A$62&gt;35,AI19+AH20-AQ19,IF(A20&lt;'Données projet'!$A$62,$AF$205^A20,IF(A20='Données projet'!$A$62,'Données projet'!$B$62,AI19+AH20-AQ19)))</f>
        <v>176.00000000000003</v>
      </c>
      <c r="AJ20" s="14">
        <f>AI20*VLOOKUP('Données projet'!$B$10,Paramètres!$A$1:$I$89,3,0)*VLOOKUP('Données projet'!$B$10,Paramètres!$A$1:$I$89,5,0)</f>
        <v>105.24800000000003</v>
      </c>
      <c r="AK20" s="14">
        <f t="shared" si="35"/>
        <v>28.208515027560551</v>
      </c>
      <c r="AL20" s="22">
        <f t="shared" si="4"/>
        <v>232.43676367300134</v>
      </c>
      <c r="AM20" s="62">
        <f t="shared" si="5"/>
        <v>509.88120811744579</v>
      </c>
      <c r="AN20" s="62">
        <f ca="1">AVERAGE(OFFSET($AM$3,0,0,'Données projet'!$E$10+1,1))-AVERAGE(OFFSET($H$3,0,0,'Données projet'!$E$10+1,1))</f>
        <v>182.84082525184493</v>
      </c>
      <c r="AO20" s="62">
        <f t="shared" si="36"/>
        <v>430.83336115516937</v>
      </c>
      <c r="AP20" s="16">
        <f>IF(ISNA(VLOOKUP(A20,'Données projet'!$A$61:$I$81,3,0)),0,VLOOKUP(A20,'Données projet'!$A$61:$I$81,3,0))</f>
        <v>2</v>
      </c>
      <c r="AQ20" s="16">
        <f>IF(ISNA(VLOOKUP(A20,'Données projet'!$A$61:$I$81,4,0)),0,VLOOKUP(A20,'Données projet'!$A$61:$I$81,4,0))</f>
        <v>43</v>
      </c>
      <c r="AR20" s="17">
        <f>IF(ISNA(VLOOKUP(A20,'Données projet'!$A$61:$I$81,5,0)),0%,VLOOKUP(A20,'Données projet'!$A$61:$I$81,5,0)*VLOOKUP('Données projet'!$B$10,Paramètres!$A$1:$I$89,7,0))</f>
        <v>9.0000000000000011E-2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0.8</v>
      </c>
      <c r="AU20" s="23">
        <f>EXP(-LN(2)/35)*AU19+(1-EXP(-LN(2)/35))/(LN(2)/35)*AQ20*AR20*VLOOKUP('Données projet'!$B$10,Paramètres!$A$1:$I$89,3,0)*0.475*44/12</f>
        <v>3.0700150566455107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27.360873274416509</v>
      </c>
      <c r="AX20" s="23">
        <f t="shared" si="6"/>
        <v>30.430888331062018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>
        <f>BD20*VLOOKUP('Données projet'!$B$11,Paramètres!$A$1:$I$89,3,0)*VLOOKUP('Données projet'!$B$11,Paramètres!$A$1:$I$89,5,0)</f>
        <v>0</v>
      </c>
      <c r="BF20" s="14" t="e">
        <f t="shared" si="37"/>
        <v>#NUM!</v>
      </c>
      <c r="BG20" s="22" t="e">
        <f t="shared" si="7"/>
        <v>#NUM!</v>
      </c>
      <c r="BH20" s="62" t="e">
        <f t="shared" si="8"/>
        <v>#NUM!</v>
      </c>
      <c r="BI20" s="62">
        <f ca="1">AVERAGE(OFFSET($BH$3,0,0,'Données projet'!$E$11+1,1))-AVERAGE(OFFSET($H$3,0,0,'Données projet'!$E$11+1,1))</f>
        <v>74.52152468677042</v>
      </c>
      <c r="BJ20" s="62">
        <f t="shared" si="38"/>
        <v>344.26747505795851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75.311610918052409</v>
      </c>
      <c r="BQ20" s="23">
        <f>EXP(-LN(2)/25)*BQ19+(1-EXP(-LN(2)/25))/(LN(2)/25)*Calculateur!BL20*Calculateur!BN20*VLOOKUP('Données projet'!$B$11,Paramètres!$A$1:$I$89,3,0)*0.475*44/12</f>
        <v>20.297231537047523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95.608842455099932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2.0807280000000001</v>
      </c>
      <c r="D21" s="12">
        <f t="shared" si="32"/>
        <v>0.880495445909936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2.9716137036148838</v>
      </c>
      <c r="H21" s="70">
        <f t="shared" si="1"/>
        <v>261.82413083495982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481.1716507072569</v>
      </c>
      <c r="S21" s="62">
        <f ca="1">AVERAGE(OFFSET($R$3,0,0,'Données projet'!$E$9+1,1))-AVERAGE(OFFSET($H$3,0,0,'Données projet'!$E$9+1,1))</f>
        <v>182.84082525184493</v>
      </c>
      <c r="T21" s="62">
        <f t="shared" si="34"/>
        <v>430.83336115516937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19.8</v>
      </c>
      <c r="AI21" s="14">
        <f>IF('Données projet'!$A$62&gt;35,AI20+AH21-AQ20,IF(A21&lt;'Données projet'!$A$62,$AF$205^A21,IF(A21='Données projet'!$A$62,'Données projet'!$B$62,AI20+AH21-AQ20)))</f>
        <v>152.80000000000004</v>
      </c>
      <c r="AJ21" s="14">
        <f>AI21*VLOOKUP('Données projet'!$B$10,Paramètres!$A$1:$I$89,3,0)*VLOOKUP('Données projet'!$B$10,Paramètres!$A$1:$I$89,5,0)</f>
        <v>91.374400000000037</v>
      </c>
      <c r="AK21" s="14">
        <f t="shared" si="35"/>
        <v>24.89640423383166</v>
      </c>
      <c r="AL21" s="22">
        <f t="shared" si="4"/>
        <v>202.50498404059022</v>
      </c>
      <c r="AM21" s="62">
        <f t="shared" si="5"/>
        <v>481.1716507072569</v>
      </c>
      <c r="AN21" s="62">
        <f ca="1">AVERAGE(OFFSET($AM$3,0,0,'Données projet'!$E$10+1,1))-AVERAGE(OFFSET($H$3,0,0,'Données projet'!$E$10+1,1))</f>
        <v>182.84082525184493</v>
      </c>
      <c r="AO21" s="62">
        <f t="shared" si="36"/>
        <v>430.83336115516937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3.0098139339089802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19.347059031525692</v>
      </c>
      <c r="AX21" s="23">
        <f t="shared" si="6"/>
        <v>22.356872965434672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>
        <f>BD21*VLOOKUP('Données projet'!$B$11,Paramètres!$A$1:$I$89,3,0)*VLOOKUP('Données projet'!$B$11,Paramètres!$A$1:$I$89,5,0)</f>
        <v>0</v>
      </c>
      <c r="BF21" s="14" t="e">
        <f t="shared" si="37"/>
        <v>#NUM!</v>
      </c>
      <c r="BG21" s="22" t="e">
        <f t="shared" si="7"/>
        <v>#NUM!</v>
      </c>
      <c r="BH21" s="62" t="e">
        <f t="shared" si="8"/>
        <v>#NUM!</v>
      </c>
      <c r="BI21" s="62">
        <f ca="1">AVERAGE(OFFSET($BH$3,0,0,'Données projet'!$E$11+1,1))-AVERAGE(OFFSET($H$3,0,0,'Données projet'!$E$11+1,1))</f>
        <v>74.52152468677042</v>
      </c>
      <c r="BJ21" s="62">
        <f t="shared" si="38"/>
        <v>344.26747505795851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73.834796163496307</v>
      </c>
      <c r="BQ21" s="23">
        <f>EXP(-LN(2)/25)*BQ20+(1-EXP(-LN(2)/25))/(LN(2)/25)*Calculateur!BL21*Calculateur!BN21*VLOOKUP('Données projet'!$B$11,Paramètres!$A$1:$I$89,3,0)*0.475*44/12</f>
        <v>19.742202673281941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93.576998836778245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2.1963240000000002</v>
      </c>
      <c r="D22" s="12">
        <f t="shared" si="32"/>
        <v>0.92358104329839674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3.1308520785380409</v>
      </c>
      <c r="H22" s="70">
        <f t="shared" si="1"/>
        <v>262.10050128374473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507.94492229456341</v>
      </c>
      <c r="S22" s="62">
        <f ca="1">AVERAGE(OFFSET($R$3,0,0,'Données projet'!$E$9+1,1))-AVERAGE(OFFSET($H$3,0,0,'Données projet'!$E$9+1,1))</f>
        <v>182.84082525184493</v>
      </c>
      <c r="T22" s="62">
        <f t="shared" si="34"/>
        <v>430.83336115516937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19.8</v>
      </c>
      <c r="AI22" s="14">
        <f>IF('Données projet'!$A$62&gt;35,AI21+AH22-AQ21,IF(A22&lt;'Données projet'!$A$62,$AF$205^A22,IF(A22='Données projet'!$A$62,'Données projet'!$B$62,AI21+AH22-AQ21)))</f>
        <v>172.60000000000005</v>
      </c>
      <c r="AJ22" s="14">
        <f>AI22*VLOOKUP('Données projet'!$B$10,Paramètres!$A$1:$I$89,3,0)*VLOOKUP('Données projet'!$B$10,Paramètres!$A$1:$I$89,5,0)</f>
        <v>103.21480000000004</v>
      </c>
      <c r="AK22" s="14">
        <f t="shared" si="35"/>
        <v>27.726463199430338</v>
      </c>
      <c r="AL22" s="22">
        <f t="shared" si="4"/>
        <v>228.05603340567458</v>
      </c>
      <c r="AM22" s="62">
        <f t="shared" si="5"/>
        <v>507.94492229456341</v>
      </c>
      <c r="AN22" s="62">
        <f ca="1">AVERAGE(OFFSET($AM$3,0,0,'Données projet'!$E$10+1,1))-AVERAGE(OFFSET($H$3,0,0,'Données projet'!$E$10+1,1))</f>
        <v>182.84082525184493</v>
      </c>
      <c r="AO22" s="62">
        <f t="shared" si="36"/>
        <v>430.83336115516937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2.9507933184702542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13.680436637208256</v>
      </c>
      <c r="AX22" s="23">
        <f t="shared" si="6"/>
        <v>16.63122995567851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>
        <f>BD22*VLOOKUP('Données projet'!$B$11,Paramètres!$A$1:$I$89,3,0)*VLOOKUP('Données projet'!$B$11,Paramètres!$A$1:$I$89,5,0)</f>
        <v>0</v>
      </c>
      <c r="BF22" s="14" t="e">
        <f t="shared" si="37"/>
        <v>#NUM!</v>
      </c>
      <c r="BG22" s="22" t="e">
        <f t="shared" si="7"/>
        <v>#NUM!</v>
      </c>
      <c r="BH22" s="62" t="e">
        <f t="shared" si="8"/>
        <v>#NUM!</v>
      </c>
      <c r="BI22" s="62">
        <f ca="1">AVERAGE(OFFSET($BH$3,0,0,'Données projet'!$E$11+1,1))-AVERAGE(OFFSET($H$3,0,0,'Données projet'!$E$11+1,1))</f>
        <v>74.52152468677042</v>
      </c>
      <c r="BJ22" s="62">
        <f t="shared" si="38"/>
        <v>344.26747505795851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72.386940845508988</v>
      </c>
      <c r="BQ22" s="23">
        <f>EXP(-LN(2)/25)*BQ21+(1-EXP(-LN(2)/25))/(LN(2)/25)*Calculateur!BL22*Calculateur!BN22*VLOOKUP('Données projet'!$B$11,Paramètres!$A$1:$I$89,3,0)*0.475*44/12</f>
        <v>19.20235110298373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91.589291948492715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2.3119200000000002</v>
      </c>
      <c r="D23" s="12">
        <f t="shared" si="32"/>
        <v>0.96640336328463672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3.2898262522786186</v>
      </c>
      <c r="H23" s="70">
        <f t="shared" si="1"/>
        <v>262.3764131910541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534.65266281929757</v>
      </c>
      <c r="S23" s="62">
        <f ca="1">AVERAGE(OFFSET($R$3,0,0,'Données projet'!$E$9+1,1))-AVERAGE(OFFSET($H$3,0,0,'Données projet'!$E$9+1,1))</f>
        <v>182.84082525184493</v>
      </c>
      <c r="T23" s="62">
        <f t="shared" si="34"/>
        <v>430.83336115516937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19.8</v>
      </c>
      <c r="AI23" s="14">
        <f>IF('Données projet'!$A$62&gt;35,AI22+AH23-AQ22,IF(A23&lt;'Données projet'!$A$62,$AF$205^A23,IF(A23='Données projet'!$A$62,'Données projet'!$B$62,AI22+AH23-AQ22)))</f>
        <v>192.40000000000006</v>
      </c>
      <c r="AJ23" s="14">
        <f>AI23*VLOOKUP('Données projet'!$B$10,Paramètres!$A$1:$I$89,3,0)*VLOOKUP('Données projet'!$B$10,Paramètres!$A$1:$I$89,5,0)</f>
        <v>115.05520000000004</v>
      </c>
      <c r="AK23" s="14">
        <f t="shared" si="35"/>
        <v>30.5188966745568</v>
      </c>
      <c r="AL23" s="22">
        <f t="shared" si="4"/>
        <v>253.54155170818649</v>
      </c>
      <c r="AM23" s="62">
        <f t="shared" si="5"/>
        <v>534.65266281929757</v>
      </c>
      <c r="AN23" s="62">
        <f ca="1">AVERAGE(OFFSET($AM$3,0,0,'Données projet'!$E$10+1,1))-AVERAGE(OFFSET($H$3,0,0,'Données projet'!$E$10+1,1))</f>
        <v>182.84082525184493</v>
      </c>
      <c r="AO23" s="62">
        <f t="shared" si="36"/>
        <v>430.83336115516937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2.8929300613012607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9.6735295157628478</v>
      </c>
      <c r="AX23" s="23">
        <f t="shared" si="6"/>
        <v>12.566459577064109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>
        <f>BD23*VLOOKUP('Données projet'!$B$11,Paramètres!$A$1:$I$89,3,0)*VLOOKUP('Données projet'!$B$11,Paramètres!$A$1:$I$89,5,0)</f>
        <v>0</v>
      </c>
      <c r="BF23" s="14" t="e">
        <f t="shared" si="37"/>
        <v>#NUM!</v>
      </c>
      <c r="BG23" s="22" t="e">
        <f t="shared" si="7"/>
        <v>#NUM!</v>
      </c>
      <c r="BH23" s="62" t="e">
        <f t="shared" si="8"/>
        <v>#NUM!</v>
      </c>
      <c r="BI23" s="62">
        <f ca="1">AVERAGE(OFFSET($BH$3,0,0,'Données projet'!$E$11+1,1))-AVERAGE(OFFSET($H$3,0,0,'Données projet'!$E$11+1,1))</f>
        <v>74.52152468677042</v>
      </c>
      <c r="BJ23" s="62">
        <f t="shared" si="38"/>
        <v>344.26747505795851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70.967477087202852</v>
      </c>
      <c r="BQ23" s="23">
        <f>EXP(-LN(2)/25)*BQ22+(1-EXP(-LN(2)/25))/(LN(2)/25)*Calculateur!BL23*Calculateur!BN23*VLOOKUP('Données projet'!$B$11,Paramètres!$A$1:$I$89,3,0)*0.475*44/12</f>
        <v>18.677261802264884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89.644738889467732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2.4275160000000002</v>
      </c>
      <c r="D24" s="12">
        <f t="shared" si="32"/>
        <v>1.0089770718464441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3.4485509422739766</v>
      </c>
      <c r="H24" s="70">
        <f t="shared" si="1"/>
        <v>262.65189210013256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561.30238416423026</v>
      </c>
      <c r="S24" s="62">
        <f ca="1">AVERAGE(OFFSET($R$3,0,0,'Données projet'!$E$9+1,1))-AVERAGE(OFFSET($H$3,0,0,'Données projet'!$E$9+1,1))</f>
        <v>182.84082525184493</v>
      </c>
      <c r="T24" s="62">
        <f t="shared" si="34"/>
        <v>430.83336115516937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19.8</v>
      </c>
      <c r="AI24" s="14">
        <f>IF('Données projet'!$A$62&gt;35,AI23+AH24-AQ23,IF(A24&lt;'Données projet'!$A$62,$AF$205^A24,IF(A24='Données projet'!$A$62,'Données projet'!$B$62,AI23+AH24-AQ23)))</f>
        <v>212.20000000000007</v>
      </c>
      <c r="AJ24" s="14">
        <f>AI24*VLOOKUP('Données projet'!$B$10,Paramètres!$A$1:$I$89,3,0)*VLOOKUP('Données projet'!$B$10,Paramètres!$A$1:$I$89,5,0)</f>
        <v>126.89560000000006</v>
      </c>
      <c r="AK24" s="14">
        <f t="shared" si="35"/>
        <v>33.278017701950326</v>
      </c>
      <c r="AL24" s="22">
        <f t="shared" si="4"/>
        <v>278.96905083089689</v>
      </c>
      <c r="AM24" s="62">
        <f t="shared" si="5"/>
        <v>561.30238416423026</v>
      </c>
      <c r="AN24" s="62">
        <f ca="1">AVERAGE(OFFSET($AM$3,0,0,'Données projet'!$E$10+1,1))-AVERAGE(OFFSET($H$3,0,0,'Données projet'!$E$10+1,1))</f>
        <v>182.84082525184493</v>
      </c>
      <c r="AO24" s="62">
        <f t="shared" si="36"/>
        <v>430.83336115516937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2.8362014673122493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6.8402183186041299</v>
      </c>
      <c r="AX24" s="23">
        <f t="shared" si="6"/>
        <v>9.6764197859163801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>
        <f>BD24*VLOOKUP('Données projet'!$B$11,Paramètres!$A$1:$I$89,3,0)*VLOOKUP('Données projet'!$B$11,Paramètres!$A$1:$I$89,5,0)</f>
        <v>0</v>
      </c>
      <c r="BF24" s="14" t="e">
        <f t="shared" si="37"/>
        <v>#NUM!</v>
      </c>
      <c r="BG24" s="22" t="e">
        <f t="shared" si="7"/>
        <v>#NUM!</v>
      </c>
      <c r="BH24" s="62" t="e">
        <f t="shared" si="8"/>
        <v>#NUM!</v>
      </c>
      <c r="BI24" s="62">
        <f ca="1">AVERAGE(OFFSET($BH$3,0,0,'Données projet'!$E$11+1,1))-AVERAGE(OFFSET($H$3,0,0,'Données projet'!$E$11+1,1))</f>
        <v>74.52152468677042</v>
      </c>
      <c r="BJ24" s="62">
        <f t="shared" si="38"/>
        <v>344.26747505795851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69.575848147409701</v>
      </c>
      <c r="BQ24" s="23">
        <f>EXP(-LN(2)/25)*BQ23+(1-EXP(-LN(2)/25))/(LN(2)/25)*Calculateur!BL24*Calculateur!BN24*VLOOKUP('Données projet'!$B$11,Paramètres!$A$1:$I$89,3,0)*0.475*44/12</f>
        <v>18.166531096087439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87.74237924349714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2.5431120000000003</v>
      </c>
      <c r="D25" s="12">
        <f t="shared" si="32"/>
        <v>1.0513153592770237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3.6070393850990485</v>
      </c>
      <c r="H25" s="70">
        <f t="shared" si="1"/>
        <v>262.92696098407419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587.9001157946177</v>
      </c>
      <c r="S25" s="62">
        <f ca="1">AVERAGE(OFFSET($R$3,0,0,'Données projet'!$E$9+1,1))-AVERAGE(OFFSET($H$3,0,0,'Données projet'!$E$9+1,1))</f>
        <v>182.84082525184493</v>
      </c>
      <c r="T25" s="62">
        <f t="shared" si="34"/>
        <v>430.83336115516937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>
        <f>VLOOKUP(A25,'Données projet'!$A$61:$I$81,2,0)</f>
        <v>232</v>
      </c>
      <c r="AG25" s="13">
        <f>VLOOKUP(A25,'Données projet'!$A$61:$I$81,9,0)</f>
        <v>19.8</v>
      </c>
      <c r="AH25" s="13">
        <f t="array" ref="AH25">INDEX(AG:AG,MIN(IF(ISNUMBER(AG25:AG221),ROW(AG25:AG221),"")))</f>
        <v>19.8</v>
      </c>
      <c r="AI25" s="14">
        <f>IF('Données projet'!$A$62&gt;35,AI24+AH25-AQ24,IF(A25&lt;'Données projet'!$A$62,$AF$205^A25,IF(A25='Données projet'!$A$62,'Données projet'!$B$62,AI24+AH25-AQ24)))</f>
        <v>232.00000000000009</v>
      </c>
      <c r="AJ25" s="14">
        <f>AI25*VLOOKUP('Données projet'!$B$10,Paramètres!$A$1:$I$89,3,0)*VLOOKUP('Données projet'!$B$10,Paramètres!$A$1:$I$89,5,0)</f>
        <v>138.73600000000005</v>
      </c>
      <c r="AK25" s="14">
        <f t="shared" si="35"/>
        <v>36.007288175538072</v>
      </c>
      <c r="AL25" s="22">
        <f t="shared" si="4"/>
        <v>304.34456023906222</v>
      </c>
      <c r="AM25" s="62">
        <f t="shared" si="5"/>
        <v>587.9001157946177</v>
      </c>
      <c r="AN25" s="62">
        <f ca="1">AVERAGE(OFFSET($AM$3,0,0,'Données projet'!$E$10+1,1))-AVERAGE(OFFSET($H$3,0,0,'Données projet'!$E$10+1,1))</f>
        <v>182.84082525184493</v>
      </c>
      <c r="AO25" s="62">
        <f t="shared" si="36"/>
        <v>430.83336115516937</v>
      </c>
      <c r="AP25" s="16">
        <f>IF(ISNA(VLOOKUP(A25,'Données projet'!$A$61:$I$81,3,0)),0,VLOOKUP(A25,'Données projet'!$A$61:$I$81,3,0))</f>
        <v>3</v>
      </c>
      <c r="AQ25" s="16">
        <f>IF(ISNA(VLOOKUP(A25,'Données projet'!$A$61:$I$81,4,0)),0,VLOOKUP(A25,'Données projet'!$A$61:$I$81,4,0))</f>
        <v>56</v>
      </c>
      <c r="AR25" s="17">
        <f>IF(ISNA(VLOOKUP(A25,'Données projet'!$A$61:$I$81,5,0)),0%,VLOOKUP(A25,'Données projet'!$A$61:$I$81,5,0)*VLOOKUP('Données projet'!$B$10,Paramètres!$A$1:$I$89,7,0))</f>
        <v>0.18000000000000002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0.6</v>
      </c>
      <c r="AU25" s="23">
        <f>EXP(-LN(2)/35)*AU24+(1-EXP(-LN(2)/35))/(LN(2)/35)*AQ25*AR25*VLOOKUP('Données projet'!$B$10,Paramètres!$A$1:$I$89,3,0)*0.475*44/12</f>
        <v>10.776903573527015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27.586481865621199</v>
      </c>
      <c r="AX25" s="23">
        <f t="shared" si="6"/>
        <v>38.363385439148217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>
        <f>BD25*VLOOKUP('Données projet'!$B$11,Paramètres!$A$1:$I$89,3,0)*VLOOKUP('Données projet'!$B$11,Paramètres!$A$1:$I$89,5,0)</f>
        <v>0</v>
      </c>
      <c r="BF25" s="14" t="e">
        <f t="shared" si="37"/>
        <v>#NUM!</v>
      </c>
      <c r="BG25" s="22" t="e">
        <f t="shared" si="7"/>
        <v>#NUM!</v>
      </c>
      <c r="BH25" s="62" t="e">
        <f t="shared" si="8"/>
        <v>#NUM!</v>
      </c>
      <c r="BI25" s="62">
        <f ca="1">AVERAGE(OFFSET($BH$3,0,0,'Données projet'!$E$11+1,1))-AVERAGE(OFFSET($H$3,0,0,'Données projet'!$E$11+1,1))</f>
        <v>74.52152468677042</v>
      </c>
      <c r="BJ25" s="62">
        <f t="shared" si="38"/>
        <v>344.26747505795851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68.211508202316054</v>
      </c>
      <c r="BQ25" s="23">
        <f>EXP(-LN(2)/25)*BQ24+(1-EXP(-LN(2)/25))/(LN(2)/25)*Calculateur!BL25*Calculateur!BN25*VLOOKUP('Données projet'!$B$11,Paramètres!$A$1:$I$89,3,0)*0.475*44/12</f>
        <v>17.669766347928579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85.881274550244626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2.6587080000000003</v>
      </c>
      <c r="D26" s="12">
        <f t="shared" si="32"/>
        <v>1.0934301489703697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3.7653035459843012</v>
      </c>
      <c r="H26" s="70">
        <f t="shared" si="1"/>
        <v>263.20164060945672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538.60859161500105</v>
      </c>
      <c r="S26" s="62">
        <f ca="1">AVERAGE(OFFSET($R$3,0,0,'Données projet'!$E$9+1,1))-AVERAGE(OFFSET($H$3,0,0,'Données projet'!$E$9+1,1))</f>
        <v>182.84082525184493</v>
      </c>
      <c r="T26" s="62">
        <f t="shared" si="34"/>
        <v>430.83336115516937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16.625</v>
      </c>
      <c r="AI26" s="14">
        <f>IF('Données projet'!$A$62&gt;35,AI25+AH26-AQ25,IF(A26&lt;'Données projet'!$A$62,$AF$205^A26,IF(A26='Données projet'!$A$62,'Données projet'!$B$62,AI25+AH26-AQ25)))</f>
        <v>192.62500000000009</v>
      </c>
      <c r="AJ26" s="14">
        <f>AI26*VLOOKUP('Données projet'!$B$10,Paramètres!$A$1:$I$89,3,0)*VLOOKUP('Données projet'!$B$10,Paramètres!$A$1:$I$89,5,0)</f>
        <v>115.18975000000006</v>
      </c>
      <c r="AK26" s="14">
        <f t="shared" si="35"/>
        <v>30.550430193620951</v>
      </c>
      <c r="AL26" s="22">
        <f t="shared" si="4"/>
        <v>253.83081383722325</v>
      </c>
      <c r="AM26" s="62">
        <f t="shared" si="5"/>
        <v>538.60859161500105</v>
      </c>
      <c r="AN26" s="62">
        <f ca="1">AVERAGE(OFFSET($AM$3,0,0,'Données projet'!$E$10+1,1))-AVERAGE(OFFSET($H$3,0,0,'Données projet'!$E$10+1,1))</f>
        <v>182.84082525184493</v>
      </c>
      <c r="AO26" s="62">
        <f t="shared" si="36"/>
        <v>430.83336115516937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10.565575067712274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19.506588396260472</v>
      </c>
      <c r="AX26" s="23">
        <f t="shared" si="6"/>
        <v>30.072163463972746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>
        <f>BD26*VLOOKUP('Données projet'!$B$11,Paramètres!$A$1:$I$89,3,0)*VLOOKUP('Données projet'!$B$11,Paramètres!$A$1:$I$89,5,0)</f>
        <v>0</v>
      </c>
      <c r="BF26" s="14" t="e">
        <f t="shared" si="37"/>
        <v>#NUM!</v>
      </c>
      <c r="BG26" s="22" t="e">
        <f t="shared" si="7"/>
        <v>#NUM!</v>
      </c>
      <c r="BH26" s="62" t="e">
        <f t="shared" si="8"/>
        <v>#NUM!</v>
      </c>
      <c r="BI26" s="62">
        <f ca="1">AVERAGE(OFFSET($BH$3,0,0,'Données projet'!$E$11+1,1))-AVERAGE(OFFSET($H$3,0,0,'Données projet'!$E$11+1,1))</f>
        <v>74.52152468677042</v>
      </c>
      <c r="BJ26" s="62">
        <f t="shared" si="38"/>
        <v>344.26747505795851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66.873922131380496</v>
      </c>
      <c r="BQ26" s="23">
        <f>EXP(-LN(2)/25)*BQ25+(1-EXP(-LN(2)/25))/(LN(2)/25)*Calculateur!BL26*Calculateur!BN26*VLOOKUP('Données projet'!$B$11,Paramètres!$A$1:$I$89,3,0)*0.475*44/12</f>
        <v>17.186585657931843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84.060507789312339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2.7743040000000003</v>
      </c>
      <c r="D27" s="12">
        <f t="shared" si="32"/>
        <v>1.1353322688715692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3.9233542908676102</v>
      </c>
      <c r="H27" s="70">
        <f t="shared" si="1"/>
        <v>263.47594983495134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561.18403886927126</v>
      </c>
      <c r="S27" s="62">
        <f ca="1">AVERAGE(OFFSET($R$3,0,0,'Données projet'!$E$9+1,1))-AVERAGE(OFFSET($H$3,0,0,'Données projet'!$E$9+1,1))</f>
        <v>182.84082525184493</v>
      </c>
      <c r="T27" s="62">
        <f t="shared" si="34"/>
        <v>430.83336115516937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16.625</v>
      </c>
      <c r="AI27" s="14">
        <f>IF('Données projet'!$A$62&gt;35,AI26+AH27-AQ26,IF(A27&lt;'Données projet'!$A$62,$AF$205^A27,IF(A27='Données projet'!$A$62,'Données projet'!$B$62,AI26+AH27-AQ26)))</f>
        <v>209.25000000000009</v>
      </c>
      <c r="AJ27" s="14">
        <f>AI27*VLOOKUP('Données projet'!$B$10,Paramètres!$A$1:$I$89,3,0)*VLOOKUP('Données projet'!$B$10,Paramètres!$A$1:$I$89,5,0)</f>
        <v>125.13150000000006</v>
      </c>
      <c r="AK27" s="14">
        <f t="shared" si="35"/>
        <v>32.868905092404546</v>
      </c>
      <c r="AL27" s="22">
        <f t="shared" si="4"/>
        <v>275.18403886927132</v>
      </c>
      <c r="AM27" s="62">
        <f t="shared" si="5"/>
        <v>561.18403886927126</v>
      </c>
      <c r="AN27" s="62">
        <f ca="1">AVERAGE(OFFSET($AM$3,0,0,'Données projet'!$E$10+1,1))-AVERAGE(OFFSET($H$3,0,0,'Données projet'!$E$10+1,1))</f>
        <v>182.84082525184493</v>
      </c>
      <c r="AO27" s="62">
        <f t="shared" si="36"/>
        <v>430.83336115516937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10.358390584998899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13.793240932810601</v>
      </c>
      <c r="AX27" s="23">
        <f t="shared" si="6"/>
        <v>24.151631517809498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>
        <f>BD27*VLOOKUP('Données projet'!$B$11,Paramètres!$A$1:$I$89,3,0)*VLOOKUP('Données projet'!$B$11,Paramètres!$A$1:$I$89,5,0)</f>
        <v>0</v>
      </c>
      <c r="BF27" s="14" t="e">
        <f t="shared" si="37"/>
        <v>#NUM!</v>
      </c>
      <c r="BG27" s="22" t="e">
        <f t="shared" si="7"/>
        <v>#NUM!</v>
      </c>
      <c r="BH27" s="62" t="e">
        <f t="shared" si="8"/>
        <v>#NUM!</v>
      </c>
      <c r="BI27" s="62">
        <f ca="1">AVERAGE(OFFSET($BH$3,0,0,'Données projet'!$E$11+1,1))-AVERAGE(OFFSET($H$3,0,0,'Données projet'!$E$11+1,1))</f>
        <v>74.52152468677042</v>
      </c>
      <c r="BJ27" s="62">
        <f t="shared" si="38"/>
        <v>344.26747505795851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65.562565307449034</v>
      </c>
      <c r="BQ27" s="23">
        <f>EXP(-LN(2)/25)*BQ26+(1-EXP(-LN(2)/25))/(LN(2)/25)*Calculateur!BL27*Calculateur!BN27*VLOOKUP('Données projet'!$B$11,Paramètres!$A$1:$I$89,3,0)*0.475*44/12</f>
        <v>16.716617569312437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82.279182876761467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2.8899000000000004</v>
      </c>
      <c r="D28" s="12">
        <f t="shared" si="32"/>
        <v>1.1770315935468603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4.081201528962815</v>
      </c>
      <c r="H28" s="70">
        <f t="shared" si="1"/>
        <v>263.74990585876083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583.72227333286173</v>
      </c>
      <c r="S28" s="62">
        <f ca="1">AVERAGE(OFFSET($R$3,0,0,'Données projet'!$E$9+1,1))-AVERAGE(OFFSET($H$3,0,0,'Données projet'!$E$9+1,1))</f>
        <v>182.84082525184493</v>
      </c>
      <c r="T28" s="62">
        <f t="shared" si="34"/>
        <v>430.83336115516937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16.625</v>
      </c>
      <c r="AI28" s="14">
        <f>IF('Données projet'!$A$62&gt;35,AI27+AH28-AQ27,IF(A28&lt;'Données projet'!$A$62,$AF$205^A28,IF(A28='Données projet'!$A$62,'Données projet'!$B$62,AI27+AH28-AQ27)))</f>
        <v>225.87500000000009</v>
      </c>
      <c r="AJ28" s="14">
        <f>AI28*VLOOKUP('Données projet'!$B$10,Paramètres!$A$1:$I$89,3,0)*VLOOKUP('Données projet'!$B$10,Paramètres!$A$1:$I$89,5,0)</f>
        <v>135.07325000000006</v>
      </c>
      <c r="AK28" s="14">
        <f t="shared" si="35"/>
        <v>35.166013795582487</v>
      </c>
      <c r="AL28" s="22">
        <f t="shared" si="4"/>
        <v>296.50005111063956</v>
      </c>
      <c r="AM28" s="62">
        <f t="shared" si="5"/>
        <v>583.72227333286173</v>
      </c>
      <c r="AN28" s="62">
        <f ca="1">AVERAGE(OFFSET($AM$3,0,0,'Données projet'!$E$10+1,1))-AVERAGE(OFFSET($H$3,0,0,'Données projet'!$E$10+1,1))</f>
        <v>182.84082525184493</v>
      </c>
      <c r="AO28" s="62">
        <f t="shared" si="36"/>
        <v>430.83336115516937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10.155268863621478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9.7532941981302379</v>
      </c>
      <c r="AX28" s="23">
        <f t="shared" si="6"/>
        <v>19.908563061751714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>
        <f>BD28*VLOOKUP('Données projet'!$B$11,Paramètres!$A$1:$I$89,3,0)*VLOOKUP('Données projet'!$B$11,Paramètres!$A$1:$I$89,5,0)</f>
        <v>0</v>
      </c>
      <c r="BF28" s="14" t="e">
        <f t="shared" si="37"/>
        <v>#NUM!</v>
      </c>
      <c r="BG28" s="22" t="e">
        <f t="shared" si="7"/>
        <v>#NUM!</v>
      </c>
      <c r="BH28" s="62" t="e">
        <f t="shared" si="8"/>
        <v>#NUM!</v>
      </c>
      <c r="BI28" s="62">
        <f ca="1">AVERAGE(OFFSET($BH$3,0,0,'Données projet'!$E$11+1,1))-AVERAGE(OFFSET($H$3,0,0,'Données projet'!$E$11+1,1))</f>
        <v>74.52152468677042</v>
      </c>
      <c r="BJ28" s="62">
        <f t="shared" si="38"/>
        <v>344.26747505795851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64.276923390986184</v>
      </c>
      <c r="BQ28" s="23">
        <f>EXP(-LN(2)/25)*BQ27+(1-EXP(-LN(2)/25))/(LN(2)/25)*Calculateur!BL28*Calculateur!BN28*VLOOKUP('Données projet'!$B$11,Paramètres!$A$1:$I$89,3,0)*0.475*44/12</f>
        <v>16.259500782790877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80.536424173777064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3.0054960000000004</v>
      </c>
      <c r="D29" s="12">
        <f t="shared" si="32"/>
        <v>1.2185371628826234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4.2388543318751939</v>
      </c>
      <c r="H29" s="70">
        <f t="shared" si="1"/>
        <v>264.02352442535391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606.22634543239269</v>
      </c>
      <c r="S29" s="62">
        <f ca="1">AVERAGE(OFFSET($R$3,0,0,'Données projet'!$E$9+1,1))-AVERAGE(OFFSET($H$3,0,0,'Données projet'!$E$9+1,1))</f>
        <v>182.84082525184493</v>
      </c>
      <c r="T29" s="62">
        <f t="shared" si="34"/>
        <v>430.83336115516937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16.625</v>
      </c>
      <c r="AI29" s="14">
        <f>IF('Données projet'!$A$62&gt;35,AI28+AH29-AQ28,IF(A29&lt;'Données projet'!$A$62,$AF$205^A29,IF(A29='Données projet'!$A$62,'Données projet'!$B$62,AI28+AH29-AQ28)))</f>
        <v>242.50000000000009</v>
      </c>
      <c r="AJ29" s="14">
        <f>AI29*VLOOKUP('Données projet'!$B$10,Paramètres!$A$1:$I$89,3,0)*VLOOKUP('Données projet'!$B$10,Paramètres!$A$1:$I$89,5,0)</f>
        <v>145.01500000000004</v>
      </c>
      <c r="AK29" s="14">
        <f t="shared" si="35"/>
        <v>37.443507744276459</v>
      </c>
      <c r="AL29" s="22">
        <f t="shared" si="4"/>
        <v>317.78190098794829</v>
      </c>
      <c r="AM29" s="62">
        <f t="shared" si="5"/>
        <v>606.22634543239269</v>
      </c>
      <c r="AN29" s="62">
        <f ca="1">AVERAGE(OFFSET($AM$3,0,0,'Données projet'!$E$10+1,1))-AVERAGE(OFFSET($H$3,0,0,'Données projet'!$E$10+1,1))</f>
        <v>182.84082525184493</v>
      </c>
      <c r="AO29" s="62">
        <f t="shared" si="36"/>
        <v>430.83336115516937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9.956130235308251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6.8966204664053024</v>
      </c>
      <c r="AX29" s="23">
        <f t="shared" si="6"/>
        <v>16.852750701713553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>
        <f>BD29*VLOOKUP('Données projet'!$B$11,Paramètres!$A$1:$I$89,3,0)*VLOOKUP('Données projet'!$B$11,Paramètres!$A$1:$I$89,5,0)</f>
        <v>0</v>
      </c>
      <c r="BF29" s="14" t="e">
        <f t="shared" si="37"/>
        <v>#NUM!</v>
      </c>
      <c r="BG29" s="22" t="e">
        <f t="shared" si="7"/>
        <v>#NUM!</v>
      </c>
      <c r="BH29" s="62" t="e">
        <f t="shared" si="8"/>
        <v>#NUM!</v>
      </c>
      <c r="BI29" s="62">
        <f ca="1">AVERAGE(OFFSET($BH$3,0,0,'Données projet'!$E$11+1,1))-AVERAGE(OFFSET($H$3,0,0,'Données projet'!$E$11+1,1))</f>
        <v>74.52152468677042</v>
      </c>
      <c r="BJ29" s="62">
        <f t="shared" si="38"/>
        <v>344.26747505795851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63.016492128341035</v>
      </c>
      <c r="BQ29" s="23">
        <f>EXP(-LN(2)/25)*BQ28+(1-EXP(-LN(2)/25))/(LN(2)/25)*Calculateur!BL29*Calculateur!BN29*VLOOKUP('Données projet'!$B$11,Paramètres!$A$1:$I$89,3,0)*0.475*44/12</f>
        <v>15.814883878835476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78.831376007176516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3.1210920000000004</v>
      </c>
      <c r="D30" s="12">
        <f t="shared" si="32"/>
        <v>1.2598572820093492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4.3963210338760499</v>
      </c>
      <c r="H30" s="70">
        <f t="shared" si="1"/>
        <v>264.29681999949963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628.69886366407695</v>
      </c>
      <c r="S30" s="62">
        <f ca="1">AVERAGE(OFFSET($R$3,0,0,'Données projet'!$E$9+1,1))-AVERAGE(OFFSET($H$3,0,0,'Données projet'!$E$9+1,1))</f>
        <v>182.84082525184493</v>
      </c>
      <c r="T30" s="62">
        <f t="shared" si="34"/>
        <v>430.83336115516937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16.625</v>
      </c>
      <c r="AI30" s="14">
        <f>IF('Données projet'!$A$62&gt;35,AI29+AH30-AQ29,IF(A30&lt;'Données projet'!$A$62,$AF$205^A30,IF(A30='Données projet'!$A$62,'Données projet'!$B$62,AI29+AH30-AQ29)))</f>
        <v>259.12500000000011</v>
      </c>
      <c r="AJ30" s="14">
        <f>AI30*VLOOKUP('Données projet'!$B$10,Paramètres!$A$1:$I$89,3,0)*VLOOKUP('Données projet'!$B$10,Paramètres!$A$1:$I$89,5,0)</f>
        <v>154.95675000000008</v>
      </c>
      <c r="AK30" s="14">
        <f t="shared" si="35"/>
        <v>39.702884639661342</v>
      </c>
      <c r="AL30" s="22">
        <f t="shared" si="4"/>
        <v>339.03219699741027</v>
      </c>
      <c r="AM30" s="62">
        <f t="shared" si="5"/>
        <v>628.69886366407695</v>
      </c>
      <c r="AN30" s="62">
        <f ca="1">AVERAGE(OFFSET($AM$3,0,0,'Données projet'!$E$10+1,1))-AVERAGE(OFFSET($H$3,0,0,'Données projet'!$E$10+1,1))</f>
        <v>182.84082525184493</v>
      </c>
      <c r="AO30" s="62">
        <f t="shared" si="36"/>
        <v>430.83336115516937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9.7608965940336763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4.8766470990651198</v>
      </c>
      <c r="AX30" s="23">
        <f t="shared" si="6"/>
        <v>14.637543693098795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>
        <f>BD30*VLOOKUP('Données projet'!$B$11,Paramètres!$A$1:$I$89,3,0)*VLOOKUP('Données projet'!$B$11,Paramètres!$A$1:$I$89,5,0)</f>
        <v>0</v>
      </c>
      <c r="BF30" s="14" t="e">
        <f t="shared" si="37"/>
        <v>#NUM!</v>
      </c>
      <c r="BG30" s="22" t="e">
        <f t="shared" si="7"/>
        <v>#NUM!</v>
      </c>
      <c r="BH30" s="62" t="e">
        <f t="shared" si="8"/>
        <v>#NUM!</v>
      </c>
      <c r="BI30" s="62">
        <f ca="1">AVERAGE(OFFSET($BH$3,0,0,'Données projet'!$E$11+1,1))-AVERAGE(OFFSET($H$3,0,0,'Données projet'!$E$11+1,1))</f>
        <v>74.52152468677042</v>
      </c>
      <c r="BJ30" s="62">
        <f t="shared" si="38"/>
        <v>344.26747505795851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61.780777153969197</v>
      </c>
      <c r="BQ30" s="23">
        <f>EXP(-LN(2)/25)*BQ29+(1-EXP(-LN(2)/25))/(LN(2)/25)*Calculateur!BL30*Calculateur!BN30*VLOOKUP('Données projet'!$B$11,Paramètres!$A$1:$I$89,3,0)*0.475*44/12</f>
        <v>15.382425047500123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77.163202201469318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3.2366880000000005</v>
      </c>
      <c r="D31" s="12">
        <f t="shared" si="32"/>
        <v>1.3009996060058997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4.5536093169041667</v>
      </c>
      <c r="H31" s="70">
        <f t="shared" si="1"/>
        <v>264.56980591379363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651.14208288676889</v>
      </c>
      <c r="S31" s="62">
        <f ca="1">AVERAGE(OFFSET($R$3,0,0,'Données projet'!$E$9+1,1))-AVERAGE(OFFSET($H$3,0,0,'Données projet'!$E$9+1,1))</f>
        <v>182.84082525184493</v>
      </c>
      <c r="T31" s="62">
        <f t="shared" si="34"/>
        <v>430.83336115516937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16.625</v>
      </c>
      <c r="AI31" s="14">
        <f>IF('Données projet'!$A$62&gt;35,AI30+AH31-AQ30,IF(A31&lt;'Données projet'!$A$62,$AF$205^A31,IF(A31='Données projet'!$A$62,'Données projet'!$B$62,AI30+AH31-AQ30)))</f>
        <v>275.75000000000011</v>
      </c>
      <c r="AJ31" s="14">
        <f>AI31*VLOOKUP('Données projet'!$B$10,Paramètres!$A$1:$I$89,3,0)*VLOOKUP('Données projet'!$B$10,Paramètres!$A$1:$I$89,5,0)</f>
        <v>164.89850000000007</v>
      </c>
      <c r="AK31" s="14">
        <f t="shared" si="35"/>
        <v>41.94543913753872</v>
      </c>
      <c r="AL31" s="22">
        <f t="shared" si="4"/>
        <v>360.25319399788003</v>
      </c>
      <c r="AM31" s="62">
        <f t="shared" si="5"/>
        <v>651.14208288676889</v>
      </c>
      <c r="AN31" s="62">
        <f ca="1">AVERAGE(OFFSET($AM$3,0,0,'Données projet'!$E$10+1,1))-AVERAGE(OFFSET($H$3,0,0,'Données projet'!$E$10+1,1))</f>
        <v>182.84082525184493</v>
      </c>
      <c r="AO31" s="62">
        <f t="shared" si="36"/>
        <v>430.83336115516937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9.5694913653837332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3.4483102332026516</v>
      </c>
      <c r="AX31" s="23">
        <f t="shared" si="6"/>
        <v>13.017801598586384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>
        <f>BD31*VLOOKUP('Données projet'!$B$11,Paramètres!$A$1:$I$89,3,0)*VLOOKUP('Données projet'!$B$11,Paramètres!$A$1:$I$89,5,0)</f>
        <v>0</v>
      </c>
      <c r="BF31" s="14" t="e">
        <f t="shared" si="37"/>
        <v>#NUM!</v>
      </c>
      <c r="BG31" s="22" t="e">
        <f t="shared" si="7"/>
        <v>#NUM!</v>
      </c>
      <c r="BH31" s="62" t="e">
        <f t="shared" si="8"/>
        <v>#NUM!</v>
      </c>
      <c r="BI31" s="62">
        <f ca="1">AVERAGE(OFFSET($BH$3,0,0,'Données projet'!$E$11+1,1))-AVERAGE(OFFSET($H$3,0,0,'Données projet'!$E$11+1,1))</f>
        <v>74.52152468677042</v>
      </c>
      <c r="BJ31" s="62">
        <f t="shared" si="38"/>
        <v>344.26747505795851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60.569293796533081</v>
      </c>
      <c r="BQ31" s="23">
        <f>EXP(-LN(2)/25)*BQ30+(1-EXP(-LN(2)/25))/(LN(2)/25)*Calculateur!BL31*Calculateur!BN31*VLOOKUP('Données projet'!$B$11,Paramètres!$A$1:$I$89,3,0)*0.475*44/12</f>
        <v>14.961791825649655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75.531085622182729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3.3522840000000005</v>
      </c>
      <c r="D32" s="12">
        <f t="shared" si="32"/>
        <v>1.3419712121631246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4.7107262830829963</v>
      </c>
      <c r="H32" s="70">
        <f t="shared" si="1"/>
        <v>264.84249449451744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673.55797070593519</v>
      </c>
      <c r="S32" s="62">
        <f ca="1">AVERAGE(OFFSET($R$3,0,0,'Données projet'!$E$9+1,1))-AVERAGE(OFFSET($H$3,0,0,'Données projet'!$E$9+1,1))</f>
        <v>182.84082525184493</v>
      </c>
      <c r="T32" s="62">
        <f t="shared" si="34"/>
        <v>430.83336115516937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16.625</v>
      </c>
      <c r="AI32" s="14">
        <f>IF('Données projet'!$A$62&gt;35,AI31+AH32-AQ31,IF(A32&lt;'Données projet'!$A$62,$AF$205^A32,IF(A32='Données projet'!$A$62,'Données projet'!$B$62,AI31+AH32-AQ31)))</f>
        <v>292.37500000000011</v>
      </c>
      <c r="AJ32" s="14">
        <f>AI32*VLOOKUP('Données projet'!$B$10,Paramètres!$A$1:$I$89,3,0)*VLOOKUP('Données projet'!$B$10,Paramètres!$A$1:$I$89,5,0)</f>
        <v>174.84025000000008</v>
      </c>
      <c r="AK32" s="14">
        <f t="shared" si="35"/>
        <v>44.172300963535264</v>
      </c>
      <c r="AL32" s="22">
        <f t="shared" si="4"/>
        <v>381.44685959482405</v>
      </c>
      <c r="AM32" s="62">
        <f t="shared" si="5"/>
        <v>673.55797070593519</v>
      </c>
      <c r="AN32" s="62">
        <f ca="1">AVERAGE(OFFSET($AM$3,0,0,'Données projet'!$E$10+1,1))-AVERAGE(OFFSET($H$3,0,0,'Données projet'!$E$10+1,1))</f>
        <v>182.84082525184493</v>
      </c>
      <c r="AO32" s="62">
        <f t="shared" si="36"/>
        <v>430.83336115516937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9.3818394765219537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2.4383235495325604</v>
      </c>
      <c r="AX32" s="23">
        <f t="shared" si="6"/>
        <v>11.820163026054514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>
        <f>BD32*VLOOKUP('Données projet'!$B$11,Paramètres!$A$1:$I$89,3,0)*VLOOKUP('Données projet'!$B$11,Paramètres!$A$1:$I$89,5,0)</f>
        <v>0</v>
      </c>
      <c r="BF32" s="14" t="e">
        <f t="shared" si="37"/>
        <v>#NUM!</v>
      </c>
      <c r="BG32" s="22" t="e">
        <f t="shared" si="7"/>
        <v>#NUM!</v>
      </c>
      <c r="BH32" s="62" t="e">
        <f t="shared" si="8"/>
        <v>#NUM!</v>
      </c>
      <c r="BI32" s="62">
        <f ca="1">AVERAGE(OFFSET($BH$3,0,0,'Données projet'!$E$11+1,1))-AVERAGE(OFFSET($H$3,0,0,'Données projet'!$E$11+1,1))</f>
        <v>74.52152468677042</v>
      </c>
      <c r="BJ32" s="62">
        <f t="shared" si="38"/>
        <v>344.26747505795851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59.381566888804407</v>
      </c>
      <c r="BQ32" s="23">
        <f>EXP(-LN(2)/25)*BQ31+(1-EXP(-LN(2)/25))/(LN(2)/25)*Calculateur!BL32*Calculateur!BN32*VLOOKUP('Données projet'!$B$11,Paramètres!$A$1:$I$89,3,0)*0.475*44/12</f>
        <v>14.552660841370828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73.934227730175238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3.4678800000000005</v>
      </c>
      <c r="D33" s="12">
        <f t="shared" si="32"/>
        <v>1.3827786620000471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4.8676785169544345</v>
      </c>
      <c r="H33" s="70">
        <f t="shared" si="1"/>
        <v>265.11489716965008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182.84082525184493</v>
      </c>
      <c r="T33" s="62">
        <f t="shared" si="34"/>
        <v>430.83336115516937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309</v>
      </c>
      <c r="AG33" s="13">
        <f>VLOOKUP(A33,'Données projet'!$A$61:$I$81,9,0)</f>
        <v>16.625</v>
      </c>
      <c r="AH33" s="13">
        <f t="array" ref="AH33">INDEX(AG:AG,MIN(IF(ISNUMBER(AG33:AG229),ROW(AG33:AG229),"")))</f>
        <v>16.625</v>
      </c>
      <c r="AI33" s="14">
        <f>IF('Données projet'!$A$62&gt;35,AI32+AH33-AQ32,IF(A33&lt;'Données projet'!$A$62,$AF$205^A33,IF(A33='Données projet'!$A$62,'Données projet'!$B$62,AI32+AH33-AQ32)))</f>
        <v>309.00000000000011</v>
      </c>
      <c r="AJ33" s="14">
        <f>AI33*VLOOKUP('Données projet'!$B$10,Paramètres!$A$1:$I$89,3,0)*VLOOKUP('Données projet'!$B$10,Paramètres!$A$1:$I$89,5,0)</f>
        <v>184.7820000000001</v>
      </c>
      <c r="AK33" s="14">
        <f t="shared" si="35"/>
        <v>46.384464109944147</v>
      </c>
      <c r="AL33" s="22">
        <f t="shared" si="4"/>
        <v>402.61492499148613</v>
      </c>
      <c r="AM33" s="62">
        <f t="shared" si="5"/>
        <v>695.94825832481945</v>
      </c>
      <c r="AN33" s="62">
        <f ca="1">AVERAGE(OFFSET($AM$3,0,0,'Données projet'!$E$10+1,1))-AVERAGE(OFFSET($H$3,0,0,'Données projet'!$E$10+1,1))</f>
        <v>182.84082525184493</v>
      </c>
      <c r="AO33" s="62">
        <f t="shared" si="36"/>
        <v>430.83336115516937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309</v>
      </c>
      <c r="AR33" s="17">
        <f>IF(ISNA(VLOOKUP(A33,'Données projet'!$A$61:$I$81,5,0)),0%,VLOOKUP(A33,'Données projet'!$A$61:$I$81,5,0)*VLOOKUP('Données projet'!$B$10,Paramètres!$A$1:$I$89,7,0))</f>
        <v>0.18000000000000002</v>
      </c>
      <c r="AS33" s="17">
        <f>IF(ISNA(VLOOKUP(A33,'Données projet'!$A$61:$I$81,6,0)),0%,VLOOKUP(A33,'Données projet'!$A$61:$I$81,6,0)*VLOOKUP('Données projet'!$B$10,Paramètres!$A$1:$I$89,7,0))</f>
        <v>0.18000000000000002</v>
      </c>
      <c r="AT33" s="17">
        <f>IF(ISNA(VLOOKUP(A33,'Données projet'!$A$61:$I$81,7,0)),0%,VLOOKUP(A33,'Données projet'!$A$61:$I$81,7,0))</f>
        <v>0.2</v>
      </c>
      <c r="AU33" s="23">
        <f>EXP(-LN(2)/35)*AU32+(1-EXP(-LN(2)/35))/(LN(2)/35)*AQ33*AR33*VLOOKUP('Données projet'!$B$10,Paramètres!$A$1:$I$89,3,0)*0.475*44/12</f>
        <v>53.320409303649647</v>
      </c>
      <c r="AV33" s="23">
        <f>EXP(-LN(2)/25)*AV32+(1-EXP(-LN(2)/25))/(LN(2)/25)*Calculateur!AQ33*Calculateur!AS33*VLOOKUP('Données projet'!$B$10,Paramètres!$A$1:$I$89,3,0)*0.475*44/12</f>
        <v>43.948814717135633</v>
      </c>
      <c r="AW33" s="23">
        <f>EXP(-LN(2)/2)*AW32+(1-EXP(-LN(2)/2))/(LN(2)/2)*AQ33*AT33*VLOOKUP('Données projet'!$B$10,Paramètres!$A$1:$I$89,3,0)*0.475*44/12</f>
        <v>43.567384796908406</v>
      </c>
      <c r="AX33" s="23">
        <f t="shared" si="6"/>
        <v>140.8366088176937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>
        <f>BD33*VLOOKUP('Données projet'!$B$11,Paramètres!$A$1:$I$89,3,0)*VLOOKUP('Données projet'!$B$11,Paramètres!$A$1:$I$89,5,0)</f>
        <v>0</v>
      </c>
      <c r="BF33" s="14" t="e">
        <f t="shared" si="37"/>
        <v>#NUM!</v>
      </c>
      <c r="BG33" s="22" t="e">
        <f t="shared" si="7"/>
        <v>#NUM!</v>
      </c>
      <c r="BH33" s="62" t="e">
        <f t="shared" si="8"/>
        <v>#NUM!</v>
      </c>
      <c r="BI33" s="62">
        <f ca="1">AVERAGE(OFFSET($BH$3,0,0,'Données projet'!$E$11+1,1))-AVERAGE(OFFSET($H$3,0,0,'Données projet'!$E$11+1,1))</f>
        <v>74.52152468677042</v>
      </c>
      <c r="BJ33" s="62">
        <f t="shared" si="38"/>
        <v>344.26747505795851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58.217130581294406</v>
      </c>
      <c r="BQ33" s="23">
        <f>EXP(-LN(2)/25)*BQ32+(1-EXP(-LN(2)/25))/(LN(2)/25)*Calculateur!BL33*Calculateur!BN33*VLOOKUP('Données projet'!$B$11,Paramètres!$A$1:$I$89,3,0)*0.475*44/12</f>
        <v>14.154717565372371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72.371848146666778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3.5834760000000005</v>
      </c>
      <c r="D34" s="12">
        <f t="shared" si="32"/>
        <v>1.4234280547789464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5.0244721391816807</v>
      </c>
      <c r="H34" s="70">
        <f t="shared" si="1"/>
        <v>265.38702456207335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182.84082525184493</v>
      </c>
      <c r="T34" s="62">
        <f t="shared" si="34"/>
        <v>430.83336115516937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1.1368683772161603E-13</v>
      </c>
      <c r="AJ34" s="14">
        <f>AI34*VLOOKUP('Données projet'!$B$10,Paramètres!$A$1:$I$89,3,0)*VLOOKUP('Données projet'!$B$10,Paramètres!$A$1:$I$89,5,0)</f>
        <v>6.7984728957526396E-14</v>
      </c>
      <c r="AK34" s="14">
        <f t="shared" si="35"/>
        <v>1.0682447123141398E-12</v>
      </c>
      <c r="AL34" s="22">
        <f t="shared" si="4"/>
        <v>1.978932943548152E-12</v>
      </c>
      <c r="AM34" s="62">
        <f t="shared" si="5"/>
        <v>293.3333333333353</v>
      </c>
      <c r="AN34" s="62">
        <f ca="1">AVERAGE(OFFSET($AM$3,0,0,'Données projet'!$E$10+1,1))-AVERAGE(OFFSET($H$3,0,0,'Données projet'!$E$10+1,1))</f>
        <v>182.84082525184493</v>
      </c>
      <c r="AO34" s="62">
        <f t="shared" si="36"/>
        <v>430.83336115516937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52.274828599443445</v>
      </c>
      <c r="AV34" s="23">
        <f>EXP(-LN(2)/25)*AV33+(1-EXP(-LN(2)/25))/(LN(2)/25)*Calculateur!AQ34*Calculateur!AS34*VLOOKUP('Données projet'!$B$10,Paramètres!$A$1:$I$89,3,0)*0.475*44/12</f>
        <v>42.74703206752784</v>
      </c>
      <c r="AW34" s="23">
        <f>EXP(-LN(2)/2)*AW33+(1-EXP(-LN(2)/2))/(LN(2)/2)*AQ34*AT34*VLOOKUP('Données projet'!$B$10,Paramètres!$A$1:$I$89,3,0)*0.475*44/12</f>
        <v>30.806793228457632</v>
      </c>
      <c r="AX34" s="23">
        <f t="shared" si="6"/>
        <v>125.82865389542893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>
        <f>BD34*VLOOKUP('Données projet'!$B$11,Paramètres!$A$1:$I$89,3,0)*VLOOKUP('Données projet'!$B$11,Paramètres!$A$1:$I$89,5,0)</f>
        <v>0</v>
      </c>
      <c r="BF34" s="14" t="e">
        <f t="shared" si="37"/>
        <v>#NUM!</v>
      </c>
      <c r="BG34" s="22" t="e">
        <f t="shared" si="7"/>
        <v>#NUM!</v>
      </c>
      <c r="BH34" s="62" t="e">
        <f t="shared" si="8"/>
        <v>#NUM!</v>
      </c>
      <c r="BI34" s="62">
        <f ca="1">AVERAGE(OFFSET($BH$3,0,0,'Données projet'!$E$11+1,1))-AVERAGE(OFFSET($H$3,0,0,'Données projet'!$E$11+1,1))</f>
        <v>74.52152468677042</v>
      </c>
      <c r="BJ34" s="62">
        <f t="shared" si="38"/>
        <v>344.26747505795851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57.075528159538663</v>
      </c>
      <c r="BQ34" s="23">
        <f>EXP(-LN(2)/25)*BQ33+(1-EXP(-LN(2)/25))/(LN(2)/25)*Calculateur!BL34*Calculateur!BN34*VLOOKUP('Données projet'!$B$11,Paramètres!$A$1:$I$89,3,0)*0.475*44/12</f>
        <v>13.767656069183017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70.843184228721682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3.6990720000000006</v>
      </c>
      <c r="D35" s="12">
        <f t="shared" si="32"/>
        <v>1.4639250739212932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5.1811128531280355</v>
      </c>
      <c r="H35" s="70">
        <f t="shared" si="1"/>
        <v>265.65888657041296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182.84082525184493</v>
      </c>
      <c r="T35" s="62">
        <f t="shared" si="34"/>
        <v>430.83336115516937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1.1368683772161603E-13</v>
      </c>
      <c r="AJ35" s="14">
        <f>AI35*VLOOKUP('Données projet'!$B$10,Paramètres!$A$1:$I$89,3,0)*VLOOKUP('Données projet'!$B$10,Paramètres!$A$1:$I$89,5,0)</f>
        <v>6.7984728957526396E-14</v>
      </c>
      <c r="AK35" s="14">
        <f t="shared" si="35"/>
        <v>1.0682447123141398E-12</v>
      </c>
      <c r="AL35" s="22">
        <f t="shared" si="4"/>
        <v>1.978932943548152E-12</v>
      </c>
      <c r="AM35" s="62">
        <f t="shared" si="5"/>
        <v>293.3333333333353</v>
      </c>
      <c r="AN35" s="62">
        <f ca="1">AVERAGE(OFFSET($AM$3,0,0,'Données projet'!$E$10+1,1))-AVERAGE(OFFSET($H$3,0,0,'Données projet'!$E$10+1,1))</f>
        <v>182.84082525184493</v>
      </c>
      <c r="AO35" s="62">
        <f t="shared" si="36"/>
        <v>430.83336115516937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51.249751095105474</v>
      </c>
      <c r="AV35" s="23">
        <f>EXP(-LN(2)/25)*AV34+(1-EXP(-LN(2)/25))/(LN(2)/25)*Calculateur!AQ35*Calculateur!AS35*VLOOKUP('Données projet'!$B$10,Paramètres!$A$1:$I$89,3,0)*0.475*44/12</f>
        <v>41.578112227672577</v>
      </c>
      <c r="AW35" s="23">
        <f>EXP(-LN(2)/2)*AW34+(1-EXP(-LN(2)/2))/(LN(2)/2)*AQ35*AT35*VLOOKUP('Données projet'!$B$10,Paramètres!$A$1:$I$89,3,0)*0.475*44/12</f>
        <v>21.783692398454207</v>
      </c>
      <c r="AX35" s="23">
        <f t="shared" si="6"/>
        <v>114.61155572123226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>
        <f>BD35*VLOOKUP('Données projet'!$B$11,Paramètres!$A$1:$I$89,3,0)*VLOOKUP('Données projet'!$B$11,Paramètres!$A$1:$I$89,5,0)</f>
        <v>0</v>
      </c>
      <c r="BF35" s="14" t="e">
        <f t="shared" si="37"/>
        <v>#NUM!</v>
      </c>
      <c r="BG35" s="22" t="e">
        <f t="shared" si="7"/>
        <v>#NUM!</v>
      </c>
      <c r="BH35" s="62" t="e">
        <f t="shared" si="8"/>
        <v>#NUM!</v>
      </c>
      <c r="BI35" s="62">
        <f ca="1">AVERAGE(OFFSET($BH$3,0,0,'Données projet'!$E$11+1,1))-AVERAGE(OFFSET($H$3,0,0,'Données projet'!$E$11+1,1))</f>
        <v>74.52152468677042</v>
      </c>
      <c r="BJ35" s="62">
        <f t="shared" si="38"/>
        <v>344.26747505795851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55.956311864964825</v>
      </c>
      <c r="BQ35" s="23">
        <f>EXP(-LN(2)/25)*BQ34+(1-EXP(-LN(2)/25))/(LN(2)/25)*Calculateur!BL35*Calculateur!BN35*VLOOKUP('Données projet'!$B$11,Paramètres!$A$1:$I$89,3,0)*0.475*44/12</f>
        <v>13.391178789961641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69.34749065492646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3.8146680000000006</v>
      </c>
      <c r="D36" s="12">
        <f t="shared" si="32"/>
        <v>1.5042750274587047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5.3376059854497884</v>
      </c>
      <c r="H36" s="70">
        <f t="shared" si="1"/>
        <v>265.93049243949059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182.84082525184493</v>
      </c>
      <c r="T36" s="62">
        <f t="shared" si="34"/>
        <v>430.83336115516937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1.1368683772161603E-13</v>
      </c>
      <c r="AJ36" s="14">
        <f>AI36*VLOOKUP('Données projet'!$B$10,Paramètres!$A$1:$I$89,3,0)*VLOOKUP('Données projet'!$B$10,Paramètres!$A$1:$I$89,5,0)</f>
        <v>6.7984728957526396E-14</v>
      </c>
      <c r="AK36" s="14">
        <f t="shared" si="35"/>
        <v>1.0682447123141398E-12</v>
      </c>
      <c r="AL36" s="22">
        <f t="shared" si="4"/>
        <v>1.978932943548152E-12</v>
      </c>
      <c r="AM36" s="62">
        <f t="shared" si="5"/>
        <v>293.3333333333353</v>
      </c>
      <c r="AN36" s="62">
        <f ca="1">AVERAGE(OFFSET($AM$3,0,0,'Données projet'!$E$10+1,1))-AVERAGE(OFFSET($H$3,0,0,'Données projet'!$E$10+1,1))</f>
        <v>182.84082525184493</v>
      </c>
      <c r="AO36" s="62">
        <f t="shared" si="36"/>
        <v>430.83336115516937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50.244774735392028</v>
      </c>
      <c r="AV36" s="23">
        <f>EXP(-LN(2)/25)*AV35+(1-EXP(-LN(2)/25))/(LN(2)/25)*Calculateur!AQ36*Calculateur!AS36*VLOOKUP('Données projet'!$B$10,Paramètres!$A$1:$I$89,3,0)*0.475*44/12</f>
        <v>40.441156562308976</v>
      </c>
      <c r="AW36" s="23">
        <f>EXP(-LN(2)/2)*AW35+(1-EXP(-LN(2)/2))/(LN(2)/2)*AQ36*AT36*VLOOKUP('Données projet'!$B$10,Paramètres!$A$1:$I$89,3,0)*0.475*44/12</f>
        <v>15.403396614228818</v>
      </c>
      <c r="AX36" s="23">
        <f t="shared" si="6"/>
        <v>106.08932791192981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>
        <f>BD36*VLOOKUP('Données projet'!$B$11,Paramètres!$A$1:$I$89,3,0)*VLOOKUP('Données projet'!$B$11,Paramètres!$A$1:$I$89,5,0)</f>
        <v>0</v>
      </c>
      <c r="BF36" s="14" t="e">
        <f t="shared" si="37"/>
        <v>#NUM!</v>
      </c>
      <c r="BG36" s="22" t="e">
        <f t="shared" si="7"/>
        <v>#NUM!</v>
      </c>
      <c r="BH36" s="62" t="e">
        <f t="shared" si="8"/>
        <v>#NUM!</v>
      </c>
      <c r="BI36" s="62">
        <f ca="1">AVERAGE(OFFSET($BH$3,0,0,'Données projet'!$E$11+1,1))-AVERAGE(OFFSET($H$3,0,0,'Données projet'!$E$11+1,1))</f>
        <v>74.52152468677042</v>
      </c>
      <c r="BJ36" s="62">
        <f t="shared" si="38"/>
        <v>344.26747505795851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54.859042719273049</v>
      </c>
      <c r="BQ36" s="23">
        <f>EXP(-LN(2)/25)*BQ35+(1-EXP(-LN(2)/25))/(LN(2)/25)*Calculateur!BL36*Calculateur!BN36*VLOOKUP('Données projet'!$B$11,Paramètres!$A$1:$I$89,3,0)*0.475*44/12</f>
        <v>13.024996301738653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67.884039021011702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3.9302640000000006</v>
      </c>
      <c r="D37" s="12">
        <f t="shared" si="32"/>
        <v>1.5444828834429902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5.4939565216305111</v>
      </c>
      <c r="H37" s="70">
        <f t="shared" si="1"/>
        <v>266.20185082199657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182.84082525184493</v>
      </c>
      <c r="T37" s="62">
        <f t="shared" si="34"/>
        <v>430.83336115516937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1.1368683772161603E-13</v>
      </c>
      <c r="AJ37" s="14">
        <f>AI37*VLOOKUP('Données projet'!$B$10,Paramètres!$A$1:$I$89,3,0)*VLOOKUP('Données projet'!$B$10,Paramètres!$A$1:$I$89,5,0)</f>
        <v>6.7984728957526396E-14</v>
      </c>
      <c r="AK37" s="14">
        <f t="shared" si="35"/>
        <v>1.0682447123141398E-12</v>
      </c>
      <c r="AL37" s="22">
        <f t="shared" si="4"/>
        <v>1.978932943548152E-12</v>
      </c>
      <c r="AM37" s="62">
        <f t="shared" si="5"/>
        <v>293.3333333333353</v>
      </c>
      <c r="AN37" s="62">
        <f ca="1">AVERAGE(OFFSET($AM$3,0,0,'Données projet'!$E$10+1,1))-AVERAGE(OFFSET($H$3,0,0,'Données projet'!$E$10+1,1))</f>
        <v>182.84082525184493</v>
      </c>
      <c r="AO37" s="62">
        <f t="shared" si="36"/>
        <v>430.83336115516937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49.259505349117511</v>
      </c>
      <c r="AV37" s="23">
        <f>EXP(-LN(2)/25)*AV36+(1-EXP(-LN(2)/25))/(LN(2)/25)*Calculateur!AQ37*Calculateur!AS37*VLOOKUP('Données projet'!$B$10,Paramètres!$A$1:$I$89,3,0)*0.475*44/12</f>
        <v>39.335291009404642</v>
      </c>
      <c r="AW37" s="23">
        <f>EXP(-LN(2)/2)*AW36+(1-EXP(-LN(2)/2))/(LN(2)/2)*AQ37*AT37*VLOOKUP('Données projet'!$B$10,Paramètres!$A$1:$I$89,3,0)*0.475*44/12</f>
        <v>10.891846199227105</v>
      </c>
      <c r="AX37" s="23">
        <f t="shared" si="6"/>
        <v>99.486642557749263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>
        <f>BD37*VLOOKUP('Données projet'!$B$11,Paramètres!$A$1:$I$89,3,0)*VLOOKUP('Données projet'!$B$11,Paramètres!$A$1:$I$89,5,0)</f>
        <v>0</v>
      </c>
      <c r="BF37" s="14" t="e">
        <f t="shared" si="37"/>
        <v>#NUM!</v>
      </c>
      <c r="BG37" s="22" t="e">
        <f t="shared" si="7"/>
        <v>#NUM!</v>
      </c>
      <c r="BH37" s="62" t="e">
        <f t="shared" si="8"/>
        <v>#NUM!</v>
      </c>
      <c r="BI37" s="62">
        <f ca="1">AVERAGE(OFFSET($BH$3,0,0,'Données projet'!$E$11+1,1))-AVERAGE(OFFSET($H$3,0,0,'Données projet'!$E$11+1,1))</f>
        <v>74.52152468677042</v>
      </c>
      <c r="BJ37" s="62">
        <f t="shared" si="38"/>
        <v>344.26747505795851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53.783290352260195</v>
      </c>
      <c r="BQ37" s="23">
        <f>EXP(-LN(2)/25)*BQ36+(1-EXP(-LN(2)/25))/(LN(2)/25)*Calculateur!BL37*Calculateur!BN37*VLOOKUP('Données projet'!$B$11,Paramètres!$A$1:$I$89,3,0)*0.475*44/12</f>
        <v>12.668827092912823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66.452117445173016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4.0458600000000002</v>
      </c>
      <c r="D38" s="12">
        <f t="shared" si="32"/>
        <v>1.5845533010732491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5.6501691372173655</v>
      </c>
      <c r="H38" s="70">
        <f t="shared" si="1"/>
        <v>266.47296983270257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182.84082525184493</v>
      </c>
      <c r="T38" s="62">
        <f t="shared" si="34"/>
        <v>430.83336115516937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1.1368683772161603E-13</v>
      </c>
      <c r="AJ38" s="14">
        <f>AI38*VLOOKUP('Données projet'!$B$10,Paramètres!$A$1:$I$89,3,0)*VLOOKUP('Données projet'!$B$10,Paramètres!$A$1:$I$89,5,0)</f>
        <v>6.7984728957526396E-14</v>
      </c>
      <c r="AK38" s="14">
        <f t="shared" si="35"/>
        <v>1.0682447123141398E-12</v>
      </c>
      <c r="AL38" s="22">
        <f t="shared" si="4"/>
        <v>1.978932943548152E-12</v>
      </c>
      <c r="AM38" s="62">
        <f t="shared" si="5"/>
        <v>293.3333333333353</v>
      </c>
      <c r="AN38" s="62">
        <f ca="1">AVERAGE(OFFSET($AM$3,0,0,'Données projet'!$E$10+1,1))-AVERAGE(OFFSET($H$3,0,0,'Données projet'!$E$10+1,1))</f>
        <v>182.84082525184493</v>
      </c>
      <c r="AO38" s="62">
        <f t="shared" si="36"/>
        <v>430.83336115516937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48.293556494552853</v>
      </c>
      <c r="AV38" s="23">
        <f>EXP(-LN(2)/25)*AV37+(1-EXP(-LN(2)/25))/(LN(2)/25)*Calculateur!AQ38*Calculateur!AS38*VLOOKUP('Données projet'!$B$10,Paramètres!$A$1:$I$89,3,0)*0.475*44/12</f>
        <v>38.259665408199417</v>
      </c>
      <c r="AW38" s="23">
        <f>EXP(-LN(2)/2)*AW37+(1-EXP(-LN(2)/2))/(LN(2)/2)*AQ38*AT38*VLOOKUP('Données projet'!$B$10,Paramètres!$A$1:$I$89,3,0)*0.475*44/12</f>
        <v>7.7016983071144107</v>
      </c>
      <c r="AX38" s="23">
        <f t="shared" si="6"/>
        <v>94.254920209866683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>
        <f>BD38*VLOOKUP('Données projet'!$B$11,Paramètres!$A$1:$I$89,3,0)*VLOOKUP('Données projet'!$B$11,Paramètres!$A$1:$I$89,5,0)</f>
        <v>0</v>
      </c>
      <c r="BF38" s="14" t="e">
        <f t="shared" si="37"/>
        <v>#NUM!</v>
      </c>
      <c r="BG38" s="22" t="e">
        <f t="shared" si="7"/>
        <v>#NUM!</v>
      </c>
      <c r="BH38" s="62" t="e">
        <f t="shared" si="8"/>
        <v>#NUM!</v>
      </c>
      <c r="BI38" s="62">
        <f ca="1">AVERAGE(OFFSET($BH$3,0,0,'Données projet'!$E$11+1,1))-AVERAGE(OFFSET($H$3,0,0,'Données projet'!$E$11+1,1))</f>
        <v>74.52152468677042</v>
      </c>
      <c r="BJ38" s="62">
        <f t="shared" si="38"/>
        <v>344.26747505795851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52.728632833020306</v>
      </c>
      <c r="BQ38" s="23">
        <f>EXP(-LN(2)/25)*BQ37+(1-EXP(-LN(2)/25))/(LN(2)/25)*Calculateur!BL38*Calculateur!BN38*VLOOKUP('Données projet'!$B$11,Paramètres!$A$1:$I$89,3,0)*0.475*44/12</f>
        <v>12.32239734983246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65.05103018285277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4.1614560000000003</v>
      </c>
      <c r="D39" s="12">
        <f t="shared" si="32"/>
        <v>1.6244906581655971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5.8062482253872325</v>
      </c>
      <c r="H39" s="70">
        <f t="shared" si="1"/>
        <v>266.74385709630508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182.84082525184493</v>
      </c>
      <c r="T39" s="62">
        <f t="shared" si="34"/>
        <v>430.83336115516937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1.1368683772161603E-13</v>
      </c>
      <c r="AJ39" s="14">
        <f>AI39*VLOOKUP('Données projet'!$B$10,Paramètres!$A$1:$I$89,3,0)*VLOOKUP('Données projet'!$B$10,Paramètres!$A$1:$I$89,5,0)</f>
        <v>6.7984728957526396E-14</v>
      </c>
      <c r="AK39" s="14">
        <f t="shared" si="35"/>
        <v>1.0682447123141398E-12</v>
      </c>
      <c r="AL39" s="22">
        <f t="shared" si="4"/>
        <v>1.978932943548152E-12</v>
      </c>
      <c r="AM39" s="62">
        <f t="shared" si="5"/>
        <v>293.3333333333353</v>
      </c>
      <c r="AN39" s="62">
        <f ca="1">AVERAGE(OFFSET($AM$3,0,0,'Données projet'!$E$10+1,1))-AVERAGE(OFFSET($H$3,0,0,'Données projet'!$E$10+1,1))</f>
        <v>182.84082525184493</v>
      </c>
      <c r="AO39" s="62">
        <f t="shared" si="36"/>
        <v>430.83336115516937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47.346549307855575</v>
      </c>
      <c r="AV39" s="23">
        <f>EXP(-LN(2)/25)*AV38+(1-EXP(-LN(2)/25))/(LN(2)/25)*Calculateur!AQ39*Calculateur!AS39*VLOOKUP('Données projet'!$B$10,Paramètres!$A$1:$I$89,3,0)*0.475*44/12</f>
        <v>37.213452845623841</v>
      </c>
      <c r="AW39" s="23">
        <f>EXP(-LN(2)/2)*AW38+(1-EXP(-LN(2)/2))/(LN(2)/2)*AQ39*AT39*VLOOKUP('Données projet'!$B$10,Paramètres!$A$1:$I$89,3,0)*0.475*44/12</f>
        <v>5.4459230996135535</v>
      </c>
      <c r="AX39" s="23">
        <f t="shared" si="6"/>
        <v>90.005925253092968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>
        <f>BD39*VLOOKUP('Données projet'!$B$11,Paramètres!$A$1:$I$89,3,0)*VLOOKUP('Données projet'!$B$11,Paramètres!$A$1:$I$89,5,0)</f>
        <v>0</v>
      </c>
      <c r="BF39" s="14" t="e">
        <f t="shared" si="37"/>
        <v>#NUM!</v>
      </c>
      <c r="BG39" s="22" t="e">
        <f t="shared" si="7"/>
        <v>#NUM!</v>
      </c>
      <c r="BH39" s="62" t="e">
        <f t="shared" si="8"/>
        <v>#NUM!</v>
      </c>
      <c r="BI39" s="62">
        <f ca="1">AVERAGE(OFFSET($BH$3,0,0,'Données projet'!$E$11+1,1))-AVERAGE(OFFSET($H$3,0,0,'Données projet'!$E$11+1,1))</f>
        <v>74.52152468677042</v>
      </c>
      <c r="BJ39" s="62">
        <f t="shared" si="38"/>
        <v>344.26747505795851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51.694656504455139</v>
      </c>
      <c r="BQ39" s="23">
        <f>EXP(-LN(2)/25)*BQ38+(1-EXP(-LN(2)/25))/(LN(2)/25)*Calculateur!BL39*Calculateur!BN39*VLOOKUP('Données projet'!$B$11,Paramètres!$A$1:$I$89,3,0)*0.475*44/12</f>
        <v>11.985440746294579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63.680097250749718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4.2770520000000003</v>
      </c>
      <c r="D40" s="12">
        <f t="shared" si="32"/>
        <v>1.6642990754848921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5.9621979213637877</v>
      </c>
      <c r="H40" s="70">
        <f t="shared" si="1"/>
        <v>267.01451978980288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182.84082525184493</v>
      </c>
      <c r="T40" s="62">
        <f t="shared" si="34"/>
        <v>430.83336115516937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1.1368683772161603E-13</v>
      </c>
      <c r="AJ40" s="14">
        <f>AI40*VLOOKUP('Données projet'!$B$10,Paramètres!$A$1:$I$89,3,0)*VLOOKUP('Données projet'!$B$10,Paramètres!$A$1:$I$89,5,0)</f>
        <v>6.7984728957526396E-14</v>
      </c>
      <c r="AK40" s="14">
        <f t="shared" si="35"/>
        <v>1.0682447123141398E-12</v>
      </c>
      <c r="AL40" s="22">
        <f t="shared" si="4"/>
        <v>1.978932943548152E-12</v>
      </c>
      <c r="AM40" s="62">
        <f t="shared" si="5"/>
        <v>293.3333333333353</v>
      </c>
      <c r="AN40" s="62">
        <f ca="1">AVERAGE(OFFSET($AM$3,0,0,'Données projet'!$E$10+1,1))-AVERAGE(OFFSET($H$3,0,0,'Données projet'!$E$10+1,1))</f>
        <v>182.84082525184493</v>
      </c>
      <c r="AO40" s="62">
        <f t="shared" si="36"/>
        <v>430.83336115516937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46.418112354472086</v>
      </c>
      <c r="AV40" s="23">
        <f>EXP(-LN(2)/25)*AV39+(1-EXP(-LN(2)/25))/(LN(2)/25)*Calculateur!AQ40*Calculateur!AS40*VLOOKUP('Données projet'!$B$10,Paramètres!$A$1:$I$89,3,0)*0.475*44/12</f>
        <v>36.195849020589826</v>
      </c>
      <c r="AW40" s="23">
        <f>EXP(-LN(2)/2)*AW39+(1-EXP(-LN(2)/2))/(LN(2)/2)*AQ40*AT40*VLOOKUP('Données projet'!$B$10,Paramètres!$A$1:$I$89,3,0)*0.475*44/12</f>
        <v>3.8508491535572058</v>
      </c>
      <c r="AX40" s="23">
        <f t="shared" si="6"/>
        <v>86.464810528619111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>
        <f>BD40*VLOOKUP('Données projet'!$B$11,Paramètres!$A$1:$I$89,3,0)*VLOOKUP('Données projet'!$B$11,Paramètres!$A$1:$I$89,5,0)</f>
        <v>0</v>
      </c>
      <c r="BF40" s="14" t="e">
        <f t="shared" si="37"/>
        <v>#NUM!</v>
      </c>
      <c r="BG40" s="22" t="e">
        <f t="shared" si="7"/>
        <v>#NUM!</v>
      </c>
      <c r="BH40" s="62" t="e">
        <f t="shared" si="8"/>
        <v>#NUM!</v>
      </c>
      <c r="BI40" s="62">
        <f ca="1">AVERAGE(OFFSET($BH$3,0,0,'Données projet'!$E$11+1,1))-AVERAGE(OFFSET($H$3,0,0,'Données projet'!$E$11+1,1))</f>
        <v>74.52152468677042</v>
      </c>
      <c r="BJ40" s="62">
        <f t="shared" si="38"/>
        <v>344.26747505795851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50.680955821029848</v>
      </c>
      <c r="BQ40" s="23">
        <f>EXP(-LN(2)/25)*BQ39+(1-EXP(-LN(2)/25))/(LN(2)/25)*Calculateur!BL40*Calculateur!BN40*VLOOKUP('Données projet'!$B$11,Paramètres!$A$1:$I$89,3,0)*0.475*44/12</f>
        <v>11.657698238800217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62.338654059830063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4.3926480000000003</v>
      </c>
      <c r="D41" s="12">
        <f t="shared" si="32"/>
        <v>1.703982438372031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6.1180221241207056</v>
      </c>
      <c r="H41" s="70">
        <f t="shared" si="1"/>
        <v>267.28496468016465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182.84082525184493</v>
      </c>
      <c r="T41" s="62">
        <f t="shared" si="34"/>
        <v>430.83336115516937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1.1368683772161603E-13</v>
      </c>
      <c r="AJ41" s="14">
        <f>AI41*VLOOKUP('Données projet'!$B$10,Paramètres!$A$1:$I$89,3,0)*VLOOKUP('Données projet'!$B$10,Paramètres!$A$1:$I$89,5,0)</f>
        <v>6.7984728957526396E-14</v>
      </c>
      <c r="AK41" s="14">
        <f t="shared" si="35"/>
        <v>1.0682447123141398E-12</v>
      </c>
      <c r="AL41" s="22">
        <f t="shared" si="4"/>
        <v>1.978932943548152E-12</v>
      </c>
      <c r="AM41" s="62">
        <f t="shared" si="5"/>
        <v>293.3333333333353</v>
      </c>
      <c r="AN41" s="62">
        <f ca="1">AVERAGE(OFFSET($AM$3,0,0,'Données projet'!$E$10+1,1))-AVERAGE(OFFSET($H$3,0,0,'Données projet'!$E$10+1,1))</f>
        <v>182.84082525184493</v>
      </c>
      <c r="AO41" s="62">
        <f t="shared" si="36"/>
        <v>430.83336115516937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45.507881483453822</v>
      </c>
      <c r="AV41" s="23">
        <f>EXP(-LN(2)/25)*AV40+(1-EXP(-LN(2)/25))/(LN(2)/25)*Calculateur!AQ41*Calculateur!AS41*VLOOKUP('Données projet'!$B$10,Paramètres!$A$1:$I$89,3,0)*0.475*44/12</f>
        <v>35.206071625664826</v>
      </c>
      <c r="AW41" s="23">
        <f>EXP(-LN(2)/2)*AW40+(1-EXP(-LN(2)/2))/(LN(2)/2)*AQ41*AT41*VLOOKUP('Données projet'!$B$10,Paramètres!$A$1:$I$89,3,0)*0.475*44/12</f>
        <v>2.7229615498067772</v>
      </c>
      <c r="AX41" s="23">
        <f t="shared" si="6"/>
        <v>83.436914658925431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>
        <f>BD41*VLOOKUP('Données projet'!$B$11,Paramètres!$A$1:$I$89,3,0)*VLOOKUP('Données projet'!$B$11,Paramètres!$A$1:$I$89,5,0)</f>
        <v>0</v>
      </c>
      <c r="BF41" s="14" t="e">
        <f t="shared" si="37"/>
        <v>#NUM!</v>
      </c>
      <c r="BG41" s="22" t="e">
        <f t="shared" si="7"/>
        <v>#NUM!</v>
      </c>
      <c r="BH41" s="62" t="e">
        <f t="shared" si="8"/>
        <v>#NUM!</v>
      </c>
      <c r="BI41" s="62">
        <f ca="1">AVERAGE(OFFSET($BH$3,0,0,'Données projet'!$E$11+1,1))-AVERAGE(OFFSET($H$3,0,0,'Données projet'!$E$11+1,1))</f>
        <v>74.52152468677042</v>
      </c>
      <c r="BJ41" s="62">
        <f t="shared" si="38"/>
        <v>344.26747505795851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49.687133189710167</v>
      </c>
      <c r="BQ41" s="23">
        <f>EXP(-LN(2)/25)*BQ40+(1-EXP(-LN(2)/25))/(LN(2)/25)*Calculateur!BL41*Calculateur!BN41*VLOOKUP('Données projet'!$B$11,Paramètres!$A$1:$I$89,3,0)*0.475*44/12</f>
        <v>11.338917867408519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61.026051057118686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4.5082440000000004</v>
      </c>
      <c r="D42" s="12">
        <f t="shared" si="32"/>
        <v>1.7435444160306495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6.2737245157360206</v>
      </c>
      <c r="H42" s="70">
        <f t="shared" si="1"/>
        <v>267.55519815792007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182.84082525184493</v>
      </c>
      <c r="T42" s="62">
        <f t="shared" si="34"/>
        <v>430.83336115516937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1.1368683772161603E-13</v>
      </c>
      <c r="AJ42" s="14">
        <f>AI42*VLOOKUP('Données projet'!$B$10,Paramètres!$A$1:$I$89,3,0)*VLOOKUP('Données projet'!$B$10,Paramètres!$A$1:$I$89,5,0)</f>
        <v>6.7984728957526396E-14</v>
      </c>
      <c r="AK42" s="14">
        <f t="shared" si="35"/>
        <v>1.0682447123141398E-12</v>
      </c>
      <c r="AL42" s="22">
        <f t="shared" si="4"/>
        <v>1.978932943548152E-12</v>
      </c>
      <c r="AM42" s="62">
        <f t="shared" si="5"/>
        <v>293.3333333333353</v>
      </c>
      <c r="AN42" s="62">
        <f ca="1">AVERAGE(OFFSET($AM$3,0,0,'Données projet'!$E$10+1,1))-AVERAGE(OFFSET($H$3,0,0,'Données projet'!$E$10+1,1))</f>
        <v>182.84082525184493</v>
      </c>
      <c r="AO42" s="62">
        <f t="shared" si="36"/>
        <v>430.83336115516937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44.615499684630215</v>
      </c>
      <c r="AV42" s="23">
        <f>EXP(-LN(2)/25)*AV41+(1-EXP(-LN(2)/25))/(LN(2)/25)*Calculateur!AQ42*Calculateur!AS42*VLOOKUP('Données projet'!$B$10,Paramètres!$A$1:$I$89,3,0)*0.475*44/12</f>
        <v>34.243359745654182</v>
      </c>
      <c r="AW42" s="23">
        <f>EXP(-LN(2)/2)*AW41+(1-EXP(-LN(2)/2))/(LN(2)/2)*AQ42*AT42*VLOOKUP('Données projet'!$B$10,Paramètres!$A$1:$I$89,3,0)*0.475*44/12</f>
        <v>1.9254245767786033</v>
      </c>
      <c r="AX42" s="23">
        <f t="shared" si="6"/>
        <v>80.784284007063007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>
        <f>BD42*VLOOKUP('Données projet'!$B$11,Paramètres!$A$1:$I$89,3,0)*VLOOKUP('Données projet'!$B$11,Paramètres!$A$1:$I$89,5,0)</f>
        <v>0</v>
      </c>
      <c r="BF42" s="14" t="e">
        <f t="shared" si="37"/>
        <v>#NUM!</v>
      </c>
      <c r="BG42" s="22" t="e">
        <f t="shared" si="7"/>
        <v>#NUM!</v>
      </c>
      <c r="BH42" s="62" t="e">
        <f t="shared" si="8"/>
        <v>#NUM!</v>
      </c>
      <c r="BI42" s="62">
        <f ca="1">AVERAGE(OFFSET($BH$3,0,0,'Données projet'!$E$11+1,1))-AVERAGE(OFFSET($H$3,0,0,'Données projet'!$E$11+1,1))</f>
        <v>74.52152468677042</v>
      </c>
      <c r="BJ42" s="62">
        <f t="shared" si="38"/>
        <v>344.26747505795851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48.712798814018711</v>
      </c>
      <c r="BQ42" s="23">
        <f>EXP(-LN(2)/25)*BQ41+(1-EXP(-LN(2)/25))/(LN(2)/25)*Calculateur!BL42*Calculateur!BN42*VLOOKUP('Données projet'!$B$11,Paramètres!$A$1:$I$89,3,0)*0.475*44/12</f>
        <v>11.028854562036457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59.741653376055169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4.6238400000000004</v>
      </c>
      <c r="D43" s="12">
        <f t="shared" si="32"/>
        <v>1.7829884787800361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6.429308578705581</v>
      </c>
      <c r="H43" s="70">
        <f t="shared" si="1"/>
        <v>267.82522626720856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182.84082525184493</v>
      </c>
      <c r="T43" s="62">
        <f t="shared" si="34"/>
        <v>430.83336115516937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1.1368683772161603E-13</v>
      </c>
      <c r="AJ43" s="14">
        <f>AI43*VLOOKUP('Données projet'!$B$10,Paramètres!$A$1:$I$89,3,0)*VLOOKUP('Données projet'!$B$10,Paramètres!$A$1:$I$89,5,0)</f>
        <v>6.7984728957526396E-14</v>
      </c>
      <c r="AK43" s="14">
        <f t="shared" si="35"/>
        <v>1.0682447123141398E-12</v>
      </c>
      <c r="AL43" s="22">
        <f t="shared" si="4"/>
        <v>1.978932943548152E-12</v>
      </c>
      <c r="AM43" s="62">
        <f t="shared" si="5"/>
        <v>293.3333333333353</v>
      </c>
      <c r="AN43" s="62">
        <f ca="1">AVERAGE(OFFSET($AM$3,0,0,'Données projet'!$E$10+1,1))-AVERAGE(OFFSET($H$3,0,0,'Données projet'!$E$10+1,1))</f>
        <v>182.84082525184493</v>
      </c>
      <c r="AO43" s="62">
        <f t="shared" si="36"/>
        <v>430.83336115516937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43.740616948582385</v>
      </c>
      <c r="AV43" s="23">
        <f>EXP(-LN(2)/25)*AV42+(1-EXP(-LN(2)/25))/(LN(2)/25)*Calculateur!AQ43*Calculateur!AS43*VLOOKUP('Données projet'!$B$10,Paramètres!$A$1:$I$89,3,0)*0.475*44/12</f>
        <v>33.306973272629243</v>
      </c>
      <c r="AW43" s="23">
        <f>EXP(-LN(2)/2)*AW42+(1-EXP(-LN(2)/2))/(LN(2)/2)*AQ43*AT43*VLOOKUP('Données projet'!$B$10,Paramètres!$A$1:$I$89,3,0)*0.475*44/12</f>
        <v>1.3614807749033888</v>
      </c>
      <c r="AX43" s="23">
        <f t="shared" si="6"/>
        <v>78.40907099611502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>
        <f>BD43*VLOOKUP('Données projet'!$B$11,Paramètres!$A$1:$I$89,3,0)*VLOOKUP('Données projet'!$B$11,Paramètres!$A$1:$I$89,5,0)</f>
        <v>0</v>
      </c>
      <c r="BF43" s="14" t="e">
        <f t="shared" si="37"/>
        <v>#NUM!</v>
      </c>
      <c r="BG43" s="22" t="e">
        <f t="shared" si="7"/>
        <v>#NUM!</v>
      </c>
      <c r="BH43" s="62" t="e">
        <f t="shared" si="8"/>
        <v>#NUM!</v>
      </c>
      <c r="BI43" s="62">
        <f ca="1">AVERAGE(OFFSET($BH$3,0,0,'Données projet'!$E$11+1,1))-AVERAGE(OFFSET($H$3,0,0,'Données projet'!$E$11+1,1))</f>
        <v>74.52152468677042</v>
      </c>
      <c r="BJ43" s="62">
        <f t="shared" si="38"/>
        <v>344.26747505795851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47.757570541149278</v>
      </c>
      <c r="BQ43" s="23">
        <f>EXP(-LN(2)/25)*BQ42+(1-EXP(-LN(2)/25))/(LN(2)/25)*Calculateur!BL43*Calculateur!BN43*VLOOKUP('Données projet'!$B$11,Paramètres!$A$1:$I$89,3,0)*0.475*44/12</f>
        <v>10.727269954055316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58.484840495204594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4.7394360000000004</v>
      </c>
      <c r="D44" s="12">
        <f t="shared" si="32"/>
        <v>1.8223179135341911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6.5847776114764178</v>
      </c>
      <c r="H44" s="70">
        <f t="shared" si="1"/>
        <v>268.09505473273873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182.84082525184493</v>
      </c>
      <c r="T44" s="62">
        <f t="shared" si="34"/>
        <v>430.83336115516937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1.1368683772161603E-13</v>
      </c>
      <c r="AJ44" s="14">
        <f>AI44*VLOOKUP('Données projet'!$B$10,Paramètres!$A$1:$I$89,3,0)*VLOOKUP('Données projet'!$B$10,Paramètres!$A$1:$I$89,5,0)</f>
        <v>6.7984728957526396E-14</v>
      </c>
      <c r="AK44" s="14">
        <f t="shared" si="35"/>
        <v>1.0682447123141398E-12</v>
      </c>
      <c r="AL44" s="22">
        <f t="shared" si="4"/>
        <v>1.978932943548152E-12</v>
      </c>
      <c r="AM44" s="62">
        <f t="shared" si="5"/>
        <v>293.3333333333353</v>
      </c>
      <c r="AN44" s="62">
        <f ca="1">AVERAGE(OFFSET($AM$3,0,0,'Données projet'!$E$10+1,1))-AVERAGE(OFFSET($H$3,0,0,'Données projet'!$E$10+1,1))</f>
        <v>182.84082525184493</v>
      </c>
      <c r="AO44" s="62">
        <f t="shared" si="36"/>
        <v>430.83336115516937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42.882890129362679</v>
      </c>
      <c r="AV44" s="23">
        <f>EXP(-LN(2)/25)*AV43+(1-EXP(-LN(2)/25))/(LN(2)/25)*Calculateur!AQ44*Calculateur!AS44*VLOOKUP('Données projet'!$B$10,Paramètres!$A$1:$I$89,3,0)*0.475*44/12</f>
        <v>32.396192336951593</v>
      </c>
      <c r="AW44" s="23">
        <f>EXP(-LN(2)/2)*AW43+(1-EXP(-LN(2)/2))/(LN(2)/2)*AQ44*AT44*VLOOKUP('Données projet'!$B$10,Paramètres!$A$1:$I$89,3,0)*0.475*44/12</f>
        <v>0.96271228838930178</v>
      </c>
      <c r="AX44" s="23">
        <f t="shared" si="6"/>
        <v>76.241794754703562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>
        <f>BD44*VLOOKUP('Données projet'!$B$11,Paramètres!$A$1:$I$89,3,0)*VLOOKUP('Données projet'!$B$11,Paramètres!$A$1:$I$89,5,0)</f>
        <v>0</v>
      </c>
      <c r="BF44" s="14" t="e">
        <f t="shared" si="37"/>
        <v>#NUM!</v>
      </c>
      <c r="BG44" s="22" t="e">
        <f t="shared" si="7"/>
        <v>#NUM!</v>
      </c>
      <c r="BH44" s="62" t="e">
        <f t="shared" si="8"/>
        <v>#NUM!</v>
      </c>
      <c r="BI44" s="62">
        <f ca="1">AVERAGE(OFFSET($BH$3,0,0,'Données projet'!$E$11+1,1))-AVERAGE(OFFSET($H$3,0,0,'Données projet'!$E$11+1,1))</f>
        <v>74.52152468677042</v>
      </c>
      <c r="BJ44" s="62">
        <f t="shared" si="38"/>
        <v>344.26747505795851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46.821073712079098</v>
      </c>
      <c r="BQ44" s="23">
        <f>EXP(-LN(2)/25)*BQ43+(1-EXP(-LN(2)/25))/(LN(2)/25)*Calculateur!BL44*Calculateur!BN44*VLOOKUP('Données projet'!$B$11,Paramètres!$A$1:$I$89,3,0)*0.475*44/12</f>
        <v>10.433932193039064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57.255005905118161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4.8550320000000005</v>
      </c>
      <c r="D45" s="12">
        <f t="shared" si="32"/>
        <v>1.8615358377282107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6.7401347424219962</v>
      </c>
      <c r="H45" s="70">
        <f t="shared" si="1"/>
        <v>268.36468898404331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182.84082525184493</v>
      </c>
      <c r="T45" s="62">
        <f t="shared" si="34"/>
        <v>430.83336115516937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1.1368683772161603E-13</v>
      </c>
      <c r="AJ45" s="14">
        <f>AI45*VLOOKUP('Données projet'!$B$10,Paramètres!$A$1:$I$89,3,0)*VLOOKUP('Données projet'!$B$10,Paramètres!$A$1:$I$89,5,0)</f>
        <v>6.7984728957526396E-14</v>
      </c>
      <c r="AK45" s="14">
        <f t="shared" si="35"/>
        <v>1.0682447123141398E-12</v>
      </c>
      <c r="AL45" s="22">
        <f t="shared" si="4"/>
        <v>1.978932943548152E-12</v>
      </c>
      <c r="AM45" s="62">
        <f t="shared" si="5"/>
        <v>293.3333333333353</v>
      </c>
      <c r="AN45" s="62">
        <f ca="1">AVERAGE(OFFSET($AM$3,0,0,'Données projet'!$E$10+1,1))-AVERAGE(OFFSET($H$3,0,0,'Données projet'!$E$10+1,1))</f>
        <v>182.84082525184493</v>
      </c>
      <c r="AO45" s="62">
        <f t="shared" si="36"/>
        <v>430.83336115516937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42.041982809906166</v>
      </c>
      <c r="AV45" s="23">
        <f>EXP(-LN(2)/25)*AV44+(1-EXP(-LN(2)/25))/(LN(2)/25)*Calculateur!AQ45*Calculateur!AS45*VLOOKUP('Données projet'!$B$10,Paramètres!$A$1:$I$89,3,0)*0.475*44/12</f>
        <v>31.510316753855939</v>
      </c>
      <c r="AW45" s="23">
        <f>EXP(-LN(2)/2)*AW44+(1-EXP(-LN(2)/2))/(LN(2)/2)*AQ45*AT45*VLOOKUP('Données projet'!$B$10,Paramètres!$A$1:$I$89,3,0)*0.475*44/12</f>
        <v>0.68074038745169452</v>
      </c>
      <c r="AX45" s="23">
        <f t="shared" si="6"/>
        <v>74.233039951213797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>
        <f>BD45*VLOOKUP('Données projet'!$B$11,Paramètres!$A$1:$I$89,3,0)*VLOOKUP('Données projet'!$B$11,Paramètres!$A$1:$I$89,5,0)</f>
        <v>0</v>
      </c>
      <c r="BF45" s="14" t="e">
        <f t="shared" si="37"/>
        <v>#NUM!</v>
      </c>
      <c r="BG45" s="22" t="e">
        <f t="shared" si="7"/>
        <v>#NUM!</v>
      </c>
      <c r="BH45" s="62" t="e">
        <f t="shared" si="8"/>
        <v>#NUM!</v>
      </c>
      <c r="BI45" s="62">
        <f ca="1">AVERAGE(OFFSET($BH$3,0,0,'Données projet'!$E$11+1,1))-AVERAGE(OFFSET($H$3,0,0,'Données projet'!$E$11+1,1))</f>
        <v>74.52152468677042</v>
      </c>
      <c r="BJ45" s="62">
        <f t="shared" si="38"/>
        <v>344.26747505795851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45.902941014620318</v>
      </c>
      <c r="BQ45" s="23">
        <f>EXP(-LN(2)/25)*BQ44+(1-EXP(-LN(2)/25))/(LN(2)/25)*Calculateur!BL45*Calculateur!BN45*VLOOKUP('Données projet'!$B$11,Paramètres!$A$1:$I$89,3,0)*0.475*44/12</f>
        <v>10.148615768523763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56.051556783144079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4.9706280000000005</v>
      </c>
      <c r="D46" s="12">
        <f t="shared" si="32"/>
        <v>1.900645211880992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6.8953829424489959</v>
      </c>
      <c r="H46" s="70">
        <f t="shared" si="1"/>
        <v>268.63413417735944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182.84082525184493</v>
      </c>
      <c r="T46" s="62">
        <f t="shared" si="34"/>
        <v>430.83336115516937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1.1368683772161603E-13</v>
      </c>
      <c r="AJ46" s="14">
        <f>AI46*VLOOKUP('Données projet'!$B$10,Paramètres!$A$1:$I$89,3,0)*VLOOKUP('Données projet'!$B$10,Paramètres!$A$1:$I$89,5,0)</f>
        <v>6.7984728957526396E-14</v>
      </c>
      <c r="AK46" s="14">
        <f t="shared" si="35"/>
        <v>1.0682447123141398E-12</v>
      </c>
      <c r="AL46" s="22">
        <f t="shared" si="4"/>
        <v>1.978932943548152E-12</v>
      </c>
      <c r="AM46" s="62">
        <f t="shared" si="5"/>
        <v>293.3333333333353</v>
      </c>
      <c r="AN46" s="62">
        <f ca="1">AVERAGE(OFFSET($AM$3,0,0,'Données projet'!$E$10+1,1))-AVERAGE(OFFSET($H$3,0,0,'Données projet'!$E$10+1,1))</f>
        <v>182.84082525184493</v>
      </c>
      <c r="AO46" s="62">
        <f t="shared" si="36"/>
        <v>430.83336115516937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41.217565170081379</v>
      </c>
      <c r="AV46" s="23">
        <f>EXP(-LN(2)/25)*AV45+(1-EXP(-LN(2)/25))/(LN(2)/25)*Calculateur!AQ46*Calculateur!AS46*VLOOKUP('Données projet'!$B$10,Paramètres!$A$1:$I$89,3,0)*0.475*44/12</f>
        <v>30.648665485166209</v>
      </c>
      <c r="AW46" s="23">
        <f>EXP(-LN(2)/2)*AW45+(1-EXP(-LN(2)/2))/(LN(2)/2)*AQ46*AT46*VLOOKUP('Données projet'!$B$10,Paramètres!$A$1:$I$89,3,0)*0.475*44/12</f>
        <v>0.48135614419465095</v>
      </c>
      <c r="AX46" s="23">
        <f t="shared" si="6"/>
        <v>72.34758679944224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>
        <f>BD46*VLOOKUP('Données projet'!$B$11,Paramètres!$A$1:$I$89,3,0)*VLOOKUP('Données projet'!$B$11,Paramètres!$A$1:$I$89,5,0)</f>
        <v>0</v>
      </c>
      <c r="BF46" s="14" t="e">
        <f t="shared" si="37"/>
        <v>#NUM!</v>
      </c>
      <c r="BG46" s="22" t="e">
        <f t="shared" si="7"/>
        <v>#NUM!</v>
      </c>
      <c r="BH46" s="62" t="e">
        <f t="shared" si="8"/>
        <v>#NUM!</v>
      </c>
      <c r="BI46" s="62">
        <f ca="1">AVERAGE(OFFSET($BH$3,0,0,'Données projet'!$E$11+1,1))-AVERAGE(OFFSET($H$3,0,0,'Données projet'!$E$11+1,1))</f>
        <v>74.52152468677042</v>
      </c>
      <c r="BJ46" s="62">
        <f t="shared" si="38"/>
        <v>344.26747505795851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45.002812339353056</v>
      </c>
      <c r="BQ46" s="23">
        <f>EXP(-LN(2)/25)*BQ45+(1-EXP(-LN(2)/25))/(LN(2)/25)*Calculateur!BL46*Calculateur!BN46*VLOOKUP('Données projet'!$B$11,Paramètres!$A$1:$I$89,3,0)*0.475*44/12</f>
        <v>9.8711013366409723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54.873913675994032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5.0862240000000005</v>
      </c>
      <c r="D47" s="12">
        <f t="shared" si="32"/>
        <v>1.9396488509563805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7.0505250363983336</v>
      </c>
      <c r="H47" s="70">
        <f t="shared" si="1"/>
        <v>268.90339521541569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182.84082525184493</v>
      </c>
      <c r="T47" s="62">
        <f t="shared" si="34"/>
        <v>430.83336115516937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1.1368683772161603E-13</v>
      </c>
      <c r="AJ47" s="14">
        <f>AI47*VLOOKUP('Données projet'!$B$10,Paramètres!$A$1:$I$89,3,0)*VLOOKUP('Données projet'!$B$10,Paramètres!$A$1:$I$89,5,0)</f>
        <v>6.7984728957526396E-14</v>
      </c>
      <c r="AK47" s="14">
        <f t="shared" si="35"/>
        <v>1.0682447123141398E-12</v>
      </c>
      <c r="AL47" s="22">
        <f t="shared" si="4"/>
        <v>1.978932943548152E-12</v>
      </c>
      <c r="AM47" s="62">
        <f t="shared" si="5"/>
        <v>293.3333333333353</v>
      </c>
      <c r="AN47" s="62">
        <f ca="1">AVERAGE(OFFSET($AM$3,0,0,'Données projet'!$E$10+1,1))-AVERAGE(OFFSET($H$3,0,0,'Données projet'!$E$10+1,1))</f>
        <v>182.84082525184493</v>
      </c>
      <c r="AO47" s="62">
        <f t="shared" si="36"/>
        <v>430.83336115516937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40.409313857328442</v>
      </c>
      <c r="AV47" s="23">
        <f>EXP(-LN(2)/25)*AV46+(1-EXP(-LN(2)/25))/(LN(2)/25)*Calculateur!AQ47*Calculateur!AS47*VLOOKUP('Données projet'!$B$10,Paramètres!$A$1:$I$89,3,0)*0.475*44/12</f>
        <v>29.81057611573107</v>
      </c>
      <c r="AW47" s="23">
        <f>EXP(-LN(2)/2)*AW46+(1-EXP(-LN(2)/2))/(LN(2)/2)*AQ47*AT47*VLOOKUP('Données projet'!$B$10,Paramètres!$A$1:$I$89,3,0)*0.475*44/12</f>
        <v>0.34037019372584731</v>
      </c>
      <c r="AX47" s="23">
        <f t="shared" si="6"/>
        <v>70.560260166785355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>
        <f>BD47*VLOOKUP('Données projet'!$B$11,Paramètres!$A$1:$I$89,3,0)*VLOOKUP('Données projet'!$B$11,Paramètres!$A$1:$I$89,5,0)</f>
        <v>0</v>
      </c>
      <c r="BF47" s="14" t="e">
        <f t="shared" si="37"/>
        <v>#NUM!</v>
      </c>
      <c r="BG47" s="22" t="e">
        <f t="shared" si="7"/>
        <v>#NUM!</v>
      </c>
      <c r="BH47" s="62" t="e">
        <f t="shared" si="8"/>
        <v>#NUM!</v>
      </c>
      <c r="BI47" s="62">
        <f ca="1">AVERAGE(OFFSET($BH$3,0,0,'Données projet'!$E$11+1,1))-AVERAGE(OFFSET($H$3,0,0,'Données projet'!$E$11+1,1))</f>
        <v>74.52152468677042</v>
      </c>
      <c r="BJ47" s="62">
        <f t="shared" si="38"/>
        <v>344.26747505795851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44.120334638383504</v>
      </c>
      <c r="BQ47" s="23">
        <f>EXP(-LN(2)/25)*BQ46+(1-EXP(-LN(2)/25))/(LN(2)/25)*Calculateur!BL47*Calculateur!BN47*VLOOKUP('Données projet'!$B$11,Paramètres!$A$1:$I$89,3,0)*0.475*44/12</f>
        <v>9.6011755514918669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53.721510189875374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5.2018200000000006</v>
      </c>
      <c r="D48" s="12">
        <f t="shared" si="32"/>
        <v>1.9785494346623798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7.2055637133804948</v>
      </c>
      <c r="H48" s="70">
        <f t="shared" si="1"/>
        <v>269.17247676537033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182.84082525184493</v>
      </c>
      <c r="T48" s="62">
        <f t="shared" si="34"/>
        <v>430.83336115516937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1.1368683772161603E-13</v>
      </c>
      <c r="AJ48" s="14">
        <f>AI48*VLOOKUP('Données projet'!$B$10,Paramètres!$A$1:$I$89,3,0)*VLOOKUP('Données projet'!$B$10,Paramètres!$A$1:$I$89,5,0)</f>
        <v>6.7984728957526396E-14</v>
      </c>
      <c r="AK48" s="14">
        <f t="shared" si="35"/>
        <v>1.0682447123141398E-12</v>
      </c>
      <c r="AL48" s="22">
        <f t="shared" si="4"/>
        <v>1.978932943548152E-12</v>
      </c>
      <c r="AM48" s="62">
        <f t="shared" si="5"/>
        <v>293.3333333333353</v>
      </c>
      <c r="AN48" s="62">
        <f ca="1">AVERAGE(OFFSET($AM$3,0,0,'Données projet'!$E$10+1,1))-AVERAGE(OFFSET($H$3,0,0,'Données projet'!$E$10+1,1))</f>
        <v>182.84082525184493</v>
      </c>
      <c r="AO48" s="62">
        <f t="shared" si="36"/>
        <v>430.83336115516937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39.616911859833969</v>
      </c>
      <c r="AV48" s="23">
        <f>EXP(-LN(2)/25)*AV47+(1-EXP(-LN(2)/25))/(LN(2)/25)*Calculateur!AQ48*Calculateur!AS48*VLOOKUP('Données projet'!$B$10,Paramètres!$A$1:$I$89,3,0)*0.475*44/12</f>
        <v>28.99540434417634</v>
      </c>
      <c r="AW48" s="23">
        <f>EXP(-LN(2)/2)*AW47+(1-EXP(-LN(2)/2))/(LN(2)/2)*AQ48*AT48*VLOOKUP('Données projet'!$B$10,Paramètres!$A$1:$I$89,3,0)*0.475*44/12</f>
        <v>0.24067807209732553</v>
      </c>
      <c r="AX48" s="23">
        <f t="shared" si="6"/>
        <v>68.852994276107637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>
        <f>BD48*VLOOKUP('Données projet'!$B$11,Paramètres!$A$1:$I$89,3,0)*VLOOKUP('Données projet'!$B$11,Paramètres!$A$1:$I$89,5,0)</f>
        <v>0</v>
      </c>
      <c r="BF48" s="14" t="e">
        <f t="shared" si="37"/>
        <v>#NUM!</v>
      </c>
      <c r="BG48" s="22" t="e">
        <f t="shared" si="7"/>
        <v>#NUM!</v>
      </c>
      <c r="BH48" s="62" t="e">
        <f t="shared" si="8"/>
        <v>#NUM!</v>
      </c>
      <c r="BI48" s="62">
        <f ca="1">AVERAGE(OFFSET($BH$3,0,0,'Données projet'!$E$11+1,1))-AVERAGE(OFFSET($H$3,0,0,'Données projet'!$E$11+1,1))</f>
        <v>74.52152468677042</v>
      </c>
      <c r="BJ48" s="62">
        <f t="shared" si="38"/>
        <v>344.26747505795851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43.255161786871717</v>
      </c>
      <c r="BQ48" s="23">
        <f>EXP(-LN(2)/25)*BQ47+(1-EXP(-LN(2)/25))/(LN(2)/25)*Calculateur!BL48*Calculateur!BN48*VLOOKUP('Données projet'!$B$11,Paramètres!$A$1:$I$89,3,0)*0.475*44/12</f>
        <v>9.3386309011324435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52.593792688004157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5.3174160000000006</v>
      </c>
      <c r="D49" s="12">
        <f t="shared" si="32"/>
        <v>2.0173495168090549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7.3605015361662796</v>
      </c>
      <c r="H49" s="70">
        <f t="shared" si="1"/>
        <v>269.4413832751091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182.84082525184493</v>
      </c>
      <c r="T49" s="62">
        <f t="shared" si="34"/>
        <v>430.83336115516937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1.1368683772161603E-13</v>
      </c>
      <c r="AJ49" s="14">
        <f>AI49*VLOOKUP('Données projet'!$B$10,Paramètres!$A$1:$I$89,3,0)*VLOOKUP('Données projet'!$B$10,Paramètres!$A$1:$I$89,5,0)</f>
        <v>6.7984728957526396E-14</v>
      </c>
      <c r="AK49" s="14">
        <f t="shared" si="35"/>
        <v>1.0682447123141398E-12</v>
      </c>
      <c r="AL49" s="22">
        <f t="shared" si="4"/>
        <v>1.978932943548152E-12</v>
      </c>
      <c r="AM49" s="62">
        <f t="shared" si="5"/>
        <v>293.3333333333353</v>
      </c>
      <c r="AN49" s="62">
        <f ca="1">AVERAGE(OFFSET($AM$3,0,0,'Données projet'!$E$10+1,1))-AVERAGE(OFFSET($H$3,0,0,'Données projet'!$E$10+1,1))</f>
        <v>182.84082525184493</v>
      </c>
      <c r="AO49" s="62">
        <f t="shared" si="36"/>
        <v>430.83336115516937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38.840048382192869</v>
      </c>
      <c r="AV49" s="23">
        <f>EXP(-LN(2)/25)*AV48+(1-EXP(-LN(2)/25))/(LN(2)/25)*Calculateur!AQ49*Calculateur!AS49*VLOOKUP('Données projet'!$B$10,Paramètres!$A$1:$I$89,3,0)*0.475*44/12</f>
        <v>28.202523487582791</v>
      </c>
      <c r="AW49" s="23">
        <f>EXP(-LN(2)/2)*AW48+(1-EXP(-LN(2)/2))/(LN(2)/2)*AQ49*AT49*VLOOKUP('Données projet'!$B$10,Paramètres!$A$1:$I$89,3,0)*0.475*44/12</f>
        <v>0.17018509686292368</v>
      </c>
      <c r="AX49" s="23">
        <f t="shared" si="6"/>
        <v>67.21275696663858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>
        <f>BD49*VLOOKUP('Données projet'!$B$11,Paramètres!$A$1:$I$89,3,0)*VLOOKUP('Données projet'!$B$11,Paramètres!$A$1:$I$89,5,0)</f>
        <v>0</v>
      </c>
      <c r="BF49" s="14" t="e">
        <f t="shared" si="37"/>
        <v>#NUM!</v>
      </c>
      <c r="BG49" s="22" t="e">
        <f t="shared" si="7"/>
        <v>#NUM!</v>
      </c>
      <c r="BH49" s="62" t="e">
        <f t="shared" si="8"/>
        <v>#NUM!</v>
      </c>
      <c r="BI49" s="62">
        <f ca="1">AVERAGE(OFFSET($BH$3,0,0,'Données projet'!$E$11+1,1))-AVERAGE(OFFSET($H$3,0,0,'Données projet'!$E$11+1,1))</f>
        <v>74.52152468677042</v>
      </c>
      <c r="BJ49" s="62">
        <f t="shared" si="38"/>
        <v>344.26747505795851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42.406954447274742</v>
      </c>
      <c r="BQ49" s="23">
        <f>EXP(-LN(2)/25)*BQ48+(1-EXP(-LN(2)/25))/(LN(2)/25)*Calculateur!BL49*Calculateur!BN49*VLOOKUP('Données projet'!$B$11,Paramètres!$A$1:$I$89,3,0)*0.475*44/12</f>
        <v>9.0832655480437214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51.490219995318462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5.4330120000000006</v>
      </c>
      <c r="D50" s="12">
        <f t="shared" si="32"/>
        <v>2.0560515338297569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7.515340949737932</v>
      </c>
      <c r="H50" s="70">
        <f t="shared" si="1"/>
        <v>269.71011898808683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182.84082525184493</v>
      </c>
      <c r="T50" s="62">
        <f t="shared" si="34"/>
        <v>430.83336115516937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1.1368683772161603E-13</v>
      </c>
      <c r="AJ50" s="14">
        <f>AI50*VLOOKUP('Données projet'!$B$10,Paramètres!$A$1:$I$89,3,0)*VLOOKUP('Données projet'!$B$10,Paramètres!$A$1:$I$89,5,0)</f>
        <v>6.7984728957526396E-14</v>
      </c>
      <c r="AK50" s="14">
        <f t="shared" si="35"/>
        <v>1.0682447123141398E-12</v>
      </c>
      <c r="AL50" s="22">
        <f t="shared" si="4"/>
        <v>1.978932943548152E-12</v>
      </c>
      <c r="AM50" s="62">
        <f t="shared" si="5"/>
        <v>293.3333333333353</v>
      </c>
      <c r="AN50" s="62">
        <f ca="1">AVERAGE(OFFSET($AM$3,0,0,'Données projet'!$E$10+1,1))-AVERAGE(OFFSET($H$3,0,0,'Données projet'!$E$10+1,1))</f>
        <v>182.84082525184493</v>
      </c>
      <c r="AO50" s="62">
        <f t="shared" si="36"/>
        <v>430.83336115516937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38.078418723508378</v>
      </c>
      <c r="AV50" s="23">
        <f>EXP(-LN(2)/25)*AV49+(1-EXP(-LN(2)/25))/(LN(2)/25)*Calculateur!AQ50*Calculateur!AS50*VLOOKUP('Données projet'!$B$10,Paramètres!$A$1:$I$89,3,0)*0.475*44/12</f>
        <v>27.431323999708589</v>
      </c>
      <c r="AW50" s="23">
        <f>EXP(-LN(2)/2)*AW49+(1-EXP(-LN(2)/2))/(LN(2)/2)*AQ50*AT50*VLOOKUP('Données projet'!$B$10,Paramètres!$A$1:$I$89,3,0)*0.475*44/12</f>
        <v>0.12033903604866278</v>
      </c>
      <c r="AX50" s="23">
        <f t="shared" si="6"/>
        <v>65.630081759265622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>
        <f>BD50*VLOOKUP('Données projet'!$B$11,Paramètres!$A$1:$I$89,3,0)*VLOOKUP('Données projet'!$B$11,Paramètres!$A$1:$I$89,5,0)</f>
        <v>0</v>
      </c>
      <c r="BF50" s="14" t="e">
        <f t="shared" si="37"/>
        <v>#NUM!</v>
      </c>
      <c r="BG50" s="22" t="e">
        <f t="shared" si="7"/>
        <v>#NUM!</v>
      </c>
      <c r="BH50" s="62" t="e">
        <f t="shared" si="8"/>
        <v>#NUM!</v>
      </c>
      <c r="BI50" s="62">
        <f ca="1">AVERAGE(OFFSET($BH$3,0,0,'Données projet'!$E$11+1,1))-AVERAGE(OFFSET($H$3,0,0,'Données projet'!$E$11+1,1))</f>
        <v>74.52152468677042</v>
      </c>
      <c r="BJ50" s="62">
        <f t="shared" si="38"/>
        <v>344.26747505795851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41.575379936251871</v>
      </c>
      <c r="BQ50" s="23">
        <f>EXP(-LN(2)/25)*BQ49+(1-EXP(-LN(2)/25))/(LN(2)/25)*Calculateur!BL50*Calculateur!BN50*VLOOKUP('Données projet'!$B$11,Paramètres!$A$1:$I$89,3,0)*0.475*44/12</f>
        <v>8.8348831739642915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50.410263110216164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5.5486080000000007</v>
      </c>
      <c r="D51" s="12">
        <f t="shared" si="32"/>
        <v>2.0946578125566697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7.6700842890919576</v>
      </c>
      <c r="H51" s="70">
        <f t="shared" si="1"/>
        <v>269.97868795686958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182.84082525184493</v>
      </c>
      <c r="T51" s="62">
        <f t="shared" si="34"/>
        <v>430.83336115516937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1.1368683772161603E-13</v>
      </c>
      <c r="AJ51" s="14">
        <f>AI51*VLOOKUP('Données projet'!$B$10,Paramètres!$A$1:$I$89,3,0)*VLOOKUP('Données projet'!$B$10,Paramètres!$A$1:$I$89,5,0)</f>
        <v>6.7984728957526396E-14</v>
      </c>
      <c r="AK51" s="14">
        <f t="shared" si="35"/>
        <v>1.0682447123141398E-12</v>
      </c>
      <c r="AL51" s="22">
        <f t="shared" si="4"/>
        <v>1.978932943548152E-12</v>
      </c>
      <c r="AM51" s="62">
        <f t="shared" si="5"/>
        <v>293.3333333333353</v>
      </c>
      <c r="AN51" s="62">
        <f ca="1">AVERAGE(OFFSET($AM$3,0,0,'Données projet'!$E$10+1,1))-AVERAGE(OFFSET($H$3,0,0,'Données projet'!$E$10+1,1))</f>
        <v>182.84082525184493</v>
      </c>
      <c r="AO51" s="62">
        <f t="shared" si="36"/>
        <v>430.83336115516937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37.331724157882469</v>
      </c>
      <c r="AV51" s="23">
        <f>EXP(-LN(2)/25)*AV50+(1-EXP(-LN(2)/25))/(LN(2)/25)*Calculateur!AQ51*Calculateur!AS51*VLOOKUP('Données projet'!$B$10,Paramètres!$A$1:$I$89,3,0)*0.475*44/12</f>
        <v>26.681213002385924</v>
      </c>
      <c r="AW51" s="23">
        <f>EXP(-LN(2)/2)*AW50+(1-EXP(-LN(2)/2))/(LN(2)/2)*AQ51*AT51*VLOOKUP('Données projet'!$B$10,Paramètres!$A$1:$I$89,3,0)*0.475*44/12</f>
        <v>8.5092548431461856E-2</v>
      </c>
      <c r="AX51" s="23">
        <f t="shared" si="6"/>
        <v>64.098029708699855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>
        <f>BD51*VLOOKUP('Données projet'!$B$11,Paramètres!$A$1:$I$89,3,0)*VLOOKUP('Données projet'!$B$11,Paramètres!$A$1:$I$89,5,0)</f>
        <v>0</v>
      </c>
      <c r="BF51" s="14" t="e">
        <f t="shared" si="37"/>
        <v>#NUM!</v>
      </c>
      <c r="BG51" s="22" t="e">
        <f t="shared" si="7"/>
        <v>#NUM!</v>
      </c>
      <c r="BH51" s="62" t="e">
        <f t="shared" si="8"/>
        <v>#NUM!</v>
      </c>
      <c r="BI51" s="62">
        <f ca="1">AVERAGE(OFFSET($BH$3,0,0,'Données projet'!$E$11+1,1))-AVERAGE(OFFSET($H$3,0,0,'Données projet'!$E$11+1,1))</f>
        <v>74.52152468677042</v>
      </c>
      <c r="BJ51" s="62">
        <f t="shared" si="38"/>
        <v>344.26747505795851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40.760112094179789</v>
      </c>
      <c r="BQ51" s="23">
        <f>EXP(-LN(2)/25)*BQ50+(1-EXP(-LN(2)/25))/(LN(2)/25)*Calculateur!BL51*Calculateur!BN51*VLOOKUP('Données projet'!$B$11,Paramètres!$A$1:$I$89,3,0)*0.475*44/12</f>
        <v>8.5932928289659234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49.35340492314571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5.6642040000000007</v>
      </c>
      <c r="D52" s="12">
        <f t="shared" si="32"/>
        <v>2.1331705773301062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7.824733786373371</v>
      </c>
      <c r="H52" s="70">
        <f t="shared" si="1"/>
        <v>270.24709405551664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182.84082525184493</v>
      </c>
      <c r="T52" s="62">
        <f t="shared" si="34"/>
        <v>430.83336115516937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1.1368683772161603E-13</v>
      </c>
      <c r="AJ52" s="14">
        <f>AI52*VLOOKUP('Données projet'!$B$10,Paramètres!$A$1:$I$89,3,0)*VLOOKUP('Données projet'!$B$10,Paramètres!$A$1:$I$89,5,0)</f>
        <v>6.7984728957526396E-14</v>
      </c>
      <c r="AK52" s="14">
        <f t="shared" si="35"/>
        <v>1.0682447123141398E-12</v>
      </c>
      <c r="AL52" s="22">
        <f t="shared" si="4"/>
        <v>1.978932943548152E-12</v>
      </c>
      <c r="AM52" s="62">
        <f t="shared" si="5"/>
        <v>293.3333333333353</v>
      </c>
      <c r="AN52" s="62">
        <f ca="1">AVERAGE(OFFSET($AM$3,0,0,'Données projet'!$E$10+1,1))-AVERAGE(OFFSET($H$3,0,0,'Données projet'!$E$10+1,1))</f>
        <v>182.84082525184493</v>
      </c>
      <c r="AO52" s="62">
        <f t="shared" si="36"/>
        <v>430.83336115516937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36.599671817249771</v>
      </c>
      <c r="AV52" s="23">
        <f>EXP(-LN(2)/25)*AV51+(1-EXP(-LN(2)/25))/(LN(2)/25)*Calculateur!AQ52*Calculateur!AS52*VLOOKUP('Données projet'!$B$10,Paramètres!$A$1:$I$89,3,0)*0.475*44/12</f>
        <v>25.95161382973167</v>
      </c>
      <c r="AW52" s="23">
        <f>EXP(-LN(2)/2)*AW51+(1-EXP(-LN(2)/2))/(LN(2)/2)*AQ52*AT52*VLOOKUP('Données projet'!$B$10,Paramètres!$A$1:$I$89,3,0)*0.475*44/12</f>
        <v>6.0169518024331403E-2</v>
      </c>
      <c r="AX52" s="23">
        <f t="shared" si="6"/>
        <v>62.611455165005772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>
        <f>BD52*VLOOKUP('Données projet'!$B$11,Paramètres!$A$1:$I$89,3,0)*VLOOKUP('Données projet'!$B$11,Paramètres!$A$1:$I$89,5,0)</f>
        <v>0</v>
      </c>
      <c r="BF52" s="14" t="e">
        <f t="shared" si="37"/>
        <v>#NUM!</v>
      </c>
      <c r="BG52" s="22" t="e">
        <f t="shared" si="7"/>
        <v>#NUM!</v>
      </c>
      <c r="BH52" s="62" t="e">
        <f t="shared" si="8"/>
        <v>#NUM!</v>
      </c>
      <c r="BI52" s="62">
        <f ca="1">AVERAGE(OFFSET($BH$3,0,0,'Données projet'!$E$11+1,1))-AVERAGE(OFFSET($H$3,0,0,'Données projet'!$E$11+1,1))</f>
        <v>74.52152468677042</v>
      </c>
      <c r="BJ52" s="62">
        <f t="shared" si="38"/>
        <v>344.26747505795851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39.960831157226458</v>
      </c>
      <c r="BQ52" s="23">
        <f>EXP(-LN(2)/25)*BQ51+(1-EXP(-LN(2)/25))/(LN(2)/25)*Calculateur!BL52*Calculateur!BN52*VLOOKUP('Données projet'!$B$11,Paramètres!$A$1:$I$89,3,0)*0.475*44/12</f>
        <v>8.3583087846562201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48.319139941882682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5.7798000000000007</v>
      </c>
      <c r="D53" s="12">
        <f t="shared" si="32"/>
        <v>2.1715919565110648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7.9792915774111037</v>
      </c>
      <c r="H53" s="70">
        <f t="shared" si="1"/>
        <v>270.51534099092345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182.84082525184493</v>
      </c>
      <c r="T53" s="62">
        <f t="shared" si="34"/>
        <v>430.83336115516937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1.1368683772161603E-13</v>
      </c>
      <c r="AJ53" s="14">
        <f>AI53*VLOOKUP('Données projet'!$B$10,Paramètres!$A$1:$I$89,3,0)*VLOOKUP('Données projet'!$B$10,Paramètres!$A$1:$I$89,5,0)</f>
        <v>6.7984728957526396E-14</v>
      </c>
      <c r="AK53" s="14">
        <f t="shared" si="35"/>
        <v>1.0682447123141398E-12</v>
      </c>
      <c r="AL53" s="22">
        <f t="shared" si="4"/>
        <v>1.978932943548152E-12</v>
      </c>
      <c r="AM53" s="62">
        <f t="shared" si="5"/>
        <v>293.3333333333353</v>
      </c>
      <c r="AN53" s="62">
        <f ca="1">AVERAGE(OFFSET($AM$3,0,0,'Données projet'!$E$10+1,1))-AVERAGE(OFFSET($H$3,0,0,'Données projet'!$E$10+1,1))</f>
        <v>182.84082525184493</v>
      </c>
      <c r="AO53" s="62">
        <f t="shared" si="36"/>
        <v>430.83336115516937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35.881974576509037</v>
      </c>
      <c r="AV53" s="23">
        <f>EXP(-LN(2)/25)*AV52+(1-EXP(-LN(2)/25))/(LN(2)/25)*Calculateur!AQ53*Calculateur!AS53*VLOOKUP('Données projet'!$B$10,Paramètres!$A$1:$I$89,3,0)*0.475*44/12</f>
        <v>25.2419655848216</v>
      </c>
      <c r="AW53" s="23">
        <f>EXP(-LN(2)/2)*AW52+(1-EXP(-LN(2)/2))/(LN(2)/2)*AQ53*AT53*VLOOKUP('Données projet'!$B$10,Paramètres!$A$1:$I$89,3,0)*0.475*44/12</f>
        <v>4.2546274215730935E-2</v>
      </c>
      <c r="AX53" s="23">
        <f t="shared" si="6"/>
        <v>61.166486435546368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>
        <f>BD53*VLOOKUP('Données projet'!$B$11,Paramètres!$A$1:$I$89,3,0)*VLOOKUP('Données projet'!$B$11,Paramètres!$A$1:$I$89,5,0)</f>
        <v>0</v>
      </c>
      <c r="BF53" s="14" t="e">
        <f t="shared" si="37"/>
        <v>#NUM!</v>
      </c>
      <c r="BG53" s="22" t="e">
        <f t="shared" si="7"/>
        <v>#NUM!</v>
      </c>
      <c r="BH53" s="62" t="e">
        <f t="shared" si="8"/>
        <v>#NUM!</v>
      </c>
      <c r="BI53" s="62">
        <f ca="1">AVERAGE(OFFSET($BH$3,0,0,'Données projet'!$E$11+1,1))-AVERAGE(OFFSET($H$3,0,0,'Données projet'!$E$11+1,1))</f>
        <v>74.52152468677042</v>
      </c>
      <c r="BJ53" s="62">
        <f t="shared" si="38"/>
        <v>344.26747505795851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39.177223631933551</v>
      </c>
      <c r="BQ53" s="23">
        <f>EXP(-LN(2)/25)*BQ52+(1-EXP(-LN(2)/25))/(LN(2)/25)*Calculateur!BL53*Calculateur!BN53*VLOOKUP('Données projet'!$B$11,Paramètres!$A$1:$I$89,3,0)*0.475*44/12</f>
        <v>8.1297503913954401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47.306974023328991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5.8953960000000007</v>
      </c>
      <c r="D54" s="12">
        <f t="shared" si="32"/>
        <v>2.2099239884580646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8.1337597077158144</v>
      </c>
      <c r="H54" s="70">
        <f t="shared" si="1"/>
        <v>270.78343231323117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182.84082525184493</v>
      </c>
      <c r="T54" s="62">
        <f t="shared" si="34"/>
        <v>430.83336115516937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1.1368683772161603E-13</v>
      </c>
      <c r="AJ54" s="14">
        <f>AI54*VLOOKUP('Données projet'!$B$10,Paramètres!$A$1:$I$89,3,0)*VLOOKUP('Données projet'!$B$10,Paramètres!$A$1:$I$89,5,0)</f>
        <v>6.7984728957526396E-14</v>
      </c>
      <c r="AK54" s="14">
        <f t="shared" si="35"/>
        <v>1.0682447123141398E-12</v>
      </c>
      <c r="AL54" s="22">
        <f t="shared" si="4"/>
        <v>1.978932943548152E-12</v>
      </c>
      <c r="AM54" s="62">
        <f t="shared" si="5"/>
        <v>293.3333333333353</v>
      </c>
      <c r="AN54" s="62">
        <f ca="1">AVERAGE(OFFSET($AM$3,0,0,'Données projet'!$E$10+1,1))-AVERAGE(OFFSET($H$3,0,0,'Données projet'!$E$10+1,1))</f>
        <v>182.84082525184493</v>
      </c>
      <c r="AO54" s="62">
        <f t="shared" si="36"/>
        <v>430.83336115516937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35.178350940907137</v>
      </c>
      <c r="AV54" s="23">
        <f>EXP(-LN(2)/25)*AV53+(1-EXP(-LN(2)/25))/(LN(2)/25)*Calculateur!AQ54*Calculateur!AS54*VLOOKUP('Données projet'!$B$10,Paramètres!$A$1:$I$89,3,0)*0.475*44/12</f>
        <v>24.551722708487375</v>
      </c>
      <c r="AW54" s="23">
        <f>EXP(-LN(2)/2)*AW53+(1-EXP(-LN(2)/2))/(LN(2)/2)*AQ54*AT54*VLOOKUP('Données projet'!$B$10,Paramètres!$A$1:$I$89,3,0)*0.475*44/12</f>
        <v>3.0084759012165705E-2</v>
      </c>
      <c r="AX54" s="23">
        <f t="shared" si="6"/>
        <v>59.760158408406681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>
        <f>BD54*VLOOKUP('Données projet'!$B$11,Paramètres!$A$1:$I$89,3,0)*VLOOKUP('Données projet'!$B$11,Paramètres!$A$1:$I$89,5,0)</f>
        <v>0</v>
      </c>
      <c r="BF54" s="14" t="e">
        <f t="shared" si="37"/>
        <v>#NUM!</v>
      </c>
      <c r="BG54" s="22" t="e">
        <f t="shared" si="7"/>
        <v>#NUM!</v>
      </c>
      <c r="BH54" s="62" t="e">
        <f t="shared" si="8"/>
        <v>#NUM!</v>
      </c>
      <c r="BI54" s="62">
        <f ca="1">AVERAGE(OFFSET($BH$3,0,0,'Données projet'!$E$11+1,1))-AVERAGE(OFFSET($H$3,0,0,'Données projet'!$E$11+1,1))</f>
        <v>74.52152468677042</v>
      </c>
      <c r="BJ54" s="62">
        <f t="shared" si="38"/>
        <v>344.26747505795851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38.408982172258241</v>
      </c>
      <c r="BQ54" s="23">
        <f>EXP(-LN(2)/25)*BQ53+(1-EXP(-LN(2)/25))/(LN(2)/25)*Calculateur!BL54*Calculateur!BN54*VLOOKUP('Données projet'!$B$11,Paramètres!$A$1:$I$89,3,0)*0.475*44/12</f>
        <v>7.9074419394177395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46.316424111675978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6.0109920000000008</v>
      </c>
      <c r="D55" s="12">
        <f t="shared" si="32"/>
        <v>2.2481686270219639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8.2881401379939721</v>
      </c>
      <c r="H55" s="70">
        <f t="shared" si="1"/>
        <v>271.05137142539661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182.84082525184493</v>
      </c>
      <c r="T55" s="62">
        <f t="shared" si="34"/>
        <v>430.83336115516937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1.1368683772161603E-13</v>
      </c>
      <c r="AJ55" s="14">
        <f>AI55*VLOOKUP('Données projet'!$B$10,Paramètres!$A$1:$I$89,3,0)*VLOOKUP('Données projet'!$B$10,Paramètres!$A$1:$I$89,5,0)</f>
        <v>6.7984728957526396E-14</v>
      </c>
      <c r="AK55" s="14">
        <f t="shared" si="35"/>
        <v>1.0682447123141398E-12</v>
      </c>
      <c r="AL55" s="22">
        <f t="shared" si="4"/>
        <v>1.978932943548152E-12</v>
      </c>
      <c r="AM55" s="62">
        <f t="shared" si="5"/>
        <v>293.3333333333353</v>
      </c>
      <c r="AN55" s="62">
        <f ca="1">AVERAGE(OFFSET($AM$3,0,0,'Données projet'!$E$10+1,1))-AVERAGE(OFFSET($H$3,0,0,'Données projet'!$E$10+1,1))</f>
        <v>182.84082525184493</v>
      </c>
      <c r="AO55" s="62">
        <f t="shared" si="36"/>
        <v>430.83336115516937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34.488524935631354</v>
      </c>
      <c r="AV55" s="23">
        <f>EXP(-LN(2)/25)*AV54+(1-EXP(-LN(2)/25))/(LN(2)/25)*Calculateur!AQ55*Calculateur!AS55*VLOOKUP('Données projet'!$B$10,Paramètres!$A$1:$I$89,3,0)*0.475*44/12</f>
        <v>23.880354559904806</v>
      </c>
      <c r="AW55" s="23">
        <f>EXP(-LN(2)/2)*AW54+(1-EXP(-LN(2)/2))/(LN(2)/2)*AQ55*AT55*VLOOKUP('Données projet'!$B$10,Paramètres!$A$1:$I$89,3,0)*0.475*44/12</f>
        <v>2.1273137107865471E-2</v>
      </c>
      <c r="AX55" s="23">
        <f t="shared" si="6"/>
        <v>58.390152632644032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>
        <f>BD55*VLOOKUP('Données projet'!$B$11,Paramètres!$A$1:$I$89,3,0)*VLOOKUP('Données projet'!$B$11,Paramètres!$A$1:$I$89,5,0)</f>
        <v>0</v>
      </c>
      <c r="BF55" s="14" t="e">
        <f t="shared" si="37"/>
        <v>#NUM!</v>
      </c>
      <c r="BG55" s="22" t="e">
        <f t="shared" si="7"/>
        <v>#NUM!</v>
      </c>
      <c r="BH55" s="62" t="e">
        <f t="shared" si="8"/>
        <v>#NUM!</v>
      </c>
      <c r="BI55" s="62">
        <f ca="1">AVERAGE(OFFSET($BH$3,0,0,'Données projet'!$E$11+1,1))-AVERAGE(OFFSET($H$3,0,0,'Données projet'!$E$11+1,1))</f>
        <v>74.52152468677042</v>
      </c>
      <c r="BJ55" s="62">
        <f t="shared" si="38"/>
        <v>344.26747505795851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37.655805459026141</v>
      </c>
      <c r="BQ55" s="23">
        <f>EXP(-LN(2)/25)*BQ54+(1-EXP(-LN(2)/25))/(LN(2)/25)*Calculateur!BL55*Calculateur!BN55*VLOOKUP('Données projet'!$B$11,Paramètres!$A$1:$I$89,3,0)*0.475*44/12</f>
        <v>7.6912125237500621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45.347017982776201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6.1265880000000008</v>
      </c>
      <c r="D56" s="12">
        <f t="shared" si="32"/>
        <v>2.2863277466061489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8.4424347492258196</v>
      </c>
      <c r="H56" s="70">
        <f t="shared" si="1"/>
        <v>271.31916159200574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182.84082525184493</v>
      </c>
      <c r="T56" s="62">
        <f t="shared" si="34"/>
        <v>430.83336115516937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1.1368683772161603E-13</v>
      </c>
      <c r="AJ56" s="14">
        <f>AI56*VLOOKUP('Données projet'!$B$10,Paramètres!$A$1:$I$89,3,0)*VLOOKUP('Données projet'!$B$10,Paramètres!$A$1:$I$89,5,0)</f>
        <v>6.7984728957526396E-14</v>
      </c>
      <c r="AK56" s="14">
        <f t="shared" si="35"/>
        <v>1.0682447123141398E-12</v>
      </c>
      <c r="AL56" s="22">
        <f t="shared" si="4"/>
        <v>1.978932943548152E-12</v>
      </c>
      <c r="AM56" s="62">
        <f t="shared" si="5"/>
        <v>293.3333333333353</v>
      </c>
      <c r="AN56" s="62">
        <f ca="1">AVERAGE(OFFSET($AM$3,0,0,'Données projet'!$E$10+1,1))-AVERAGE(OFFSET($H$3,0,0,'Données projet'!$E$10+1,1))</f>
        <v>182.84082525184493</v>
      </c>
      <c r="AO56" s="62">
        <f t="shared" si="36"/>
        <v>430.83336115516937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33.812225997566706</v>
      </c>
      <c r="AV56" s="23">
        <f>EXP(-LN(2)/25)*AV55+(1-EXP(-LN(2)/25))/(LN(2)/25)*Calculateur!AQ56*Calculateur!AS56*VLOOKUP('Données projet'!$B$10,Paramètres!$A$1:$I$89,3,0)*0.475*44/12</f>
        <v>23.227345008650943</v>
      </c>
      <c r="AW56" s="23">
        <f>EXP(-LN(2)/2)*AW55+(1-EXP(-LN(2)/2))/(LN(2)/2)*AQ56*AT56*VLOOKUP('Données projet'!$B$10,Paramètres!$A$1:$I$89,3,0)*0.475*44/12</f>
        <v>1.5042379506082854E-2</v>
      </c>
      <c r="AX56" s="23">
        <f t="shared" si="6"/>
        <v>57.054613385723734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>
        <f>BD56*VLOOKUP('Données projet'!$B$11,Paramètres!$A$1:$I$89,3,0)*VLOOKUP('Données projet'!$B$11,Paramètres!$A$1:$I$89,5,0)</f>
        <v>0</v>
      </c>
      <c r="BF56" s="14" t="e">
        <f t="shared" si="37"/>
        <v>#NUM!</v>
      </c>
      <c r="BG56" s="22" t="e">
        <f t="shared" si="7"/>
        <v>#NUM!</v>
      </c>
      <c r="BH56" s="62" t="e">
        <f t="shared" si="8"/>
        <v>#NUM!</v>
      </c>
      <c r="BI56" s="62">
        <f ca="1">AVERAGE(OFFSET($BH$3,0,0,'Données projet'!$E$11+1,1))-AVERAGE(OFFSET($H$3,0,0,'Données projet'!$E$11+1,1))</f>
        <v>74.52152468677042</v>
      </c>
      <c r="BJ56" s="62">
        <f t="shared" si="38"/>
        <v>344.26747505795851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36.91739808174809</v>
      </c>
      <c r="BQ56" s="23">
        <f>EXP(-LN(2)/25)*BQ55+(1-EXP(-LN(2)/25))/(LN(2)/25)*Calculateur!BL56*Calculateur!BN56*VLOOKUP('Données projet'!$B$11,Paramètres!$A$1:$I$89,3,0)*0.475*44/12</f>
        <v>7.4808959128248285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44.398293994572917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6.2421840000000008</v>
      </c>
      <c r="D57" s="12">
        <f t="shared" si="32"/>
        <v>2.32440314683403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8.5966453473492379</v>
      </c>
      <c r="H57" s="70">
        <f t="shared" si="1"/>
        <v>271.58680594740264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182.84082525184493</v>
      </c>
      <c r="T57" s="62">
        <f t="shared" si="34"/>
        <v>430.83336115516937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1.1368683772161603E-13</v>
      </c>
      <c r="AJ57" s="14">
        <f>AI57*VLOOKUP('Données projet'!$B$10,Paramètres!$A$1:$I$89,3,0)*VLOOKUP('Données projet'!$B$10,Paramètres!$A$1:$I$89,5,0)</f>
        <v>6.7984728957526396E-14</v>
      </c>
      <c r="AK57" s="14">
        <f t="shared" si="35"/>
        <v>1.0682447123141398E-12</v>
      </c>
      <c r="AL57" s="22">
        <f t="shared" si="4"/>
        <v>1.978932943548152E-12</v>
      </c>
      <c r="AM57" s="62">
        <f t="shared" si="5"/>
        <v>293.3333333333353</v>
      </c>
      <c r="AN57" s="62">
        <f ca="1">AVERAGE(OFFSET($AM$3,0,0,'Données projet'!$E$10+1,1))-AVERAGE(OFFSET($H$3,0,0,'Données projet'!$E$10+1,1))</f>
        <v>182.84082525184493</v>
      </c>
      <c r="AO57" s="62">
        <f t="shared" si="36"/>
        <v>430.83336115516937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33.149188869175887</v>
      </c>
      <c r="AV57" s="23">
        <f>EXP(-LN(2)/25)*AV56+(1-EXP(-LN(2)/25))/(LN(2)/25)*Calculateur!AQ57*Calculateur!AS57*VLOOKUP('Données projet'!$B$10,Paramètres!$A$1:$I$89,3,0)*0.475*44/12</f>
        <v>22.592192037916394</v>
      </c>
      <c r="AW57" s="23">
        <f>EXP(-LN(2)/2)*AW56+(1-EXP(-LN(2)/2))/(LN(2)/2)*AQ57*AT57*VLOOKUP('Données projet'!$B$10,Paramètres!$A$1:$I$89,3,0)*0.475*44/12</f>
        <v>1.0636568553932737E-2</v>
      </c>
      <c r="AX57" s="23">
        <f t="shared" si="6"/>
        <v>55.752017475646213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>
        <f>BD57*VLOOKUP('Données projet'!$B$11,Paramètres!$A$1:$I$89,3,0)*VLOOKUP('Données projet'!$B$11,Paramètres!$A$1:$I$89,5,0)</f>
        <v>0</v>
      </c>
      <c r="BF57" s="14" t="e">
        <f t="shared" si="37"/>
        <v>#NUM!</v>
      </c>
      <c r="BG57" s="22" t="e">
        <f t="shared" si="7"/>
        <v>#NUM!</v>
      </c>
      <c r="BH57" s="62" t="e">
        <f t="shared" si="8"/>
        <v>#NUM!</v>
      </c>
      <c r="BI57" s="62">
        <f ca="1">AVERAGE(OFFSET($BH$3,0,0,'Données projet'!$E$11+1,1))-AVERAGE(OFFSET($H$3,0,0,'Données projet'!$E$11+1,1))</f>
        <v>74.52152468677042</v>
      </c>
      <c r="BJ57" s="62">
        <f t="shared" si="38"/>
        <v>344.26747505795851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36.19347042275443</v>
      </c>
      <c r="BQ57" s="23">
        <f>EXP(-LN(2)/25)*BQ56+(1-EXP(-LN(2)/25))/(LN(2)/25)*Calculateur!BL57*Calculateur!BN57*VLOOKUP('Données projet'!$B$11,Paramètres!$A$1:$I$89,3,0)*0.475*44/12</f>
        <v>7.2763304206854151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43.469800843439842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6.3577800000000009</v>
      </c>
      <c r="D58" s="12">
        <f t="shared" si="32"/>
        <v>2.3623965568610092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8.7507736675868379</v>
      </c>
      <c r="H58" s="70">
        <f t="shared" si="1"/>
        <v>271.85430750319961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182.84082525184493</v>
      </c>
      <c r="T58" s="62">
        <f t="shared" si="34"/>
        <v>430.83336115516937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1.1368683772161603E-13</v>
      </c>
      <c r="AJ58" s="14">
        <f>AI58*VLOOKUP('Données projet'!$B$10,Paramètres!$A$1:$I$89,3,0)*VLOOKUP('Données projet'!$B$10,Paramètres!$A$1:$I$89,5,0)</f>
        <v>6.7984728957526396E-14</v>
      </c>
      <c r="AK58" s="14">
        <f t="shared" si="35"/>
        <v>1.0682447123141398E-12</v>
      </c>
      <c r="AL58" s="22">
        <f t="shared" si="4"/>
        <v>1.978932943548152E-12</v>
      </c>
      <c r="AM58" s="62">
        <f t="shared" si="5"/>
        <v>293.3333333333353</v>
      </c>
      <c r="AN58" s="62">
        <f ca="1">AVERAGE(OFFSET($AM$3,0,0,'Données projet'!$E$10+1,1))-AVERAGE(OFFSET($H$3,0,0,'Données projet'!$E$10+1,1))</f>
        <v>182.84082525184493</v>
      </c>
      <c r="AO58" s="62">
        <f t="shared" si="36"/>
        <v>430.83336115516937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32.499153494460096</v>
      </c>
      <c r="AV58" s="23">
        <f>EXP(-LN(2)/25)*AV57+(1-EXP(-LN(2)/25))/(LN(2)/25)*Calculateur!AQ58*Calculateur!AS58*VLOOKUP('Données projet'!$B$10,Paramètres!$A$1:$I$89,3,0)*0.475*44/12</f>
        <v>21.974407358567827</v>
      </c>
      <c r="AW58" s="23">
        <f>EXP(-LN(2)/2)*AW57+(1-EXP(-LN(2)/2))/(LN(2)/2)*AQ58*AT58*VLOOKUP('Données projet'!$B$10,Paramètres!$A$1:$I$89,3,0)*0.475*44/12</f>
        <v>7.5211897530414289E-3</v>
      </c>
      <c r="AX58" s="23">
        <f t="shared" si="6"/>
        <v>54.481082042780962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>
        <f>BD58*VLOOKUP('Données projet'!$B$11,Paramètres!$A$1:$I$89,3,0)*VLOOKUP('Données projet'!$B$11,Paramètres!$A$1:$I$89,5,0)</f>
        <v>0</v>
      </c>
      <c r="BF58" s="14" t="e">
        <f t="shared" si="37"/>
        <v>#NUM!</v>
      </c>
      <c r="BG58" s="22" t="e">
        <f t="shared" si="7"/>
        <v>#NUM!</v>
      </c>
      <c r="BH58" s="62" t="e">
        <f t="shared" si="8"/>
        <v>#NUM!</v>
      </c>
      <c r="BI58" s="62">
        <f ca="1">AVERAGE(OFFSET($BH$3,0,0,'Données projet'!$E$11+1,1))-AVERAGE(OFFSET($H$3,0,0,'Données projet'!$E$11+1,1))</f>
        <v>74.52152468677042</v>
      </c>
      <c r="BJ58" s="62">
        <f t="shared" si="38"/>
        <v>344.26747505795851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35.483738543601369</v>
      </c>
      <c r="BQ58" s="23">
        <f>EXP(-LN(2)/25)*BQ57+(1-EXP(-LN(2)/25))/(LN(2)/25)*Calculateur!BL58*Calculateur!BN58*VLOOKUP('Données projet'!$B$11,Paramètres!$A$1:$I$89,3,0)*0.475*44/12</f>
        <v>7.0773587826861863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42.561097326287552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6.4733760000000009</v>
      </c>
      <c r="D59" s="12">
        <f t="shared" si="32"/>
        <v>2.4003096393639818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8.904821378449471</v>
      </c>
      <c r="H59" s="70">
        <f t="shared" si="1"/>
        <v>272.12166915522562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182.84082525184493</v>
      </c>
      <c r="T59" s="62">
        <f t="shared" si="34"/>
        <v>430.83336115516937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1.1368683772161603E-13</v>
      </c>
      <c r="AJ59" s="14">
        <f>AI59*VLOOKUP('Données projet'!$B$10,Paramètres!$A$1:$I$89,3,0)*VLOOKUP('Données projet'!$B$10,Paramètres!$A$1:$I$89,5,0)</f>
        <v>6.7984728957526396E-14</v>
      </c>
      <c r="AK59" s="14">
        <f t="shared" si="35"/>
        <v>1.0682447123141398E-12</v>
      </c>
      <c r="AL59" s="22">
        <f t="shared" si="4"/>
        <v>1.978932943548152E-12</v>
      </c>
      <c r="AM59" s="62">
        <f t="shared" si="5"/>
        <v>293.3333333333353</v>
      </c>
      <c r="AN59" s="62">
        <f ca="1">AVERAGE(OFFSET($AM$3,0,0,'Données projet'!$E$10+1,1))-AVERAGE(OFFSET($H$3,0,0,'Données projet'!$E$10+1,1))</f>
        <v>182.84082525184493</v>
      </c>
      <c r="AO59" s="62">
        <f t="shared" si="36"/>
        <v>430.83336115516937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31.861864916960052</v>
      </c>
      <c r="AV59" s="23">
        <f>EXP(-LN(2)/25)*AV58+(1-EXP(-LN(2)/25))/(LN(2)/25)*Calculateur!AQ59*Calculateur!AS59*VLOOKUP('Données projet'!$B$10,Paramètres!$A$1:$I$89,3,0)*0.475*44/12</f>
        <v>21.373516033763931</v>
      </c>
      <c r="AW59" s="23">
        <f>EXP(-LN(2)/2)*AW58+(1-EXP(-LN(2)/2))/(LN(2)/2)*AQ59*AT59*VLOOKUP('Données projet'!$B$10,Paramètres!$A$1:$I$89,3,0)*0.475*44/12</f>
        <v>5.3182842769663695E-3</v>
      </c>
      <c r="AX59" s="23">
        <f t="shared" si="6"/>
        <v>53.240699235000946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>
        <f>BD59*VLOOKUP('Données projet'!$B$11,Paramètres!$A$1:$I$89,3,0)*VLOOKUP('Données projet'!$B$11,Paramètres!$A$1:$I$89,5,0)</f>
        <v>0</v>
      </c>
      <c r="BF59" s="14" t="e">
        <f t="shared" si="37"/>
        <v>#NUM!</v>
      </c>
      <c r="BG59" s="22" t="e">
        <f t="shared" si="7"/>
        <v>#NUM!</v>
      </c>
      <c r="BH59" s="62" t="e">
        <f t="shared" si="8"/>
        <v>#NUM!</v>
      </c>
      <c r="BI59" s="62">
        <f ca="1">AVERAGE(OFFSET($BH$3,0,0,'Données projet'!$E$11+1,1))-AVERAGE(OFFSET($H$3,0,0,'Données projet'!$E$11+1,1))</f>
        <v>74.52152468677042</v>
      </c>
      <c r="BJ59" s="62">
        <f t="shared" si="38"/>
        <v>344.26747505795851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34.787924073704794</v>
      </c>
      <c r="BQ59" s="23">
        <f>EXP(-LN(2)/25)*BQ58+(1-EXP(-LN(2)/25))/(LN(2)/25)*Calculateur!BL59*Calculateur!BN59*VLOOKUP('Données projet'!$B$11,Paramètres!$A$1:$I$89,3,0)*0.475*44/12</f>
        <v>6.8838280345915095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41.671752108296303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6.5889720000000009</v>
      </c>
      <c r="D60" s="12">
        <f t="shared" si="32"/>
        <v>2.4381439942378065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9.0587900854456596</v>
      </c>
      <c r="H60" s="70">
        <f t="shared" si="1"/>
        <v>272.38889368996422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182.84082525184493</v>
      </c>
      <c r="T60" s="62">
        <f t="shared" si="34"/>
        <v>430.83336115516937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1.1368683772161603E-13</v>
      </c>
      <c r="AJ60" s="14">
        <f>AI60*VLOOKUP('Données projet'!$B$10,Paramètres!$A$1:$I$89,3,0)*VLOOKUP('Données projet'!$B$10,Paramètres!$A$1:$I$89,5,0)</f>
        <v>6.7984728957526396E-14</v>
      </c>
      <c r="AK60" s="14">
        <f t="shared" si="35"/>
        <v>1.0682447123141398E-12</v>
      </c>
      <c r="AL60" s="22">
        <f t="shared" si="4"/>
        <v>1.978932943548152E-12</v>
      </c>
      <c r="AM60" s="62">
        <f t="shared" si="5"/>
        <v>293.3333333333353</v>
      </c>
      <c r="AN60" s="62">
        <f ca="1">AVERAGE(OFFSET($AM$3,0,0,'Données projet'!$E$10+1,1))-AVERAGE(OFFSET($H$3,0,0,'Données projet'!$E$10+1,1))</f>
        <v>182.84082525184493</v>
      </c>
      <c r="AO60" s="62">
        <f t="shared" si="36"/>
        <v>430.83336115516937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31.237073179757132</v>
      </c>
      <c r="AV60" s="23">
        <f>EXP(-LN(2)/25)*AV59+(1-EXP(-LN(2)/25))/(LN(2)/25)*Calculateur!AQ60*Calculateur!AS60*VLOOKUP('Données projet'!$B$10,Paramètres!$A$1:$I$89,3,0)*0.475*44/12</f>
        <v>20.789056113836299</v>
      </c>
      <c r="AW60" s="23">
        <f>EXP(-LN(2)/2)*AW59+(1-EXP(-LN(2)/2))/(LN(2)/2)*AQ60*AT60*VLOOKUP('Données projet'!$B$10,Paramètres!$A$1:$I$89,3,0)*0.475*44/12</f>
        <v>3.7605948765207149E-3</v>
      </c>
      <c r="AX60" s="23">
        <f t="shared" si="6"/>
        <v>52.029889888469945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>
        <f>BD60*VLOOKUP('Données projet'!$B$11,Paramètres!$A$1:$I$89,3,0)*VLOOKUP('Données projet'!$B$11,Paramètres!$A$1:$I$89,5,0)</f>
        <v>0</v>
      </c>
      <c r="BF60" s="14" t="e">
        <f t="shared" si="37"/>
        <v>#NUM!</v>
      </c>
      <c r="BG60" s="22" t="e">
        <f t="shared" si="7"/>
        <v>#NUM!</v>
      </c>
      <c r="BH60" s="62" t="e">
        <f t="shared" si="8"/>
        <v>#NUM!</v>
      </c>
      <c r="BI60" s="62">
        <f ca="1">AVERAGE(OFFSET($BH$3,0,0,'Données projet'!$E$11+1,1))-AVERAGE(OFFSET($H$3,0,0,'Données projet'!$E$11+1,1))</f>
        <v>74.52152468677042</v>
      </c>
      <c r="BJ60" s="62">
        <f t="shared" si="38"/>
        <v>344.26747505795851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34.10575410115797</v>
      </c>
      <c r="BQ60" s="23">
        <f>EXP(-LN(2)/25)*BQ59+(1-EXP(-LN(2)/25))/(LN(2)/25)*Calculateur!BL60*Calculateur!BN60*VLOOKUP('Données projet'!$B$11,Paramètres!$A$1:$I$89,3,0)*0.475*44/12</f>
        <v>6.6955893949808214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40.801343496138792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6.704568000000001</v>
      </c>
      <c r="D61" s="12">
        <f t="shared" si="32"/>
        <v>2.4759011620250311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9.2126813345233671</v>
      </c>
      <c r="H61" s="70">
        <f t="shared" si="1"/>
        <v>272.65598379052693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182.84082525184493</v>
      </c>
      <c r="T61" s="62">
        <f t="shared" si="34"/>
        <v>430.83336115516937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1.1368683772161603E-13</v>
      </c>
      <c r="AJ61" s="14">
        <f>AI61*VLOOKUP('Données projet'!$B$10,Paramètres!$A$1:$I$89,3,0)*VLOOKUP('Données projet'!$B$10,Paramètres!$A$1:$I$89,5,0)</f>
        <v>6.7984728957526396E-14</v>
      </c>
      <c r="AK61" s="14">
        <f t="shared" si="35"/>
        <v>1.0682447123141398E-12</v>
      </c>
      <c r="AL61" s="22">
        <f t="shared" si="4"/>
        <v>1.978932943548152E-12</v>
      </c>
      <c r="AM61" s="62">
        <f t="shared" si="5"/>
        <v>293.3333333333353</v>
      </c>
      <c r="AN61" s="62">
        <f ca="1">AVERAGE(OFFSET($AM$3,0,0,'Données projet'!$E$10+1,1))-AVERAGE(OFFSET($H$3,0,0,'Données projet'!$E$10+1,1))</f>
        <v>182.84082525184493</v>
      </c>
      <c r="AO61" s="62">
        <f t="shared" si="36"/>
        <v>430.83336115516937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30.624533227435432</v>
      </c>
      <c r="AV61" s="23">
        <f>EXP(-LN(2)/25)*AV60+(1-EXP(-LN(2)/25))/(LN(2)/25)*Calculateur!AQ61*Calculateur!AS61*VLOOKUP('Données projet'!$B$10,Paramètres!$A$1:$I$89,3,0)*0.475*44/12</f>
        <v>20.220578281154499</v>
      </c>
      <c r="AW61" s="23">
        <f>EXP(-LN(2)/2)*AW60+(1-EXP(-LN(2)/2))/(LN(2)/2)*AQ61*AT61*VLOOKUP('Données projet'!$B$10,Paramètres!$A$1:$I$89,3,0)*0.475*44/12</f>
        <v>2.6591421384831852E-3</v>
      </c>
      <c r="AX61" s="23">
        <f t="shared" si="6"/>
        <v>50.847770650728414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>
        <f>BD61*VLOOKUP('Données projet'!$B$11,Paramètres!$A$1:$I$89,3,0)*VLOOKUP('Données projet'!$B$11,Paramètres!$A$1:$I$89,5,0)</f>
        <v>0</v>
      </c>
      <c r="BF61" s="14" t="e">
        <f t="shared" si="37"/>
        <v>#NUM!</v>
      </c>
      <c r="BG61" s="22" t="e">
        <f t="shared" si="7"/>
        <v>#NUM!</v>
      </c>
      <c r="BH61" s="62" t="e">
        <f t="shared" si="8"/>
        <v>#NUM!</v>
      </c>
      <c r="BI61" s="62">
        <f ca="1">AVERAGE(OFFSET($BH$3,0,0,'Données projet'!$E$11+1,1))-AVERAGE(OFFSET($H$3,0,0,'Données projet'!$E$11+1,1))</f>
        <v>74.52152468677042</v>
      </c>
      <c r="BJ61" s="62">
        <f t="shared" si="38"/>
        <v>344.26747505795851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33.436961065690191</v>
      </c>
      <c r="BQ61" s="23">
        <f>EXP(-LN(2)/25)*BQ60+(1-EXP(-LN(2)/25))/(LN(2)/25)*Calculateur!BL61*Calculateur!BN61*VLOOKUP('Données projet'!$B$11,Paramètres!$A$1:$I$89,3,0)*0.475*44/12</f>
        <v>6.5124981508693276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39.949459216559518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6.820164000000001</v>
      </c>
      <c r="D62" s="12">
        <f t="shared" si="32"/>
        <v>2.513582627102382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9.3664966152676552</v>
      </c>
      <c r="H62" s="70">
        <f t="shared" si="1"/>
        <v>272.92294204220332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182.84082525184493</v>
      </c>
      <c r="T62" s="62">
        <f t="shared" si="34"/>
        <v>430.83336115516937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1.1368683772161603E-13</v>
      </c>
      <c r="AJ62" s="14">
        <f>AI62*VLOOKUP('Données projet'!$B$10,Paramètres!$A$1:$I$89,3,0)*VLOOKUP('Données projet'!$B$10,Paramètres!$A$1:$I$89,5,0)</f>
        <v>6.7984728957526396E-14</v>
      </c>
      <c r="AK62" s="14">
        <f t="shared" si="35"/>
        <v>1.0682447123141398E-12</v>
      </c>
      <c r="AL62" s="22">
        <f t="shared" si="4"/>
        <v>1.978932943548152E-12</v>
      </c>
      <c r="AM62" s="62">
        <f t="shared" si="5"/>
        <v>293.3333333333353</v>
      </c>
      <c r="AN62" s="62">
        <f ca="1">AVERAGE(OFFSET($AM$3,0,0,'Données projet'!$E$10+1,1))-AVERAGE(OFFSET($H$3,0,0,'Données projet'!$E$10+1,1))</f>
        <v>182.84082525184493</v>
      </c>
      <c r="AO62" s="62">
        <f t="shared" si="36"/>
        <v>430.83336115516937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30.024004809966282</v>
      </c>
      <c r="AV62" s="23">
        <f>EXP(-LN(2)/25)*AV61+(1-EXP(-LN(2)/25))/(LN(2)/25)*Calculateur!AQ62*Calculateur!AS62*VLOOKUP('Données projet'!$B$10,Paramètres!$A$1:$I$89,3,0)*0.475*44/12</f>
        <v>19.667645504702332</v>
      </c>
      <c r="AW62" s="23">
        <f>EXP(-LN(2)/2)*AW61+(1-EXP(-LN(2)/2))/(LN(2)/2)*AQ62*AT62*VLOOKUP('Données projet'!$B$10,Paramètres!$A$1:$I$89,3,0)*0.475*44/12</f>
        <v>1.8802974382603579E-3</v>
      </c>
      <c r="AX62" s="23">
        <f t="shared" si="6"/>
        <v>49.693530612106876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>
        <f>BD62*VLOOKUP('Données projet'!$B$11,Paramètres!$A$1:$I$89,3,0)*VLOOKUP('Données projet'!$B$11,Paramètres!$A$1:$I$89,5,0)</f>
        <v>0</v>
      </c>
      <c r="BF62" s="14" t="e">
        <f t="shared" si="37"/>
        <v>#NUM!</v>
      </c>
      <c r="BG62" s="22" t="e">
        <f t="shared" si="7"/>
        <v>#NUM!</v>
      </c>
      <c r="BH62" s="62" t="e">
        <f t="shared" si="8"/>
        <v>#NUM!</v>
      </c>
      <c r="BI62" s="62">
        <f ca="1">AVERAGE(OFFSET($BH$3,0,0,'Données projet'!$E$11+1,1))-AVERAGE(OFFSET($H$3,0,0,'Données projet'!$E$11+1,1))</f>
        <v>74.52152468677042</v>
      </c>
      <c r="BJ62" s="62">
        <f t="shared" si="38"/>
        <v>344.26747505795851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32.78128265372446</v>
      </c>
      <c r="BQ62" s="23">
        <f>EXP(-LN(2)/25)*BQ61+(1-EXP(-LN(2)/25))/(LN(2)/25)*Calculateur!BL62*Calculateur!BN62*VLOOKUP('Données projet'!$B$11,Paramètres!$A$1:$I$89,3,0)*0.475*44/12</f>
        <v>6.3344135464564122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39.115696200180871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6.935760000000001</v>
      </c>
      <c r="D63" s="12">
        <f t="shared" si="32"/>
        <v>2.5511898206451034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9.5202373638754398</v>
      </c>
      <c r="H63" s="70">
        <f t="shared" si="1"/>
        <v>273.18977093762356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182.84082525184493</v>
      </c>
      <c r="T63" s="62">
        <f t="shared" si="34"/>
        <v>430.83336115516937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1.1368683772161603E-13</v>
      </c>
      <c r="AJ63" s="14">
        <f>AI63*VLOOKUP('Données projet'!$B$10,Paramètres!$A$1:$I$89,3,0)*VLOOKUP('Données projet'!$B$10,Paramètres!$A$1:$I$89,5,0)</f>
        <v>6.7984728957526396E-14</v>
      </c>
      <c r="AK63" s="14">
        <f t="shared" si="35"/>
        <v>1.0682447123141398E-12</v>
      </c>
      <c r="AL63" s="22">
        <f t="shared" si="4"/>
        <v>1.978932943548152E-12</v>
      </c>
      <c r="AM63" s="62">
        <f t="shared" si="5"/>
        <v>293.3333333333353</v>
      </c>
      <c r="AN63" s="62">
        <f ca="1">AVERAGE(OFFSET($AM$3,0,0,'Données projet'!$E$10+1,1))-AVERAGE(OFFSET($H$3,0,0,'Données projet'!$E$10+1,1))</f>
        <v>182.84082525184493</v>
      </c>
      <c r="AO63" s="62">
        <f t="shared" si="36"/>
        <v>430.83336115516937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29.435252388477537</v>
      </c>
      <c r="AV63" s="23">
        <f>EXP(-LN(2)/25)*AV62+(1-EXP(-LN(2)/25))/(LN(2)/25)*Calculateur!AQ63*Calculateur!AS63*VLOOKUP('Données projet'!$B$10,Paramètres!$A$1:$I$89,3,0)*0.475*44/12</f>
        <v>19.129832704099719</v>
      </c>
      <c r="AW63" s="23">
        <f>EXP(-LN(2)/2)*AW62+(1-EXP(-LN(2)/2))/(LN(2)/2)*AQ63*AT63*VLOOKUP('Données projet'!$B$10,Paramètres!$A$1:$I$89,3,0)*0.475*44/12</f>
        <v>1.3295710692415928E-3</v>
      </c>
      <c r="AX63" s="23">
        <f t="shared" si="6"/>
        <v>48.566414663646498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>
        <f>BD63*VLOOKUP('Données projet'!$B$11,Paramètres!$A$1:$I$89,3,0)*VLOOKUP('Données projet'!$B$11,Paramètres!$A$1:$I$89,5,0)</f>
        <v>0</v>
      </c>
      <c r="BF63" s="14" t="e">
        <f t="shared" si="37"/>
        <v>#NUM!</v>
      </c>
      <c r="BG63" s="22" t="e">
        <f t="shared" si="7"/>
        <v>#NUM!</v>
      </c>
      <c r="BH63" s="62" t="e">
        <f t="shared" si="8"/>
        <v>#NUM!</v>
      </c>
      <c r="BI63" s="62">
        <f ca="1">AVERAGE(OFFSET($BH$3,0,0,'Données projet'!$E$11+1,1))-AVERAGE(OFFSET($H$3,0,0,'Données projet'!$E$11+1,1))</f>
        <v>74.52152468677042</v>
      </c>
      <c r="BJ63" s="62">
        <f t="shared" si="38"/>
        <v>344.26747505795851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32.138461695493042</v>
      </c>
      <c r="BQ63" s="23">
        <f>EXP(-LN(2)/25)*BQ62+(1-EXP(-LN(2)/25))/(LN(2)/25)*Calculateur!BL63*Calculateur!BN63*VLOOKUP('Données projet'!$B$11,Paramètres!$A$1:$I$89,3,0)*0.475*44/12</f>
        <v>6.1611986749162311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38.299660370409271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7.0513560000000011</v>
      </c>
      <c r="D64" s="12">
        <f t="shared" si="32"/>
        <v>2.5887241233880758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9.6739049659262832</v>
      </c>
      <c r="H64" s="70">
        <f t="shared" si="1"/>
        <v>273.45647288156761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182.84082525184493</v>
      </c>
      <c r="T64" s="62">
        <f t="shared" si="34"/>
        <v>430.83336115516937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1.1368683772161603E-13</v>
      </c>
      <c r="AJ64" s="14">
        <f>AI64*VLOOKUP('Données projet'!$B$10,Paramètres!$A$1:$I$89,3,0)*VLOOKUP('Données projet'!$B$10,Paramètres!$A$1:$I$89,5,0)</f>
        <v>6.7984728957526396E-14</v>
      </c>
      <c r="AK64" s="14">
        <f t="shared" si="35"/>
        <v>1.0682447123141398E-12</v>
      </c>
      <c r="AL64" s="22">
        <f t="shared" si="4"/>
        <v>1.978932943548152E-12</v>
      </c>
      <c r="AM64" s="62">
        <f t="shared" si="5"/>
        <v>293.3333333333353</v>
      </c>
      <c r="AN64" s="62">
        <f ca="1">AVERAGE(OFFSET($AM$3,0,0,'Données projet'!$E$10+1,1))-AVERAGE(OFFSET($H$3,0,0,'Données projet'!$E$10+1,1))</f>
        <v>182.84082525184493</v>
      </c>
      <c r="AO64" s="62">
        <f t="shared" si="36"/>
        <v>430.83336115516937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28.858045042870664</v>
      </c>
      <c r="AV64" s="23">
        <f>EXP(-LN(2)/25)*AV63+(1-EXP(-LN(2)/25))/(LN(2)/25)*Calculateur!AQ64*Calculateur!AS64*VLOOKUP('Données projet'!$B$10,Paramètres!$A$1:$I$89,3,0)*0.475*44/12</f>
        <v>18.606726422811931</v>
      </c>
      <c r="AW64" s="23">
        <f>EXP(-LN(2)/2)*AW63+(1-EXP(-LN(2)/2))/(LN(2)/2)*AQ64*AT64*VLOOKUP('Données projet'!$B$10,Paramètres!$A$1:$I$89,3,0)*0.475*44/12</f>
        <v>9.4014871913017904E-4</v>
      </c>
      <c r="AX64" s="23">
        <f t="shared" si="6"/>
        <v>47.465711614401727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>
        <f>BD64*VLOOKUP('Données projet'!$B$11,Paramètres!$A$1:$I$89,3,0)*VLOOKUP('Données projet'!$B$11,Paramètres!$A$1:$I$89,5,0)</f>
        <v>0</v>
      </c>
      <c r="BF64" s="14" t="e">
        <f t="shared" si="37"/>
        <v>#NUM!</v>
      </c>
      <c r="BG64" s="22" t="e">
        <f t="shared" si="7"/>
        <v>#NUM!</v>
      </c>
      <c r="BH64" s="62" t="e">
        <f t="shared" si="8"/>
        <v>#NUM!</v>
      </c>
      <c r="BI64" s="62">
        <f ca="1">AVERAGE(OFFSET($BH$3,0,0,'Données projet'!$E$11+1,1))-AVERAGE(OFFSET($H$3,0,0,'Données projet'!$E$11+1,1))</f>
        <v>74.52152468677042</v>
      </c>
      <c r="BJ64" s="62">
        <f t="shared" si="38"/>
        <v>344.26747505795851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31.508246064170468</v>
      </c>
      <c r="BQ64" s="23">
        <f>EXP(-LN(2)/25)*BQ63+(1-EXP(-LN(2)/25))/(LN(2)/25)*Calculateur!BL64*Calculateur!BN64*VLOOKUP('Données projet'!$B$11,Paramètres!$A$1:$I$89,3,0)*0.475*44/12</f>
        <v>5.9927203731472902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37.500966437317757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7.1669520000000011</v>
      </c>
      <c r="D65" s="12">
        <f t="shared" si="32"/>
        <v>2.6261868682007363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9.8275007589663534</v>
      </c>
      <c r="H65" s="70">
        <f t="shared" si="1"/>
        <v>273.72305019544962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182.84082525184493</v>
      </c>
      <c r="T65" s="62">
        <f t="shared" si="34"/>
        <v>430.83336115516937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1.1368683772161603E-13</v>
      </c>
      <c r="AJ65" s="14">
        <f>AI65*VLOOKUP('Données projet'!$B$10,Paramètres!$A$1:$I$89,3,0)*VLOOKUP('Données projet'!$B$10,Paramètres!$A$1:$I$89,5,0)</f>
        <v>6.7984728957526396E-14</v>
      </c>
      <c r="AK65" s="14">
        <f t="shared" si="35"/>
        <v>1.0682447123141398E-12</v>
      </c>
      <c r="AL65" s="22">
        <f t="shared" si="4"/>
        <v>1.978932943548152E-12</v>
      </c>
      <c r="AM65" s="62">
        <f t="shared" si="5"/>
        <v>293.3333333333353</v>
      </c>
      <c r="AN65" s="62">
        <f ca="1">AVERAGE(OFFSET($AM$3,0,0,'Données projet'!$E$10+1,1))-AVERAGE(OFFSET($H$3,0,0,'Données projet'!$E$10+1,1))</f>
        <v>182.84082525184493</v>
      </c>
      <c r="AO65" s="62">
        <f t="shared" si="36"/>
        <v>430.83336115516937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28.292156381249427</v>
      </c>
      <c r="AV65" s="23">
        <f>EXP(-LN(2)/25)*AV64+(1-EXP(-LN(2)/25))/(LN(2)/25)*Calculateur!AQ65*Calculateur!AS65*VLOOKUP('Données projet'!$B$10,Paramètres!$A$1:$I$89,3,0)*0.475*44/12</f>
        <v>18.097924510294924</v>
      </c>
      <c r="AW65" s="23">
        <f>EXP(-LN(2)/2)*AW64+(1-EXP(-LN(2)/2))/(LN(2)/2)*AQ65*AT65*VLOOKUP('Données projet'!$B$10,Paramètres!$A$1:$I$89,3,0)*0.475*44/12</f>
        <v>6.6478553462079651E-4</v>
      </c>
      <c r="AX65" s="23">
        <f t="shared" si="6"/>
        <v>46.390745677078968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>
        <f>BD65*VLOOKUP('Données projet'!$B$11,Paramètres!$A$1:$I$89,3,0)*VLOOKUP('Données projet'!$B$11,Paramètres!$A$1:$I$89,5,0)</f>
        <v>0</v>
      </c>
      <c r="BF65" s="14" t="e">
        <f t="shared" si="37"/>
        <v>#NUM!</v>
      </c>
      <c r="BG65" s="22" t="e">
        <f t="shared" si="7"/>
        <v>#NUM!</v>
      </c>
      <c r="BH65" s="62" t="e">
        <f t="shared" si="8"/>
        <v>#NUM!</v>
      </c>
      <c r="BI65" s="62">
        <f ca="1">AVERAGE(OFFSET($BH$3,0,0,'Données projet'!$E$11+1,1))-AVERAGE(OFFSET($H$3,0,0,'Données projet'!$E$11+1,1))</f>
        <v>74.52152468677042</v>
      </c>
      <c r="BJ65" s="62">
        <f t="shared" si="38"/>
        <v>344.26747505795851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30.890388576984552</v>
      </c>
      <c r="BQ65" s="23">
        <f>EXP(-LN(2)/25)*BQ64+(1-EXP(-LN(2)/25))/(LN(2)/25)*Calculateur!BL65*Calculateur!BN65*VLOOKUP('Données projet'!$B$11,Paramètres!$A$1:$I$89,3,0)*0.475*44/12</f>
        <v>5.8288491194001093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36.71923769638466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7.2825480000000011</v>
      </c>
      <c r="D66" s="12">
        <f t="shared" si="32"/>
        <v>2.663579342491174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9.9810260349209692</v>
      </c>
      <c r="H66" s="70">
        <f t="shared" si="1"/>
        <v>273.98950512150549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182.84082525184493</v>
      </c>
      <c r="T66" s="62">
        <f t="shared" si="34"/>
        <v>430.83336115516937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1.1368683772161603E-13</v>
      </c>
      <c r="AJ66" s="14">
        <f>AI66*VLOOKUP('Données projet'!$B$10,Paramètres!$A$1:$I$89,3,0)*VLOOKUP('Données projet'!$B$10,Paramètres!$A$1:$I$89,5,0)</f>
        <v>6.7984728957526396E-14</v>
      </c>
      <c r="AK66" s="14">
        <f t="shared" si="35"/>
        <v>1.0682447123141398E-12</v>
      </c>
      <c r="AL66" s="22">
        <f t="shared" si="4"/>
        <v>1.978932943548152E-12</v>
      </c>
      <c r="AM66" s="62">
        <f t="shared" si="5"/>
        <v>293.3333333333353</v>
      </c>
      <c r="AN66" s="62">
        <f ca="1">AVERAGE(OFFSET($AM$3,0,0,'Données projet'!$E$10+1,1))-AVERAGE(OFFSET($H$3,0,0,'Données projet'!$E$10+1,1))</f>
        <v>182.84082525184493</v>
      </c>
      <c r="AO66" s="62">
        <f t="shared" si="36"/>
        <v>430.83336115516937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27.737364451124581</v>
      </c>
      <c r="AV66" s="23">
        <f>EXP(-LN(2)/25)*AV65+(1-EXP(-LN(2)/25))/(LN(2)/25)*Calculateur!AQ66*Calculateur!AS66*VLOOKUP('Données projet'!$B$10,Paramètres!$A$1:$I$89,3,0)*0.475*44/12</f>
        <v>17.603035812832424</v>
      </c>
      <c r="AW66" s="23">
        <f>EXP(-LN(2)/2)*AW65+(1-EXP(-LN(2)/2))/(LN(2)/2)*AQ66*AT66*VLOOKUP('Données projet'!$B$10,Paramètres!$A$1:$I$89,3,0)*0.475*44/12</f>
        <v>4.7007435956508963E-4</v>
      </c>
      <c r="AX66" s="23">
        <f t="shared" si="6"/>
        <v>45.34087033831657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>
        <f>BD66*VLOOKUP('Données projet'!$B$11,Paramètres!$A$1:$I$89,3,0)*VLOOKUP('Données projet'!$B$11,Paramètres!$A$1:$I$89,5,0)</f>
        <v>0</v>
      </c>
      <c r="BF66" s="14" t="e">
        <f t="shared" si="37"/>
        <v>#NUM!</v>
      </c>
      <c r="BG66" s="22" t="e">
        <f t="shared" si="7"/>
        <v>#NUM!</v>
      </c>
      <c r="BH66" s="62" t="e">
        <f t="shared" si="8"/>
        <v>#NUM!</v>
      </c>
      <c r="BI66" s="62">
        <f ca="1">AVERAGE(OFFSET($BH$3,0,0,'Données projet'!$E$11+1,1))-AVERAGE(OFFSET($H$3,0,0,'Données projet'!$E$11+1,1))</f>
        <v>74.52152468677042</v>
      </c>
      <c r="BJ66" s="62">
        <f t="shared" si="38"/>
        <v>344.26747505795851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30.284646898266494</v>
      </c>
      <c r="BQ66" s="23">
        <f>EXP(-LN(2)/25)*BQ65+(1-EXP(-LN(2)/25))/(LN(2)/25)*Calculateur!BL66*Calculateur!BN66*VLOOKUP('Données projet'!$B$11,Paramètres!$A$1:$I$89,3,0)*0.475*44/12</f>
        <v>5.6694589337042602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35.954105831970757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7.3981440000000012</v>
      </c>
      <c r="D67" s="12">
        <f t="shared" si="32"/>
        <v>2.7009027904532474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10.134482042349577</v>
      </c>
      <c r="H67" s="70">
        <f t="shared" si="1"/>
        <v>274.25583982670611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182.84082525184493</v>
      </c>
      <c r="T67" s="62">
        <f t="shared" si="34"/>
        <v>430.83336115516937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1.1368683772161603E-13</v>
      </c>
      <c r="AJ67" s="14">
        <f>AI67*VLOOKUP('Données projet'!$B$10,Paramètres!$A$1:$I$89,3,0)*VLOOKUP('Données projet'!$B$10,Paramètres!$A$1:$I$89,5,0)</f>
        <v>6.7984728957526396E-14</v>
      </c>
      <c r="AK67" s="14">
        <f t="shared" si="35"/>
        <v>1.0682447123141398E-12</v>
      </c>
      <c r="AL67" s="22">
        <f t="shared" si="4"/>
        <v>1.978932943548152E-12</v>
      </c>
      <c r="AM67" s="62">
        <f t="shared" si="5"/>
        <v>293.3333333333353</v>
      </c>
      <c r="AN67" s="62">
        <f ca="1">AVERAGE(OFFSET($AM$3,0,0,'Données projet'!$E$10+1,1))-AVERAGE(OFFSET($H$3,0,0,'Données projet'!$E$10+1,1))</f>
        <v>182.84082525184493</v>
      </c>
      <c r="AO67" s="62">
        <f t="shared" si="36"/>
        <v>430.83336115516937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27.193451652359816</v>
      </c>
      <c r="AV67" s="23">
        <f>EXP(-LN(2)/25)*AV66+(1-EXP(-LN(2)/25))/(LN(2)/25)*Calculateur!AQ67*Calculateur!AS67*VLOOKUP('Données projet'!$B$10,Paramètres!$A$1:$I$89,3,0)*0.475*44/12</f>
        <v>17.121679872827102</v>
      </c>
      <c r="AW67" s="23">
        <f>EXP(-LN(2)/2)*AW66+(1-EXP(-LN(2)/2))/(LN(2)/2)*AQ67*AT67*VLOOKUP('Données projet'!$B$10,Paramètres!$A$1:$I$89,3,0)*0.475*44/12</f>
        <v>3.3239276731039831E-4</v>
      </c>
      <c r="AX67" s="23">
        <f t="shared" si="6"/>
        <v>44.315463917954226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>
        <f>BD67*VLOOKUP('Données projet'!$B$11,Paramètres!$A$1:$I$89,3,0)*VLOOKUP('Données projet'!$B$11,Paramètres!$A$1:$I$89,5,0)</f>
        <v>0</v>
      </c>
      <c r="BF67" s="14" t="e">
        <f t="shared" si="37"/>
        <v>#NUM!</v>
      </c>
      <c r="BG67" s="22" t="e">
        <f t="shared" si="7"/>
        <v>#NUM!</v>
      </c>
      <c r="BH67" s="62" t="e">
        <f t="shared" si="8"/>
        <v>#NUM!</v>
      </c>
      <c r="BI67" s="62">
        <f ca="1">AVERAGE(OFFSET($BH$3,0,0,'Données projet'!$E$11+1,1))-AVERAGE(OFFSET($H$3,0,0,'Données projet'!$E$11+1,1))</f>
        <v>74.52152468677042</v>
      </c>
      <c r="BJ67" s="62">
        <f t="shared" si="38"/>
        <v>344.26747505795851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29.690783444402157</v>
      </c>
      <c r="BQ67" s="23">
        <f>EXP(-LN(2)/25)*BQ66+(1-EXP(-LN(2)/25))/(LN(2)/25)*Calculateur!BL67*Calculateur!BN67*VLOOKUP('Données projet'!$B$11,Paramètres!$A$1:$I$89,3,0)*0.475*44/12</f>
        <v>5.5144272810182295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35.205210725420386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7.5137400000000012</v>
      </c>
      <c r="D68" s="12">
        <f t="shared" si="32"/>
        <v>2.7381584151692762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10.287869988555837</v>
      </c>
      <c r="H68" s="70">
        <f t="shared" ref="H68:H131" si="56">(B68+E68+F68)*44/12+(C68+D68)*0.475*44/12</f>
        <v>274.52205640641984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182.84082525184493</v>
      </c>
      <c r="T68" s="62">
        <f t="shared" si="34"/>
        <v>430.83336115516937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1.1368683772161603E-13</v>
      </c>
      <c r="AJ68" s="14">
        <f>AI68*VLOOKUP('Données projet'!$B$10,Paramètres!$A$1:$I$89,3,0)*VLOOKUP('Données projet'!$B$10,Paramètres!$A$1:$I$89,5,0)</f>
        <v>6.7984728957526396E-14</v>
      </c>
      <c r="AK68" s="14">
        <f t="shared" si="35"/>
        <v>1.0682447123141398E-12</v>
      </c>
      <c r="AL68" s="22">
        <f t="shared" ref="AL68:AL131" si="58">(AJ68+AK68)*0.475*44/12</f>
        <v>1.978932943548152E-12</v>
      </c>
      <c r="AM68" s="62">
        <f t="shared" ref="AM68:AM131" si="59">AL68+(AD68+AE68)*44/12</f>
        <v>293.3333333333353</v>
      </c>
      <c r="AN68" s="62">
        <f ca="1">AVERAGE(OFFSET($AM$3,0,0,'Données projet'!$E$10+1,1))-AVERAGE(OFFSET($H$3,0,0,'Données projet'!$E$10+1,1))</f>
        <v>182.84082525184493</v>
      </c>
      <c r="AO68" s="62">
        <f t="shared" si="36"/>
        <v>430.83336115516937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26.660204651824781</v>
      </c>
      <c r="AV68" s="23">
        <f>EXP(-LN(2)/25)*AV67+(1-EXP(-LN(2)/25))/(LN(2)/25)*Calculateur!AQ68*Calculateur!AS68*VLOOKUP('Données projet'!$B$10,Paramètres!$A$1:$I$89,3,0)*0.475*44/12</f>
        <v>16.653486636314632</v>
      </c>
      <c r="AW68" s="23">
        <f>EXP(-LN(2)/2)*AW67+(1-EXP(-LN(2)/2))/(LN(2)/2)*AQ68*AT68*VLOOKUP('Données projet'!$B$10,Paramètres!$A$1:$I$89,3,0)*0.475*44/12</f>
        <v>2.3503717978254484E-4</v>
      </c>
      <c r="AX68" s="23">
        <f t="shared" ref="AX68:AX131" si="60">SUM(AU68:AW68)</f>
        <v>43.313926325319194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>
        <f>BD68*VLOOKUP('Données projet'!$B$11,Paramètres!$A$1:$I$89,3,0)*VLOOKUP('Données projet'!$B$11,Paramètres!$A$1:$I$89,5,0)</f>
        <v>0</v>
      </c>
      <c r="BF68" s="14" t="e">
        <f t="shared" si="37"/>
        <v>#NUM!</v>
      </c>
      <c r="BG68" s="22" t="e">
        <f t="shared" ref="BG68:BG131" si="61">(BE68+BF68)*0.475*44/12</f>
        <v>#NUM!</v>
      </c>
      <c r="BH68" s="62" t="e">
        <f t="shared" ref="BH68:BH131" si="62">BG68+(AY68+AZ68)*44/12</f>
        <v>#NUM!</v>
      </c>
      <c r="BI68" s="62">
        <f ca="1">AVERAGE(OFFSET($BH$3,0,0,'Données projet'!$E$11+1,1))-AVERAGE(OFFSET($H$3,0,0,'Données projet'!$E$11+1,1))</f>
        <v>74.52152468677042</v>
      </c>
      <c r="BJ68" s="62">
        <f t="shared" si="38"/>
        <v>344.26747505795851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29.10856529064716</v>
      </c>
      <c r="BQ68" s="23">
        <f>EXP(-LN(2)/25)*BQ67+(1-EXP(-LN(2)/25))/(LN(2)/25)*Calculateur!BL68*Calculateur!BN68*VLOOKUP('Données projet'!$B$11,Paramètres!$A$1:$I$89,3,0)*0.475*44/12</f>
        <v>5.363634977027659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34.472200267674822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7.6293360000000012</v>
      </c>
      <c r="D69" s="12">
        <f t="shared" ref="D69:D132" si="86">IFERROR(EXP(-1.0587+0.8836*LN(C69)+0.284),0)</f>
        <v>2.7753473805796633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10.441191041564155</v>
      </c>
      <c r="H69" s="70">
        <f t="shared" si="56"/>
        <v>274.78815688784294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182.84082525184493</v>
      </c>
      <c r="T69" s="62">
        <f t="shared" ref="T69:T132" si="88">$T$3</f>
        <v>430.83336115516937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1.1368683772161603E-13</v>
      </c>
      <c r="AJ69" s="14">
        <f>AI69*VLOOKUP('Données projet'!$B$10,Paramètres!$A$1:$I$89,3,0)*VLOOKUP('Données projet'!$B$10,Paramètres!$A$1:$I$89,5,0)</f>
        <v>6.7984728957526396E-14</v>
      </c>
      <c r="AK69" s="14">
        <f t="shared" ref="AK69:AK132" si="89">EXP(-1.0587+0.8836*LN(AJ69)+0.284)</f>
        <v>1.0682447123141398E-12</v>
      </c>
      <c r="AL69" s="22">
        <f t="shared" si="58"/>
        <v>1.978932943548152E-12</v>
      </c>
      <c r="AM69" s="62">
        <f t="shared" si="59"/>
        <v>293.3333333333353</v>
      </c>
      <c r="AN69" s="62">
        <f ca="1">AVERAGE(OFFSET($AM$3,0,0,'Données projet'!$E$10+1,1))-AVERAGE(OFFSET($H$3,0,0,'Données projet'!$E$10+1,1))</f>
        <v>182.84082525184493</v>
      </c>
      <c r="AO69" s="62">
        <f t="shared" ref="AO69:AO132" si="90">$AO$3</f>
        <v>430.83336115516937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26.137414299721684</v>
      </c>
      <c r="AV69" s="23">
        <f>EXP(-LN(2)/25)*AV68+(1-EXP(-LN(2)/25))/(LN(2)/25)*Calculateur!AQ69*Calculateur!AS69*VLOOKUP('Données projet'!$B$10,Paramètres!$A$1:$I$89,3,0)*0.475*44/12</f>
        <v>16.198096168475807</v>
      </c>
      <c r="AW69" s="23">
        <f>EXP(-LN(2)/2)*AW68+(1-EXP(-LN(2)/2))/(LN(2)/2)*AQ69*AT69*VLOOKUP('Données projet'!$B$10,Paramètres!$A$1:$I$89,3,0)*0.475*44/12</f>
        <v>1.6619638365519918E-4</v>
      </c>
      <c r="AX69" s="23">
        <f t="shared" si="60"/>
        <v>42.335676664581143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>
        <f>BD69*VLOOKUP('Données projet'!$B$11,Paramètres!$A$1:$I$89,3,0)*VLOOKUP('Données projet'!$B$11,Paramètres!$A$1:$I$89,5,0)</f>
        <v>0</v>
      </c>
      <c r="BF69" s="14" t="e">
        <f t="shared" ref="BF69:BF132" si="91">EXP(-1.0587+0.8836*LN(BE69)+0.284)</f>
        <v>#NUM!</v>
      </c>
      <c r="BG69" s="22" t="e">
        <f t="shared" si="61"/>
        <v>#NUM!</v>
      </c>
      <c r="BH69" s="62" t="e">
        <f t="shared" si="62"/>
        <v>#NUM!</v>
      </c>
      <c r="BI69" s="62">
        <f ca="1">AVERAGE(OFFSET($BH$3,0,0,'Données projet'!$E$11+1,1))-AVERAGE(OFFSET($H$3,0,0,'Données projet'!$E$11+1,1))</f>
        <v>74.52152468677042</v>
      </c>
      <c r="BJ69" s="62">
        <f t="shared" ref="BJ69:BJ132" si="92">$BJ$3</f>
        <v>344.26747505795851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28.537764079769289</v>
      </c>
      <c r="BQ69" s="23">
        <f>EXP(-LN(2)/25)*BQ68+(1-EXP(-LN(2)/25))/(LN(2)/25)*Calculateur!BL69*Calculateur!BN69*VLOOKUP('Données projet'!$B$11,Paramètres!$A$1:$I$89,3,0)*0.475*44/12</f>
        <v>5.216966096519533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33.754730176288824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7.7449320000000013</v>
      </c>
      <c r="D70" s="12">
        <f t="shared" si="86"/>
        <v>2.8124708133297558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10.594446331973019</v>
      </c>
      <c r="H70" s="70">
        <f t="shared" si="56"/>
        <v>275.054143233216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182.84082525184493</v>
      </c>
      <c r="T70" s="62">
        <f t="shared" si="88"/>
        <v>430.83336115516937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1.1368683772161603E-13</v>
      </c>
      <c r="AJ70" s="14">
        <f>AI70*VLOOKUP('Données projet'!$B$10,Paramètres!$A$1:$I$89,3,0)*VLOOKUP('Données projet'!$B$10,Paramètres!$A$1:$I$89,5,0)</f>
        <v>6.7984728957526396E-14</v>
      </c>
      <c r="AK70" s="14">
        <f t="shared" si="89"/>
        <v>1.0682447123141398E-12</v>
      </c>
      <c r="AL70" s="22">
        <f t="shared" si="58"/>
        <v>1.978932943548152E-12</v>
      </c>
      <c r="AM70" s="62">
        <f t="shared" si="59"/>
        <v>293.3333333333353</v>
      </c>
      <c r="AN70" s="62">
        <f ca="1">AVERAGE(OFFSET($AM$3,0,0,'Données projet'!$E$10+1,1))-AVERAGE(OFFSET($H$3,0,0,'Données projet'!$E$10+1,1))</f>
        <v>182.84082525184493</v>
      </c>
      <c r="AO70" s="62">
        <f t="shared" si="90"/>
        <v>430.83336115516937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25.624875547552698</v>
      </c>
      <c r="AV70" s="23">
        <f>EXP(-LN(2)/25)*AV69+(1-EXP(-LN(2)/25))/(LN(2)/25)*Calculateur!AQ70*Calculateur!AS70*VLOOKUP('Données projet'!$B$10,Paramètres!$A$1:$I$89,3,0)*0.475*44/12</f>
        <v>15.75515837692798</v>
      </c>
      <c r="AW70" s="23">
        <f>EXP(-LN(2)/2)*AW69+(1-EXP(-LN(2)/2))/(LN(2)/2)*AQ70*AT70*VLOOKUP('Données projet'!$B$10,Paramètres!$A$1:$I$89,3,0)*0.475*44/12</f>
        <v>1.1751858989127243E-4</v>
      </c>
      <c r="AX70" s="23">
        <f t="shared" si="60"/>
        <v>41.380151443070567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>
        <f>BD70*VLOOKUP('Données projet'!$B$11,Paramètres!$A$1:$I$89,3,0)*VLOOKUP('Données projet'!$B$11,Paramètres!$A$1:$I$89,5,0)</f>
        <v>0</v>
      </c>
      <c r="BF70" s="14" t="e">
        <f t="shared" si="91"/>
        <v>#NUM!</v>
      </c>
      <c r="BG70" s="22" t="e">
        <f t="shared" si="61"/>
        <v>#NUM!</v>
      </c>
      <c r="BH70" s="62" t="e">
        <f t="shared" si="62"/>
        <v>#NUM!</v>
      </c>
      <c r="BI70" s="62">
        <f ca="1">AVERAGE(OFFSET($BH$3,0,0,'Données projet'!$E$11+1,1))-AVERAGE(OFFSET($H$3,0,0,'Données projet'!$E$11+1,1))</f>
        <v>74.52152468677042</v>
      </c>
      <c r="BJ70" s="62">
        <f t="shared" si="92"/>
        <v>344.26747505795851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27.97815593248237</v>
      </c>
      <c r="BQ70" s="23">
        <f>EXP(-LN(2)/25)*BQ69+(1-EXP(-LN(2)/25))/(LN(2)/25)*Calculateur!BL70*Calculateur!BN70*VLOOKUP('Données projet'!$B$11,Paramètres!$A$1:$I$89,3,0)*0.475*44/12</f>
        <v>5.0743078842618825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33.05246381674425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7.8605280000000013</v>
      </c>
      <c r="D71" s="12">
        <f t="shared" si="86"/>
        <v>2.8495298045033182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10.747636954694558</v>
      </c>
      <c r="H71" s="70">
        <f t="shared" si="56"/>
        <v>275.3200173428433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182.84082525184493</v>
      </c>
      <c r="T71" s="62">
        <f t="shared" si="88"/>
        <v>430.83336115516937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1.1368683772161603E-13</v>
      </c>
      <c r="AJ71" s="14">
        <f>AI71*VLOOKUP('Données projet'!$B$10,Paramètres!$A$1:$I$89,3,0)*VLOOKUP('Données projet'!$B$10,Paramètres!$A$1:$I$89,5,0)</f>
        <v>6.7984728957526396E-14</v>
      </c>
      <c r="AK71" s="14">
        <f t="shared" si="89"/>
        <v>1.0682447123141398E-12</v>
      </c>
      <c r="AL71" s="22">
        <f t="shared" si="58"/>
        <v>1.978932943548152E-12</v>
      </c>
      <c r="AM71" s="62">
        <f t="shared" si="59"/>
        <v>293.3333333333353</v>
      </c>
      <c r="AN71" s="62">
        <f ca="1">AVERAGE(OFFSET($AM$3,0,0,'Données projet'!$E$10+1,1))-AVERAGE(OFFSET($H$3,0,0,'Données projet'!$E$10+1,1))</f>
        <v>182.84082525184493</v>
      </c>
      <c r="AO71" s="62">
        <f t="shared" si="90"/>
        <v>430.83336115516937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25.122387367695975</v>
      </c>
      <c r="AV71" s="23">
        <f>EXP(-LN(2)/25)*AV70+(1-EXP(-LN(2)/25))/(LN(2)/25)*Calculateur!AQ71*Calculateur!AS71*VLOOKUP('Données projet'!$B$10,Paramètres!$A$1:$I$89,3,0)*0.475*44/12</f>
        <v>15.324332742583115</v>
      </c>
      <c r="AW71" s="23">
        <f>EXP(-LN(2)/2)*AW70+(1-EXP(-LN(2)/2))/(LN(2)/2)*AQ71*AT71*VLOOKUP('Données projet'!$B$10,Paramètres!$A$1:$I$89,3,0)*0.475*44/12</f>
        <v>8.3098191827599605E-5</v>
      </c>
      <c r="AX71" s="23">
        <f t="shared" si="60"/>
        <v>40.446803208470918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>
        <f>BD71*VLOOKUP('Données projet'!$B$11,Paramètres!$A$1:$I$89,3,0)*VLOOKUP('Données projet'!$B$11,Paramètres!$A$1:$I$89,5,0)</f>
        <v>0</v>
      </c>
      <c r="BF71" s="14" t="e">
        <f t="shared" si="91"/>
        <v>#NUM!</v>
      </c>
      <c r="BG71" s="22" t="e">
        <f t="shared" si="61"/>
        <v>#NUM!</v>
      </c>
      <c r="BH71" s="62" t="e">
        <f t="shared" si="62"/>
        <v>#NUM!</v>
      </c>
      <c r="BI71" s="62">
        <f ca="1">AVERAGE(OFFSET($BH$3,0,0,'Données projet'!$E$11+1,1))-AVERAGE(OFFSET($H$3,0,0,'Données projet'!$E$11+1,1))</f>
        <v>74.52152468677042</v>
      </c>
      <c r="BJ71" s="62">
        <f t="shared" si="92"/>
        <v>344.26747505795851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27.429521359636482</v>
      </c>
      <c r="BQ71" s="23">
        <f>EXP(-LN(2)/25)*BQ70+(1-EXP(-LN(2)/25))/(LN(2)/25)*Calculateur!BL71*Calculateur!BN71*VLOOKUP('Données projet'!$B$11,Paramètres!$A$1:$I$89,3,0)*0.475*44/12</f>
        <v>4.9355506683204871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32.36507202795697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7.9761240000000013</v>
      </c>
      <c r="D72" s="12">
        <f t="shared" si="86"/>
        <v>2.8865254112511347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10.90076397058886</v>
      </c>
      <c r="H72" s="70">
        <f t="shared" si="56"/>
        <v>275.58578105792907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182.84082525184493</v>
      </c>
      <c r="T72" s="62">
        <f t="shared" si="88"/>
        <v>430.83336115516937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1.1368683772161603E-13</v>
      </c>
      <c r="AJ72" s="14">
        <f>AI72*VLOOKUP('Données projet'!$B$10,Paramètres!$A$1:$I$89,3,0)*VLOOKUP('Données projet'!$B$10,Paramètres!$A$1:$I$89,5,0)</f>
        <v>6.7984728957526396E-14</v>
      </c>
      <c r="AK72" s="14">
        <f t="shared" si="89"/>
        <v>1.0682447123141398E-12</v>
      </c>
      <c r="AL72" s="22">
        <f t="shared" si="58"/>
        <v>1.978932943548152E-12</v>
      </c>
      <c r="AM72" s="62">
        <f t="shared" si="59"/>
        <v>293.3333333333353</v>
      </c>
      <c r="AN72" s="62">
        <f ca="1">AVERAGE(OFFSET($AM$3,0,0,'Données projet'!$E$10+1,1))-AVERAGE(OFFSET($H$3,0,0,'Données projet'!$E$10+1,1))</f>
        <v>182.84082525184493</v>
      </c>
      <c r="AO72" s="62">
        <f t="shared" si="90"/>
        <v>430.83336115516937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24.629752674558716</v>
      </c>
      <c r="AV72" s="23">
        <f>EXP(-LN(2)/25)*AV71+(1-EXP(-LN(2)/25))/(LN(2)/25)*Calculateur!AQ72*Calculateur!AS72*VLOOKUP('Données projet'!$B$10,Paramètres!$A$1:$I$89,3,0)*0.475*44/12</f>
        <v>14.905288057865546</v>
      </c>
      <c r="AW72" s="23">
        <f>EXP(-LN(2)/2)*AW71+(1-EXP(-LN(2)/2))/(LN(2)/2)*AQ72*AT72*VLOOKUP('Données projet'!$B$10,Paramètres!$A$1:$I$89,3,0)*0.475*44/12</f>
        <v>5.8759294945636231E-5</v>
      </c>
      <c r="AX72" s="23">
        <f t="shared" si="60"/>
        <v>39.535099491719208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>
        <f>BD72*VLOOKUP('Données projet'!$B$11,Paramètres!$A$1:$I$89,3,0)*VLOOKUP('Données projet'!$B$11,Paramètres!$A$1:$I$89,5,0)</f>
        <v>0</v>
      </c>
      <c r="BF72" s="14" t="e">
        <f t="shared" si="91"/>
        <v>#NUM!</v>
      </c>
      <c r="BG72" s="22" t="e">
        <f t="shared" si="61"/>
        <v>#NUM!</v>
      </c>
      <c r="BH72" s="62" t="e">
        <f t="shared" si="62"/>
        <v>#NUM!</v>
      </c>
      <c r="BI72" s="62">
        <f ca="1">AVERAGE(OFFSET($BH$3,0,0,'Données projet'!$E$11+1,1))-AVERAGE(OFFSET($H$3,0,0,'Données projet'!$E$11+1,1))</f>
        <v>74.52152468677042</v>
      </c>
      <c r="BJ72" s="62">
        <f t="shared" si="92"/>
        <v>344.26747505795851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26.891645176130055</v>
      </c>
      <c r="BQ72" s="23">
        <f>EXP(-LN(2)/25)*BQ71+(1-EXP(-LN(2)/25))/(LN(2)/25)*Calculateur!BL72*Calculateur!BN72*VLOOKUP('Données projet'!$B$11,Paramètres!$A$1:$I$89,3,0)*0.475*44/12</f>
        <v>4.8005877757459343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31.69223295187599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8.0917200000000005</v>
      </c>
      <c r="D73" s="12">
        <f t="shared" si="86"/>
        <v>2.9234586583225219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11.053828408000848</v>
      </c>
      <c r="H73" s="70">
        <f t="shared" si="56"/>
        <v>275.85143616324507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182.84082525184493</v>
      </c>
      <c r="T73" s="62">
        <f t="shared" si="88"/>
        <v>430.83336115516937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1.1368683772161603E-13</v>
      </c>
      <c r="AJ73" s="14">
        <f>AI73*VLOOKUP('Données projet'!$B$10,Paramètres!$A$1:$I$89,3,0)*VLOOKUP('Données projet'!$B$10,Paramètres!$A$1:$I$89,5,0)</f>
        <v>6.7984728957526396E-14</v>
      </c>
      <c r="AK73" s="14">
        <f t="shared" si="89"/>
        <v>1.0682447123141398E-12</v>
      </c>
      <c r="AL73" s="22">
        <f t="shared" si="58"/>
        <v>1.978932943548152E-12</v>
      </c>
      <c r="AM73" s="62">
        <f t="shared" si="59"/>
        <v>293.3333333333353</v>
      </c>
      <c r="AN73" s="62">
        <f ca="1">AVERAGE(OFFSET($AM$3,0,0,'Données projet'!$E$10+1,1))-AVERAGE(OFFSET($H$3,0,0,'Données projet'!$E$10+1,1))</f>
        <v>182.84082525184493</v>
      </c>
      <c r="AO73" s="62">
        <f t="shared" si="90"/>
        <v>430.83336115516937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24.146778247276387</v>
      </c>
      <c r="AV73" s="23">
        <f>EXP(-LN(2)/25)*AV72+(1-EXP(-LN(2)/25))/(LN(2)/25)*Calculateur!AQ73*Calculateur!AS73*VLOOKUP('Données projet'!$B$10,Paramètres!$A$1:$I$89,3,0)*0.475*44/12</f>
        <v>14.49770217208818</v>
      </c>
      <c r="AW73" s="23">
        <f>EXP(-LN(2)/2)*AW72+(1-EXP(-LN(2)/2))/(LN(2)/2)*AQ73*AT73*VLOOKUP('Données projet'!$B$10,Paramètres!$A$1:$I$89,3,0)*0.475*44/12</f>
        <v>4.1549095913799809E-5</v>
      </c>
      <c r="AX73" s="23">
        <f t="shared" si="60"/>
        <v>38.644521968460481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>
        <f>BD73*VLOOKUP('Données projet'!$B$11,Paramètres!$A$1:$I$89,3,0)*VLOOKUP('Données projet'!$B$11,Paramètres!$A$1:$I$89,5,0)</f>
        <v>0</v>
      </c>
      <c r="BF73" s="14" t="e">
        <f t="shared" si="91"/>
        <v>#NUM!</v>
      </c>
      <c r="BG73" s="22" t="e">
        <f t="shared" si="61"/>
        <v>#NUM!</v>
      </c>
      <c r="BH73" s="62" t="e">
        <f t="shared" si="62"/>
        <v>#NUM!</v>
      </c>
      <c r="BI73" s="62">
        <f ca="1">AVERAGE(OFFSET($BH$3,0,0,'Données projet'!$E$11+1,1))-AVERAGE(OFFSET($H$3,0,0,'Données projet'!$E$11+1,1))</f>
        <v>74.52152468677042</v>
      </c>
      <c r="BJ73" s="62">
        <f t="shared" si="92"/>
        <v>344.26747505795851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26.36431641651011</v>
      </c>
      <c r="BQ73" s="23">
        <f>EXP(-LN(2)/25)*BQ72+(1-EXP(-LN(2)/25))/(LN(2)/25)*Calculateur!BL73*Calculateur!BN73*VLOOKUP('Données projet'!$B$11,Paramètres!$A$1:$I$89,3,0)*0.475*44/12</f>
        <v>4.6693154505662227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31.033631867076334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8.2073160000000005</v>
      </c>
      <c r="D74" s="12">
        <f t="shared" si="86"/>
        <v>2.9603305395068356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11.206831264206862</v>
      </c>
      <c r="H74" s="70">
        <f t="shared" si="56"/>
        <v>276.11698438964112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182.84082525184493</v>
      </c>
      <c r="T74" s="62">
        <f t="shared" si="88"/>
        <v>430.83336115516937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1.1368683772161603E-13</v>
      </c>
      <c r="AJ74" s="14">
        <f>AI74*VLOOKUP('Données projet'!$B$10,Paramètres!$A$1:$I$89,3,0)*VLOOKUP('Données projet'!$B$10,Paramètres!$A$1:$I$89,5,0)</f>
        <v>6.7984728957526396E-14</v>
      </c>
      <c r="AK74" s="14">
        <f t="shared" si="89"/>
        <v>1.0682447123141398E-12</v>
      </c>
      <c r="AL74" s="22">
        <f t="shared" si="58"/>
        <v>1.978932943548152E-12</v>
      </c>
      <c r="AM74" s="62">
        <f t="shared" si="59"/>
        <v>293.3333333333353</v>
      </c>
      <c r="AN74" s="62">
        <f ca="1">AVERAGE(OFFSET($AM$3,0,0,'Données projet'!$E$10+1,1))-AVERAGE(OFFSET($H$3,0,0,'Données projet'!$E$10+1,1))</f>
        <v>182.84082525184493</v>
      </c>
      <c r="AO74" s="62">
        <f t="shared" si="90"/>
        <v>430.83336115516937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23.673274653927752</v>
      </c>
      <c r="AV74" s="23">
        <f>EXP(-LN(2)/25)*AV73+(1-EXP(-LN(2)/25))/(LN(2)/25)*Calculateur!AQ74*Calculateur!AS74*VLOOKUP('Données projet'!$B$10,Paramètres!$A$1:$I$89,3,0)*0.475*44/12</f>
        <v>14.101261743791406</v>
      </c>
      <c r="AW74" s="23">
        <f>EXP(-LN(2)/2)*AW73+(1-EXP(-LN(2)/2))/(LN(2)/2)*AQ74*AT74*VLOOKUP('Données projet'!$B$10,Paramètres!$A$1:$I$89,3,0)*0.475*44/12</f>
        <v>2.9379647472818119E-5</v>
      </c>
      <c r="AX74" s="23">
        <f t="shared" si="60"/>
        <v>37.774565777366632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>
        <f>BD74*VLOOKUP('Données projet'!$B$11,Paramètres!$A$1:$I$89,3,0)*VLOOKUP('Données projet'!$B$11,Paramètres!$A$1:$I$89,5,0)</f>
        <v>0</v>
      </c>
      <c r="BF74" s="14" t="e">
        <f t="shared" si="91"/>
        <v>#NUM!</v>
      </c>
      <c r="BG74" s="22" t="e">
        <f t="shared" si="61"/>
        <v>#NUM!</v>
      </c>
      <c r="BH74" s="62" t="e">
        <f t="shared" si="62"/>
        <v>#NUM!</v>
      </c>
      <c r="BI74" s="62">
        <f ca="1">AVERAGE(OFFSET($BH$3,0,0,'Données projet'!$E$11+1,1))-AVERAGE(OFFSET($H$3,0,0,'Données projet'!$E$11+1,1))</f>
        <v>74.52152468677042</v>
      </c>
      <c r="BJ74" s="62">
        <f t="shared" si="92"/>
        <v>344.26747505795851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25.84732825222753</v>
      </c>
      <c r="BQ74" s="23">
        <f>EXP(-LN(2)/25)*BQ73+(1-EXP(-LN(2)/25))/(LN(2)/25)*Calculateur!BL74*Calculateur!BN74*VLOOKUP('Données projet'!$B$11,Paramètres!$A$1:$I$89,3,0)*0.475*44/12</f>
        <v>4.5416327740218616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30.38896102624939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8.3229120000000005</v>
      </c>
      <c r="D75" s="12">
        <f t="shared" si="86"/>
        <v>2.9971420189914642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11.359773506777399</v>
      </c>
      <c r="H75" s="70">
        <f t="shared" si="56"/>
        <v>276.38242741641017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182.84082525184493</v>
      </c>
      <c r="T75" s="62">
        <f t="shared" si="88"/>
        <v>430.83336115516937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1.1368683772161603E-13</v>
      </c>
      <c r="AJ75" s="14">
        <f>AI75*VLOOKUP('Données projet'!$B$10,Paramètres!$A$1:$I$89,3,0)*VLOOKUP('Données projet'!$B$10,Paramètres!$A$1:$I$89,5,0)</f>
        <v>6.7984728957526396E-14</v>
      </c>
      <c r="AK75" s="14">
        <f t="shared" si="89"/>
        <v>1.0682447123141398E-12</v>
      </c>
      <c r="AL75" s="22">
        <f t="shared" si="58"/>
        <v>1.978932943548152E-12</v>
      </c>
      <c r="AM75" s="62">
        <f t="shared" si="59"/>
        <v>293.3333333333353</v>
      </c>
      <c r="AN75" s="62">
        <f ca="1">AVERAGE(OFFSET($AM$3,0,0,'Données projet'!$E$10+1,1))-AVERAGE(OFFSET($H$3,0,0,'Données projet'!$E$10+1,1))</f>
        <v>182.84082525184493</v>
      </c>
      <c r="AO75" s="62">
        <f t="shared" si="90"/>
        <v>430.83336115516937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23.209056177236008</v>
      </c>
      <c r="AV75" s="23">
        <f>EXP(-LN(2)/25)*AV74+(1-EXP(-LN(2)/25))/(LN(2)/25)*Calculateur!AQ75*Calculateur!AS75*VLOOKUP('Données projet'!$B$10,Paramètres!$A$1:$I$89,3,0)*0.475*44/12</f>
        <v>13.715661999854303</v>
      </c>
      <c r="AW75" s="23">
        <f>EXP(-LN(2)/2)*AW74+(1-EXP(-LN(2)/2))/(LN(2)/2)*AQ75*AT75*VLOOKUP('Données projet'!$B$10,Paramètres!$A$1:$I$89,3,0)*0.475*44/12</f>
        <v>2.0774547956899908E-5</v>
      </c>
      <c r="AX75" s="23">
        <f t="shared" si="60"/>
        <v>36.924738951638268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>
        <f>BD75*VLOOKUP('Données projet'!$B$11,Paramètres!$A$1:$I$89,3,0)*VLOOKUP('Données projet'!$B$11,Paramètres!$A$1:$I$89,5,0)</f>
        <v>0</v>
      </c>
      <c r="BF75" s="14" t="e">
        <f t="shared" si="91"/>
        <v>#NUM!</v>
      </c>
      <c r="BG75" s="22" t="e">
        <f t="shared" si="61"/>
        <v>#NUM!</v>
      </c>
      <c r="BH75" s="62" t="e">
        <f t="shared" si="62"/>
        <v>#NUM!</v>
      </c>
      <c r="BI75" s="62">
        <f ca="1">AVERAGE(OFFSET($BH$3,0,0,'Données projet'!$E$11+1,1))-AVERAGE(OFFSET($H$3,0,0,'Données projet'!$E$11+1,1))</f>
        <v>74.52152468677042</v>
      </c>
      <c r="BJ75" s="62">
        <f t="shared" si="92"/>
        <v>344.26747505795851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25.340477910514888</v>
      </c>
      <c r="BQ75" s="23">
        <f>EXP(-LN(2)/25)*BQ74+(1-EXP(-LN(2)/25))/(LN(2)/25)*Calculateur!BL75*Calculateur!BN75*VLOOKUP('Données projet'!$B$11,Paramètres!$A$1:$I$89,3,0)*0.475*44/12</f>
        <v>4.4174415869821466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29.757919497497035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8.4385080000000006</v>
      </c>
      <c r="D76" s="12">
        <f t="shared" si="86"/>
        <v>3.0338940326422241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11.512656074862022</v>
      </c>
      <c r="H76" s="70">
        <f t="shared" si="56"/>
        <v>276.64776687351855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182.84082525184493</v>
      </c>
      <c r="T76" s="62">
        <f t="shared" si="88"/>
        <v>430.83336115516937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1.1368683772161603E-13</v>
      </c>
      <c r="AJ76" s="14">
        <f>AI76*VLOOKUP('Données projet'!$B$10,Paramètres!$A$1:$I$89,3,0)*VLOOKUP('Données projet'!$B$10,Paramètres!$A$1:$I$89,5,0)</f>
        <v>6.7984728957526396E-14</v>
      </c>
      <c r="AK76" s="14">
        <f t="shared" si="89"/>
        <v>1.0682447123141398E-12</v>
      </c>
      <c r="AL76" s="22">
        <f t="shared" si="58"/>
        <v>1.978932943548152E-12</v>
      </c>
      <c r="AM76" s="62">
        <f t="shared" si="59"/>
        <v>293.3333333333353</v>
      </c>
      <c r="AN76" s="62">
        <f ca="1">AVERAGE(OFFSET($AM$3,0,0,'Données projet'!$E$10+1,1))-AVERAGE(OFFSET($H$3,0,0,'Données projet'!$E$10+1,1))</f>
        <v>182.84082525184493</v>
      </c>
      <c r="AO76" s="62">
        <f t="shared" si="90"/>
        <v>430.83336115516937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22.753940741726876</v>
      </c>
      <c r="AV76" s="23">
        <f>EXP(-LN(2)/25)*AV75+(1-EXP(-LN(2)/25))/(LN(2)/25)*Calculateur!AQ76*Calculateur!AS76*VLOOKUP('Données projet'!$B$10,Paramètres!$A$1:$I$89,3,0)*0.475*44/12</f>
        <v>13.340606501192971</v>
      </c>
      <c r="AW76" s="23">
        <f>EXP(-LN(2)/2)*AW75+(1-EXP(-LN(2)/2))/(LN(2)/2)*AQ76*AT76*VLOOKUP('Données projet'!$B$10,Paramètres!$A$1:$I$89,3,0)*0.475*44/12</f>
        <v>1.4689823736409063E-5</v>
      </c>
      <c r="AX76" s="23">
        <f t="shared" si="60"/>
        <v>36.094561932743581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>
        <f>BD76*VLOOKUP('Données projet'!$B$11,Paramètres!$A$1:$I$89,3,0)*VLOOKUP('Données projet'!$B$11,Paramètres!$A$1:$I$89,5,0)</f>
        <v>0</v>
      </c>
      <c r="BF76" s="14" t="e">
        <f t="shared" si="91"/>
        <v>#NUM!</v>
      </c>
      <c r="BG76" s="22" t="e">
        <f t="shared" si="61"/>
        <v>#NUM!</v>
      </c>
      <c r="BH76" s="62" t="e">
        <f t="shared" si="62"/>
        <v>#NUM!</v>
      </c>
      <c r="BI76" s="62">
        <f ca="1">AVERAGE(OFFSET($BH$3,0,0,'Données projet'!$E$11+1,1))-AVERAGE(OFFSET($H$3,0,0,'Données projet'!$E$11+1,1))</f>
        <v>74.52152468677042</v>
      </c>
      <c r="BJ76" s="62">
        <f t="shared" si="92"/>
        <v>344.26747505795851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24.843566594855048</v>
      </c>
      <c r="BQ76" s="23">
        <f>EXP(-LN(2)/25)*BQ75+(1-EXP(-LN(2)/25))/(LN(2)/25)*Calculateur!BL76*Calculateur!BN76*VLOOKUP('Données projet'!$B$11,Paramètres!$A$1:$I$89,3,0)*0.475*44/12</f>
        <v>4.2966464144829626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29.140213009338012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8.5541040000000006</v>
      </c>
      <c r="D77" s="12">
        <f t="shared" si="86"/>
        <v>3.0705874892116096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11.665479880401827</v>
      </c>
      <c r="H77" s="70">
        <f t="shared" si="56"/>
        <v>276.91300434371021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182.84082525184493</v>
      </c>
      <c r="T77" s="62">
        <f t="shared" si="88"/>
        <v>430.83336115516937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1.1368683772161603E-13</v>
      </c>
      <c r="AJ77" s="14">
        <f>AI77*VLOOKUP('Données projet'!$B$10,Paramètres!$A$1:$I$89,3,0)*VLOOKUP('Données projet'!$B$10,Paramètres!$A$1:$I$89,5,0)</f>
        <v>6.7984728957526396E-14</v>
      </c>
      <c r="AK77" s="14">
        <f t="shared" si="89"/>
        <v>1.0682447123141398E-12</v>
      </c>
      <c r="AL77" s="22">
        <f t="shared" si="58"/>
        <v>1.978932943548152E-12</v>
      </c>
      <c r="AM77" s="62">
        <f t="shared" si="59"/>
        <v>293.3333333333353</v>
      </c>
      <c r="AN77" s="62">
        <f ca="1">AVERAGE(OFFSET($AM$3,0,0,'Données projet'!$E$10+1,1))-AVERAGE(OFFSET($H$3,0,0,'Données projet'!$E$10+1,1))</f>
        <v>182.84082525184493</v>
      </c>
      <c r="AO77" s="62">
        <f t="shared" si="90"/>
        <v>430.83336115516937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22.307749842315072</v>
      </c>
      <c r="AV77" s="23">
        <f>EXP(-LN(2)/25)*AV76+(1-EXP(-LN(2)/25))/(LN(2)/25)*Calculateur!AQ77*Calculateur!AS77*VLOOKUP('Données projet'!$B$10,Paramètres!$A$1:$I$89,3,0)*0.475*44/12</f>
        <v>12.975806914865844</v>
      </c>
      <c r="AW77" s="23">
        <f>EXP(-LN(2)/2)*AW76+(1-EXP(-LN(2)/2))/(LN(2)/2)*AQ77*AT77*VLOOKUP('Données projet'!$B$10,Paramètres!$A$1:$I$89,3,0)*0.475*44/12</f>
        <v>1.0387273978449956E-5</v>
      </c>
      <c r="AX77" s="23">
        <f t="shared" si="60"/>
        <v>35.283567144454899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>
        <f>BD77*VLOOKUP('Données projet'!$B$11,Paramètres!$A$1:$I$89,3,0)*VLOOKUP('Données projet'!$B$11,Paramètres!$A$1:$I$89,5,0)</f>
        <v>0</v>
      </c>
      <c r="BF77" s="14" t="e">
        <f t="shared" si="91"/>
        <v>#NUM!</v>
      </c>
      <c r="BG77" s="22" t="e">
        <f t="shared" si="61"/>
        <v>#NUM!</v>
      </c>
      <c r="BH77" s="62" t="e">
        <f t="shared" si="62"/>
        <v>#NUM!</v>
      </c>
      <c r="BI77" s="62">
        <f ca="1">AVERAGE(OFFSET($BH$3,0,0,'Données projet'!$E$11+1,1))-AVERAGE(OFFSET($H$3,0,0,'Données projet'!$E$11+1,1))</f>
        <v>74.52152468677042</v>
      </c>
      <c r="BJ77" s="62">
        <f t="shared" si="92"/>
        <v>344.26747505795851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24.35639940700932</v>
      </c>
      <c r="BQ77" s="23">
        <f>EXP(-LN(2)/25)*BQ76+(1-EXP(-LN(2)/25))/(LN(2)/25)*Calculateur!BL77*Calculateur!BN77*VLOOKUP('Données projet'!$B$11,Paramètres!$A$1:$I$89,3,0)*0.475*44/12</f>
        <v>4.1791543923281109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28.535553799337432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8.6697000000000006</v>
      </c>
      <c r="D78" s="12">
        <f t="shared" si="86"/>
        <v>3.107223271479866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11.818245809274531</v>
      </c>
      <c r="H78" s="70">
        <f t="shared" si="56"/>
        <v>277.17814136449414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182.84082525184493</v>
      </c>
      <c r="T78" s="62">
        <f t="shared" si="88"/>
        <v>430.83336115516937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1.1368683772161603E-13</v>
      </c>
      <c r="AJ78" s="14">
        <f>AI78*VLOOKUP('Données projet'!$B$10,Paramètres!$A$1:$I$89,3,0)*VLOOKUP('Données projet'!$B$10,Paramètres!$A$1:$I$89,5,0)</f>
        <v>6.7984728957526396E-14</v>
      </c>
      <c r="AK78" s="14">
        <f t="shared" si="89"/>
        <v>1.0682447123141398E-12</v>
      </c>
      <c r="AL78" s="22">
        <f t="shared" si="58"/>
        <v>1.978932943548152E-12</v>
      </c>
      <c r="AM78" s="62">
        <f t="shared" si="59"/>
        <v>293.3333333333353</v>
      </c>
      <c r="AN78" s="62">
        <f ca="1">AVERAGE(OFFSET($AM$3,0,0,'Données projet'!$E$10+1,1))-AVERAGE(OFFSET($H$3,0,0,'Données projet'!$E$10+1,1))</f>
        <v>182.84082525184493</v>
      </c>
      <c r="AO78" s="62">
        <f t="shared" si="90"/>
        <v>430.83336115516937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21.870308474291157</v>
      </c>
      <c r="AV78" s="23">
        <f>EXP(-LN(2)/25)*AV77+(1-EXP(-LN(2)/25))/(LN(2)/25)*Calculateur!AQ78*Calculateur!AS78*VLOOKUP('Données projet'!$B$10,Paramètres!$A$1:$I$89,3,0)*0.475*44/12</f>
        <v>12.620982792410809</v>
      </c>
      <c r="AW78" s="23">
        <f>EXP(-LN(2)/2)*AW77+(1-EXP(-LN(2)/2))/(LN(2)/2)*AQ78*AT78*VLOOKUP('Données projet'!$B$10,Paramètres!$A$1:$I$89,3,0)*0.475*44/12</f>
        <v>7.3449118682045322E-6</v>
      </c>
      <c r="AX78" s="23">
        <f t="shared" si="60"/>
        <v>34.491298611613836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>
        <f>BD78*VLOOKUP('Données projet'!$B$11,Paramètres!$A$1:$I$89,3,0)*VLOOKUP('Données projet'!$B$11,Paramètres!$A$1:$I$89,5,0)</f>
        <v>0</v>
      </c>
      <c r="BF78" s="14" t="e">
        <f t="shared" si="91"/>
        <v>#NUM!</v>
      </c>
      <c r="BG78" s="22" t="e">
        <f t="shared" si="61"/>
        <v>#NUM!</v>
      </c>
      <c r="BH78" s="62" t="e">
        <f t="shared" si="62"/>
        <v>#NUM!</v>
      </c>
      <c r="BI78" s="62">
        <f ca="1">AVERAGE(OFFSET($BH$3,0,0,'Données projet'!$E$11+1,1))-AVERAGE(OFFSET($H$3,0,0,'Données projet'!$E$11+1,1))</f>
        <v>74.52152468677042</v>
      </c>
      <c r="BJ78" s="62">
        <f t="shared" si="92"/>
        <v>344.26747505795851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23.878785270574603</v>
      </c>
      <c r="BQ78" s="23">
        <f>EXP(-LN(2)/25)*BQ77+(1-EXP(-LN(2)/25))/(LN(2)/25)*Calculateur!BL78*Calculateur!BN78*VLOOKUP('Données projet'!$B$11,Paramètres!$A$1:$I$89,3,0)*0.475*44/12</f>
        <v>4.0648751956977209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27.943660466272323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8.7852960000000007</v>
      </c>
      <c r="D79" s="12">
        <f t="shared" si="86"/>
        <v>3.1438022373334831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11.97095472237676</v>
      </c>
      <c r="H79" s="70">
        <f t="shared" si="56"/>
        <v>277.4431794300225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182.84082525184493</v>
      </c>
      <c r="T79" s="62">
        <f t="shared" si="88"/>
        <v>430.83336115516937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1.1368683772161603E-13</v>
      </c>
      <c r="AJ79" s="14">
        <f>AI79*VLOOKUP('Données projet'!$B$10,Paramètres!$A$1:$I$89,3,0)*VLOOKUP('Données projet'!$B$10,Paramètres!$A$1:$I$89,5,0)</f>
        <v>6.7984728957526396E-14</v>
      </c>
      <c r="AK79" s="14">
        <f t="shared" si="89"/>
        <v>1.0682447123141398E-12</v>
      </c>
      <c r="AL79" s="22">
        <f t="shared" si="58"/>
        <v>1.978932943548152E-12</v>
      </c>
      <c r="AM79" s="62">
        <f t="shared" si="59"/>
        <v>293.3333333333353</v>
      </c>
      <c r="AN79" s="62">
        <f ca="1">AVERAGE(OFFSET($AM$3,0,0,'Données projet'!$E$10+1,1))-AVERAGE(OFFSET($H$3,0,0,'Données projet'!$E$10+1,1))</f>
        <v>182.84082525184493</v>
      </c>
      <c r="AO79" s="62">
        <f t="shared" si="90"/>
        <v>430.83336115516937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21.441445064681304</v>
      </c>
      <c r="AV79" s="23">
        <f>EXP(-LN(2)/25)*AV78+(1-EXP(-LN(2)/25))/(LN(2)/25)*Calculateur!AQ79*Calculateur!AS79*VLOOKUP('Données projet'!$B$10,Paramètres!$A$1:$I$89,3,0)*0.475*44/12</f>
        <v>12.275861354243697</v>
      </c>
      <c r="AW79" s="23">
        <f>EXP(-LN(2)/2)*AW78+(1-EXP(-LN(2)/2))/(LN(2)/2)*AQ79*AT79*VLOOKUP('Données projet'!$B$10,Paramètres!$A$1:$I$89,3,0)*0.475*44/12</f>
        <v>5.1936369892249787E-6</v>
      </c>
      <c r="AX79" s="23">
        <f t="shared" si="60"/>
        <v>33.717311612561986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>
        <f>BD79*VLOOKUP('Données projet'!$B$11,Paramètres!$A$1:$I$89,3,0)*VLOOKUP('Données projet'!$B$11,Paramètres!$A$1:$I$89,5,0)</f>
        <v>0</v>
      </c>
      <c r="BF79" s="14" t="e">
        <f t="shared" si="91"/>
        <v>#NUM!</v>
      </c>
      <c r="BG79" s="22" t="e">
        <f t="shared" si="61"/>
        <v>#NUM!</v>
      </c>
      <c r="BH79" s="62" t="e">
        <f t="shared" si="62"/>
        <v>#NUM!</v>
      </c>
      <c r="BI79" s="62">
        <f ca="1">AVERAGE(OFFSET($BH$3,0,0,'Données projet'!$E$11+1,1))-AVERAGE(OFFSET($H$3,0,0,'Données projet'!$E$11+1,1))</f>
        <v>74.52152468677042</v>
      </c>
      <c r="BJ79" s="62">
        <f t="shared" si="92"/>
        <v>344.26747505795851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23.410536856039514</v>
      </c>
      <c r="BQ79" s="23">
        <f>EXP(-LN(2)/25)*BQ78+(1-EXP(-LN(2)/25))/(LN(2)/25)*Calculateur!BL79*Calculateur!BN79*VLOOKUP('Données projet'!$B$11,Paramètres!$A$1:$I$89,3,0)*0.475*44/12</f>
        <v>3.9537209697088707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27.364257825748385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8.9008920000000007</v>
      </c>
      <c r="D80" s="12">
        <f t="shared" si="86"/>
        <v>3.1803252207852979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12.123607456647704</v>
      </c>
      <c r="H80" s="70">
        <f t="shared" si="56"/>
        <v>277.70811999286775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182.84082525184493</v>
      </c>
      <c r="T80" s="62">
        <f t="shared" si="88"/>
        <v>430.83336115516937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1.1368683772161603E-13</v>
      </c>
      <c r="AJ80" s="14">
        <f>AI80*VLOOKUP('Données projet'!$B$10,Paramètres!$A$1:$I$89,3,0)*VLOOKUP('Données projet'!$B$10,Paramètres!$A$1:$I$89,5,0)</f>
        <v>6.7984728957526396E-14</v>
      </c>
      <c r="AK80" s="14">
        <f t="shared" si="89"/>
        <v>1.0682447123141398E-12</v>
      </c>
      <c r="AL80" s="22">
        <f t="shared" si="58"/>
        <v>1.978932943548152E-12</v>
      </c>
      <c r="AM80" s="62">
        <f t="shared" si="59"/>
        <v>293.3333333333353</v>
      </c>
      <c r="AN80" s="62">
        <f ca="1">AVERAGE(OFFSET($AM$3,0,0,'Données projet'!$E$10+1,1))-AVERAGE(OFFSET($H$3,0,0,'Données projet'!$E$10+1,1))</f>
        <v>182.84082525184493</v>
      </c>
      <c r="AO80" s="62">
        <f t="shared" si="90"/>
        <v>430.83336115516937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21.020991404953048</v>
      </c>
      <c r="AV80" s="23">
        <f>EXP(-LN(2)/25)*AV79+(1-EXP(-LN(2)/25))/(LN(2)/25)*Calculateur!AQ80*Calculateur!AS80*VLOOKUP('Données projet'!$B$10,Paramètres!$A$1:$I$89,3,0)*0.475*44/12</f>
        <v>11.940177279952412</v>
      </c>
      <c r="AW80" s="23">
        <f>EXP(-LN(2)/2)*AW79+(1-EXP(-LN(2)/2))/(LN(2)/2)*AQ80*AT80*VLOOKUP('Données projet'!$B$10,Paramètres!$A$1:$I$89,3,0)*0.475*44/12</f>
        <v>3.6724559341022665E-6</v>
      </c>
      <c r="AX80" s="23">
        <f t="shared" si="60"/>
        <v>32.961172357361392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>
        <f>BD80*VLOOKUP('Données projet'!$B$11,Paramètres!$A$1:$I$89,3,0)*VLOOKUP('Données projet'!$B$11,Paramètres!$A$1:$I$89,5,0)</f>
        <v>0</v>
      </c>
      <c r="BF80" s="14" t="e">
        <f t="shared" si="91"/>
        <v>#NUM!</v>
      </c>
      <c r="BG80" s="22" t="e">
        <f t="shared" si="61"/>
        <v>#NUM!</v>
      </c>
      <c r="BH80" s="62" t="e">
        <f t="shared" si="62"/>
        <v>#NUM!</v>
      </c>
      <c r="BI80" s="62">
        <f ca="1">AVERAGE(OFFSET($BH$3,0,0,'Données projet'!$E$11+1,1))-AVERAGE(OFFSET($H$3,0,0,'Données projet'!$E$11+1,1))</f>
        <v>74.52152468677042</v>
      </c>
      <c r="BJ80" s="62">
        <f t="shared" si="92"/>
        <v>344.26747505795851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22.951470507310123</v>
      </c>
      <c r="BQ80" s="23">
        <f>EXP(-LN(2)/25)*BQ79+(1-EXP(-LN(2)/25))/(LN(2)/25)*Calculateur!BL80*Calculateur!BN80*VLOOKUP('Données projet'!$B$11,Paramètres!$A$1:$I$89,3,0)*0.475*44/12</f>
        <v>3.845606261875032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26.797076769185153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9.0164880000000007</v>
      </c>
      <c r="D81" s="12">
        <f t="shared" si="86"/>
        <v>3.2167930329401142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12.276204826038152</v>
      </c>
      <c r="H81" s="70">
        <f t="shared" si="56"/>
        <v>277.97296446570408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182.84082525184493</v>
      </c>
      <c r="T81" s="62">
        <f t="shared" si="88"/>
        <v>430.83336115516937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1.1368683772161603E-13</v>
      </c>
      <c r="AJ81" s="14">
        <f>AI81*VLOOKUP('Données projet'!$B$10,Paramètres!$A$1:$I$89,3,0)*VLOOKUP('Données projet'!$B$10,Paramètres!$A$1:$I$89,5,0)</f>
        <v>6.7984728957526396E-14</v>
      </c>
      <c r="AK81" s="14">
        <f t="shared" si="89"/>
        <v>1.0682447123141398E-12</v>
      </c>
      <c r="AL81" s="22">
        <f t="shared" si="58"/>
        <v>1.978932943548152E-12</v>
      </c>
      <c r="AM81" s="62">
        <f t="shared" si="59"/>
        <v>293.3333333333353</v>
      </c>
      <c r="AN81" s="62">
        <f ca="1">AVERAGE(OFFSET($AM$3,0,0,'Données projet'!$E$10+1,1))-AVERAGE(OFFSET($H$3,0,0,'Données projet'!$E$10+1,1))</f>
        <v>182.84082525184493</v>
      </c>
      <c r="AO81" s="62">
        <f t="shared" si="90"/>
        <v>430.83336115516937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20.608782585040654</v>
      </c>
      <c r="AV81" s="23">
        <f>EXP(-LN(2)/25)*AV80+(1-EXP(-LN(2)/25))/(LN(2)/25)*Calculateur!AQ81*Calculateur!AS81*VLOOKUP('Données projet'!$B$10,Paramètres!$A$1:$I$89,3,0)*0.475*44/12</f>
        <v>11.61367250432548</v>
      </c>
      <c r="AW81" s="23">
        <f>EXP(-LN(2)/2)*AW80+(1-EXP(-LN(2)/2))/(LN(2)/2)*AQ81*AT81*VLOOKUP('Données projet'!$B$10,Paramètres!$A$1:$I$89,3,0)*0.475*44/12</f>
        <v>2.5968184946124898E-6</v>
      </c>
      <c r="AX81" s="23">
        <f t="shared" si="60"/>
        <v>32.222457686184633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>
        <f>BD81*VLOOKUP('Données projet'!$B$11,Paramètres!$A$1:$I$89,3,0)*VLOOKUP('Données projet'!$B$11,Paramètres!$A$1:$I$89,5,0)</f>
        <v>0</v>
      </c>
      <c r="BF81" s="14" t="e">
        <f t="shared" si="91"/>
        <v>#NUM!</v>
      </c>
      <c r="BG81" s="22" t="e">
        <f t="shared" si="61"/>
        <v>#NUM!</v>
      </c>
      <c r="BH81" s="62" t="e">
        <f t="shared" si="62"/>
        <v>#NUM!</v>
      </c>
      <c r="BI81" s="62">
        <f ca="1">AVERAGE(OFFSET($BH$3,0,0,'Données projet'!$E$11+1,1))-AVERAGE(OFFSET($H$3,0,0,'Données projet'!$E$11+1,1))</f>
        <v>74.52152468677042</v>
      </c>
      <c r="BJ81" s="62">
        <f t="shared" si="92"/>
        <v>344.26747505795851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22.501406169676493</v>
      </c>
      <c r="BQ81" s="23">
        <f>EXP(-LN(2)/25)*BQ80+(1-EXP(-LN(2)/25))/(LN(2)/25)*Calculateur!BL81*Calculateur!BN81*VLOOKUP('Données projet'!$B$11,Paramètres!$A$1:$I$89,3,0)*0.475*44/12</f>
        <v>3.7404479564124151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26.241854126088906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9.1320840000000008</v>
      </c>
      <c r="D82" s="12">
        <f t="shared" si="86"/>
        <v>3.2532064629093727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12.428747622428356</v>
      </c>
      <c r="H82" s="70">
        <f t="shared" si="56"/>
        <v>278.23771422290054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182.84082525184493</v>
      </c>
      <c r="T82" s="62">
        <f t="shared" si="88"/>
        <v>430.83336115516937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1.1368683772161603E-13</v>
      </c>
      <c r="AJ82" s="14">
        <f>AI82*VLOOKUP('Données projet'!$B$10,Paramètres!$A$1:$I$89,3,0)*VLOOKUP('Données projet'!$B$10,Paramètres!$A$1:$I$89,5,0)</f>
        <v>6.7984728957526396E-14</v>
      </c>
      <c r="AK82" s="14">
        <f t="shared" si="89"/>
        <v>1.0682447123141398E-12</v>
      </c>
      <c r="AL82" s="22">
        <f t="shared" si="58"/>
        <v>1.978932943548152E-12</v>
      </c>
      <c r="AM82" s="62">
        <f t="shared" si="59"/>
        <v>293.3333333333353</v>
      </c>
      <c r="AN82" s="62">
        <f ca="1">AVERAGE(OFFSET($AM$3,0,0,'Données projet'!$E$10+1,1))-AVERAGE(OFFSET($H$3,0,0,'Données projet'!$E$10+1,1))</f>
        <v>182.84082525184493</v>
      </c>
      <c r="AO82" s="62">
        <f t="shared" si="90"/>
        <v>430.83336115516937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20.204656928664189</v>
      </c>
      <c r="AV82" s="23">
        <f>EXP(-LN(2)/25)*AV81+(1-EXP(-LN(2)/25))/(LN(2)/25)*Calculateur!AQ82*Calculateur!AS82*VLOOKUP('Données projet'!$B$10,Paramètres!$A$1:$I$89,3,0)*0.475*44/12</f>
        <v>11.296096018958206</v>
      </c>
      <c r="AW82" s="23">
        <f>EXP(-LN(2)/2)*AW81+(1-EXP(-LN(2)/2))/(LN(2)/2)*AQ82*AT82*VLOOKUP('Données projet'!$B$10,Paramètres!$A$1:$I$89,3,0)*0.475*44/12</f>
        <v>1.8362279670511337E-6</v>
      </c>
      <c r="AX82" s="23">
        <f t="shared" si="60"/>
        <v>31.500754783850361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>
        <f>BD82*VLOOKUP('Données projet'!$B$11,Paramètres!$A$1:$I$89,3,0)*VLOOKUP('Données projet'!$B$11,Paramètres!$A$1:$I$89,5,0)</f>
        <v>0</v>
      </c>
      <c r="BF82" s="14" t="e">
        <f t="shared" si="91"/>
        <v>#NUM!</v>
      </c>
      <c r="BG82" s="22" t="e">
        <f t="shared" si="61"/>
        <v>#NUM!</v>
      </c>
      <c r="BH82" s="62" t="e">
        <f t="shared" si="62"/>
        <v>#NUM!</v>
      </c>
      <c r="BI82" s="62">
        <f ca="1">AVERAGE(OFFSET($BH$3,0,0,'Données projet'!$E$11+1,1))-AVERAGE(OFFSET($H$3,0,0,'Données projet'!$E$11+1,1))</f>
        <v>74.52152468677042</v>
      </c>
      <c r="BJ82" s="62">
        <f t="shared" si="92"/>
        <v>344.26747505795851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22.060167319191716</v>
      </c>
      <c r="BQ82" s="23">
        <f>EXP(-LN(2)/25)*BQ81+(1-EXP(-LN(2)/25))/(LN(2)/25)*Calculateur!BL82*Calculateur!BN82*VLOOKUP('Données projet'!$B$11,Paramètres!$A$1:$I$89,3,0)*0.475*44/12</f>
        <v>3.6381652103427085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25.698332529534426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9.2476800000000008</v>
      </c>
      <c r="D83" s="12">
        <f t="shared" si="86"/>
        <v>3.2895662786782083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12.581236616498133</v>
      </c>
      <c r="H83" s="70">
        <f t="shared" si="56"/>
        <v>278.50237060203125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182.84082525184493</v>
      </c>
      <c r="T83" s="62">
        <f t="shared" si="88"/>
        <v>430.83336115516937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1.1368683772161603E-13</v>
      </c>
      <c r="AJ83" s="14">
        <f>AI83*VLOOKUP('Données projet'!$B$10,Paramètres!$A$1:$I$89,3,0)*VLOOKUP('Données projet'!$B$10,Paramètres!$A$1:$I$89,5,0)</f>
        <v>6.7984728957526396E-14</v>
      </c>
      <c r="AK83" s="14">
        <f t="shared" si="89"/>
        <v>1.0682447123141398E-12</v>
      </c>
      <c r="AL83" s="22">
        <f t="shared" si="58"/>
        <v>1.978932943548152E-12</v>
      </c>
      <c r="AM83" s="62">
        <f t="shared" si="59"/>
        <v>293.3333333333353</v>
      </c>
      <c r="AN83" s="62">
        <f ca="1">AVERAGE(OFFSET($AM$3,0,0,'Données projet'!$E$10+1,1))-AVERAGE(OFFSET($H$3,0,0,'Données projet'!$E$10+1,1))</f>
        <v>182.84082525184493</v>
      </c>
      <c r="AO83" s="62">
        <f t="shared" si="90"/>
        <v>430.83336115516937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19.808455929916953</v>
      </c>
      <c r="AV83" s="23">
        <f>EXP(-LN(2)/25)*AV82+(1-EXP(-LN(2)/25))/(LN(2)/25)*Calculateur!AQ83*Calculateur!AS83*VLOOKUP('Données projet'!$B$10,Paramètres!$A$1:$I$89,3,0)*0.475*44/12</f>
        <v>10.987203679283922</v>
      </c>
      <c r="AW83" s="23">
        <f>EXP(-LN(2)/2)*AW82+(1-EXP(-LN(2)/2))/(LN(2)/2)*AQ83*AT83*VLOOKUP('Données projet'!$B$10,Paramètres!$A$1:$I$89,3,0)*0.475*44/12</f>
        <v>1.2984092473062451E-6</v>
      </c>
      <c r="AX83" s="23">
        <f t="shared" si="60"/>
        <v>30.795660907610124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>
        <f>BD83*VLOOKUP('Données projet'!$B$11,Paramètres!$A$1:$I$89,3,0)*VLOOKUP('Données projet'!$B$11,Paramètres!$A$1:$I$89,5,0)</f>
        <v>0</v>
      </c>
      <c r="BF83" s="14" t="e">
        <f t="shared" si="91"/>
        <v>#NUM!</v>
      </c>
      <c r="BG83" s="22" t="e">
        <f t="shared" si="61"/>
        <v>#NUM!</v>
      </c>
      <c r="BH83" s="62" t="e">
        <f t="shared" si="62"/>
        <v>#NUM!</v>
      </c>
      <c r="BI83" s="62">
        <f ca="1">AVERAGE(OFFSET($BH$3,0,0,'Données projet'!$E$11+1,1))-AVERAGE(OFFSET($H$3,0,0,'Données projet'!$E$11+1,1))</f>
        <v>74.52152468677042</v>
      </c>
      <c r="BJ83" s="62">
        <f t="shared" si="92"/>
        <v>344.26747505795851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21.627580893435823</v>
      </c>
      <c r="BQ83" s="23">
        <f>EXP(-LN(2)/25)*BQ82+(1-EXP(-LN(2)/25))/(LN(2)/25)*Calculateur!BL83*Calculateur!BN83*VLOOKUP('Données projet'!$B$11,Paramètres!$A$1:$I$89,3,0)*0.475*44/12</f>
        <v>3.5386793913430936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25.166260284778918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9.3632760000000008</v>
      </c>
      <c r="D84" s="12">
        <f t="shared" si="86"/>
        <v>3.3258732279279055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12.733672558552216</v>
      </c>
      <c r="H84" s="70">
        <f t="shared" si="56"/>
        <v>278.76693490530778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182.84082525184493</v>
      </c>
      <c r="T84" s="62">
        <f t="shared" si="88"/>
        <v>430.83336115516937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1.1368683772161603E-13</v>
      </c>
      <c r="AJ84" s="14">
        <f>AI84*VLOOKUP('Données projet'!$B$10,Paramètres!$A$1:$I$89,3,0)*VLOOKUP('Données projet'!$B$10,Paramètres!$A$1:$I$89,5,0)</f>
        <v>6.7984728957526396E-14</v>
      </c>
      <c r="AK84" s="14">
        <f t="shared" si="89"/>
        <v>1.0682447123141398E-12</v>
      </c>
      <c r="AL84" s="22">
        <f t="shared" si="58"/>
        <v>1.978932943548152E-12</v>
      </c>
      <c r="AM84" s="62">
        <f t="shared" si="59"/>
        <v>293.3333333333353</v>
      </c>
      <c r="AN84" s="62">
        <f ca="1">AVERAGE(OFFSET($AM$3,0,0,'Données projet'!$E$10+1,1))-AVERAGE(OFFSET($H$3,0,0,'Données projet'!$E$10+1,1))</f>
        <v>182.84082525184493</v>
      </c>
      <c r="AO84" s="62">
        <f t="shared" si="90"/>
        <v>430.83336115516937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19.420024191096402</v>
      </c>
      <c r="AV84" s="23">
        <f>EXP(-LN(2)/25)*AV83+(1-EXP(-LN(2)/25))/(LN(2)/25)*Calculateur!AQ84*Calculateur!AS84*VLOOKUP('Données projet'!$B$10,Paramètres!$A$1:$I$89,3,0)*0.475*44/12</f>
        <v>10.686758016881974</v>
      </c>
      <c r="AW84" s="23">
        <f>EXP(-LN(2)/2)*AW83+(1-EXP(-LN(2)/2))/(LN(2)/2)*AQ84*AT84*VLOOKUP('Données projet'!$B$10,Paramètres!$A$1:$I$89,3,0)*0.475*44/12</f>
        <v>9.1811398352556695E-7</v>
      </c>
      <c r="AX84" s="23">
        <f t="shared" si="60"/>
        <v>30.10678312609236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>
        <f>BD84*VLOOKUP('Données projet'!$B$11,Paramètres!$A$1:$I$89,3,0)*VLOOKUP('Données projet'!$B$11,Paramètres!$A$1:$I$89,5,0)</f>
        <v>0</v>
      </c>
      <c r="BF84" s="14" t="e">
        <f t="shared" si="91"/>
        <v>#NUM!</v>
      </c>
      <c r="BG84" s="22" t="e">
        <f t="shared" si="61"/>
        <v>#NUM!</v>
      </c>
      <c r="BH84" s="62" t="e">
        <f t="shared" si="62"/>
        <v>#NUM!</v>
      </c>
      <c r="BI84" s="62">
        <f ca="1">AVERAGE(OFFSET($BH$3,0,0,'Données projet'!$E$11+1,1))-AVERAGE(OFFSET($H$3,0,0,'Données projet'!$E$11+1,1))</f>
        <v>74.52152468677042</v>
      </c>
      <c r="BJ84" s="62">
        <f t="shared" si="92"/>
        <v>344.26747505795851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21.203477223637336</v>
      </c>
      <c r="BQ84" s="23">
        <f>EXP(-LN(2)/25)*BQ83+(1-EXP(-LN(2)/25))/(LN(2)/25)*Calculateur!BL84*Calculateur!BN84*VLOOKUP('Données projet'!$B$11,Paramètres!$A$1:$I$89,3,0)*0.475*44/12</f>
        <v>3.4419140172957552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24.64539124093309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9.4788720000000009</v>
      </c>
      <c r="D85" s="12">
        <f t="shared" si="86"/>
        <v>3.3621280388165933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12.886056179303671</v>
      </c>
      <c r="H85" s="70">
        <f t="shared" si="56"/>
        <v>279.03140840093891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182.84082525184493</v>
      </c>
      <c r="T85" s="62">
        <f t="shared" si="88"/>
        <v>430.83336115516937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1.1368683772161603E-13</v>
      </c>
      <c r="AJ85" s="14">
        <f>AI85*VLOOKUP('Données projet'!$B$10,Paramètres!$A$1:$I$89,3,0)*VLOOKUP('Données projet'!$B$10,Paramètres!$A$1:$I$89,5,0)</f>
        <v>6.7984728957526396E-14</v>
      </c>
      <c r="AK85" s="14">
        <f t="shared" si="89"/>
        <v>1.0682447123141398E-12</v>
      </c>
      <c r="AL85" s="22">
        <f t="shared" si="58"/>
        <v>1.978932943548152E-12</v>
      </c>
      <c r="AM85" s="62">
        <f t="shared" si="59"/>
        <v>293.3333333333353</v>
      </c>
      <c r="AN85" s="62">
        <f ca="1">AVERAGE(OFFSET($AM$3,0,0,'Données projet'!$E$10+1,1))-AVERAGE(OFFSET($H$3,0,0,'Données projet'!$E$10+1,1))</f>
        <v>182.84082525184493</v>
      </c>
      <c r="AO85" s="62">
        <f t="shared" si="90"/>
        <v>430.83336115516937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19.039209361754157</v>
      </c>
      <c r="AV85" s="23">
        <f>EXP(-LN(2)/25)*AV84+(1-EXP(-LN(2)/25))/(LN(2)/25)*Calculateur!AQ85*Calculateur!AS85*VLOOKUP('Données projet'!$B$10,Paramètres!$A$1:$I$89,3,0)*0.475*44/12</f>
        <v>10.394528056918157</v>
      </c>
      <c r="AW85" s="23">
        <f>EXP(-LN(2)/2)*AW84+(1-EXP(-LN(2)/2))/(LN(2)/2)*AQ85*AT85*VLOOKUP('Données projet'!$B$10,Paramètres!$A$1:$I$89,3,0)*0.475*44/12</f>
        <v>6.4920462365312265E-7</v>
      </c>
      <c r="AX85" s="23">
        <f t="shared" si="60"/>
        <v>29.433738067876938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>
        <f>BD85*VLOOKUP('Données projet'!$B$11,Paramètres!$A$1:$I$89,3,0)*VLOOKUP('Données projet'!$B$11,Paramètres!$A$1:$I$89,5,0)</f>
        <v>0</v>
      </c>
      <c r="BF85" s="14" t="e">
        <f t="shared" si="91"/>
        <v>#NUM!</v>
      </c>
      <c r="BG85" s="22" t="e">
        <f t="shared" si="61"/>
        <v>#NUM!</v>
      </c>
      <c r="BH85" s="62" t="e">
        <f t="shared" si="62"/>
        <v>#NUM!</v>
      </c>
      <c r="BI85" s="62">
        <f ca="1">AVERAGE(OFFSET($BH$3,0,0,'Données projet'!$E$11+1,1))-AVERAGE(OFFSET($H$3,0,0,'Données projet'!$E$11+1,1))</f>
        <v>74.52152468677042</v>
      </c>
      <c r="BJ85" s="62">
        <f t="shared" si="92"/>
        <v>344.26747505795851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20.787689968125903</v>
      </c>
      <c r="BQ85" s="23">
        <f>EXP(-LN(2)/25)*BQ84+(1-EXP(-LN(2)/25))/(LN(2)/25)*Calculateur!BL85*Calculateur!BN85*VLOOKUP('Données projet'!$B$11,Paramètres!$A$1:$I$89,3,0)*0.475*44/12</f>
        <v>3.3477946974904111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24.135484665616314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9.5944680000000009</v>
      </c>
      <c r="D86" s="12">
        <f t="shared" si="86"/>
        <v>3.3983314207207638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13.038388190618031</v>
      </c>
      <c r="H86" s="70">
        <f t="shared" si="56"/>
        <v>279.295792324422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182.84082525184493</v>
      </c>
      <c r="T86" s="62">
        <f t="shared" si="88"/>
        <v>430.83336115516937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1.1368683772161603E-13</v>
      </c>
      <c r="AJ86" s="14">
        <f>AI86*VLOOKUP('Données projet'!$B$10,Paramètres!$A$1:$I$89,3,0)*VLOOKUP('Données projet'!$B$10,Paramètres!$A$1:$I$89,5,0)</f>
        <v>6.7984728957526396E-14</v>
      </c>
      <c r="AK86" s="14">
        <f t="shared" si="89"/>
        <v>1.0682447123141398E-12</v>
      </c>
      <c r="AL86" s="22">
        <f t="shared" si="58"/>
        <v>1.978932943548152E-12</v>
      </c>
      <c r="AM86" s="62">
        <f t="shared" si="59"/>
        <v>293.3333333333353</v>
      </c>
      <c r="AN86" s="62">
        <f ca="1">AVERAGE(OFFSET($AM$3,0,0,'Données projet'!$E$10+1,1))-AVERAGE(OFFSET($H$3,0,0,'Données projet'!$E$10+1,1))</f>
        <v>182.84082525184493</v>
      </c>
      <c r="AO86" s="62">
        <f t="shared" si="90"/>
        <v>430.83336115516937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18.665862078941203</v>
      </c>
      <c r="AV86" s="23">
        <f>EXP(-LN(2)/25)*AV85+(1-EXP(-LN(2)/25))/(LN(2)/25)*Calculateur!AQ86*Calculateur!AS86*VLOOKUP('Données projet'!$B$10,Paramètres!$A$1:$I$89,3,0)*0.475*44/12</f>
        <v>10.110289140577256</v>
      </c>
      <c r="AW86" s="23">
        <f>EXP(-LN(2)/2)*AW85+(1-EXP(-LN(2)/2))/(LN(2)/2)*AQ86*AT86*VLOOKUP('Données projet'!$B$10,Paramètres!$A$1:$I$89,3,0)*0.475*44/12</f>
        <v>4.5905699176278358E-7</v>
      </c>
      <c r="AX86" s="23">
        <f t="shared" si="60"/>
        <v>28.776151678575452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>
        <f>BD86*VLOOKUP('Données projet'!$B$11,Paramètres!$A$1:$I$89,3,0)*VLOOKUP('Données projet'!$B$11,Paramètres!$A$1:$I$89,5,0)</f>
        <v>0</v>
      </c>
      <c r="BF86" s="14" t="e">
        <f t="shared" si="91"/>
        <v>#NUM!</v>
      </c>
      <c r="BG86" s="22" t="e">
        <f t="shared" si="61"/>
        <v>#NUM!</v>
      </c>
      <c r="BH86" s="62" t="e">
        <f t="shared" si="62"/>
        <v>#NUM!</v>
      </c>
      <c r="BI86" s="62">
        <f ca="1">AVERAGE(OFFSET($BH$3,0,0,'Données projet'!$E$11+1,1))-AVERAGE(OFFSET($H$3,0,0,'Données projet'!$E$11+1,1))</f>
        <v>74.52152468677042</v>
      </c>
      <c r="BJ86" s="62">
        <f t="shared" si="92"/>
        <v>344.26747505795851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20.380056047089862</v>
      </c>
      <c r="BQ86" s="23">
        <f>EXP(-LN(2)/25)*BQ85+(1-EXP(-LN(2)/25))/(LN(2)/25)*Calculateur!BL86*Calculateur!BN86*VLOOKUP('Données projet'!$B$11,Paramètres!$A$1:$I$89,3,0)*0.475*44/12</f>
        <v>3.2562490754346642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23.636305122524526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9.7100640000000009</v>
      </c>
      <c r="D87" s="12">
        <f t="shared" si="86"/>
        <v>3.4344840649400368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13.190669286220531</v>
      </c>
      <c r="H87" s="70">
        <f t="shared" si="56"/>
        <v>279.56008787977061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182.84082525184493</v>
      </c>
      <c r="T87" s="62">
        <f t="shared" si="88"/>
        <v>430.83336115516937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1.1368683772161603E-13</v>
      </c>
      <c r="AJ87" s="14">
        <f>AI87*VLOOKUP('Données projet'!$B$10,Paramètres!$A$1:$I$89,3,0)*VLOOKUP('Données projet'!$B$10,Paramètres!$A$1:$I$89,5,0)</f>
        <v>6.7984728957526396E-14</v>
      </c>
      <c r="AK87" s="14">
        <f t="shared" si="89"/>
        <v>1.0682447123141398E-12</v>
      </c>
      <c r="AL87" s="22">
        <f t="shared" si="58"/>
        <v>1.978932943548152E-12</v>
      </c>
      <c r="AM87" s="62">
        <f t="shared" si="59"/>
        <v>293.3333333333353</v>
      </c>
      <c r="AN87" s="62">
        <f ca="1">AVERAGE(OFFSET($AM$3,0,0,'Données projet'!$E$10+1,1))-AVERAGE(OFFSET($H$3,0,0,'Données projet'!$E$10+1,1))</f>
        <v>182.84082525184493</v>
      </c>
      <c r="AO87" s="62">
        <f t="shared" si="90"/>
        <v>430.83336115516937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18.299835908624853</v>
      </c>
      <c r="AV87" s="23">
        <f>EXP(-LN(2)/25)*AV86+(1-EXP(-LN(2)/25))/(LN(2)/25)*Calculateur!AQ87*Calculateur!AS87*VLOOKUP('Données projet'!$B$10,Paramètres!$A$1:$I$89,3,0)*0.475*44/12</f>
        <v>9.833822752351173</v>
      </c>
      <c r="AW87" s="23">
        <f>EXP(-LN(2)/2)*AW86+(1-EXP(-LN(2)/2))/(LN(2)/2)*AQ87*AT87*VLOOKUP('Données projet'!$B$10,Paramètres!$A$1:$I$89,3,0)*0.475*44/12</f>
        <v>3.2460231182656138E-7</v>
      </c>
      <c r="AX87" s="23">
        <f t="shared" si="60"/>
        <v>28.133658985578336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>
        <f>BD87*VLOOKUP('Données projet'!$B$11,Paramètres!$A$1:$I$89,3,0)*VLOOKUP('Données projet'!$B$11,Paramètres!$A$1:$I$89,5,0)</f>
        <v>0</v>
      </c>
      <c r="BF87" s="14" t="e">
        <f t="shared" si="91"/>
        <v>#NUM!</v>
      </c>
      <c r="BG87" s="22" t="e">
        <f t="shared" si="61"/>
        <v>#NUM!</v>
      </c>
      <c r="BH87" s="62" t="e">
        <f t="shared" si="62"/>
        <v>#NUM!</v>
      </c>
      <c r="BI87" s="62">
        <f ca="1">AVERAGE(OFFSET($BH$3,0,0,'Données projet'!$E$11+1,1))-AVERAGE(OFFSET($H$3,0,0,'Données projet'!$E$11+1,1))</f>
        <v>74.52152468677042</v>
      </c>
      <c r="BJ87" s="62">
        <f t="shared" si="92"/>
        <v>344.26747505795851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19.980415578613197</v>
      </c>
      <c r="BQ87" s="23">
        <f>EXP(-LN(2)/25)*BQ86+(1-EXP(-LN(2)/25))/(LN(2)/25)*Calculateur!BL87*Calculateur!BN87*VLOOKUP('Données projet'!$B$11,Paramètres!$A$1:$I$89,3,0)*0.475*44/12</f>
        <v>3.1672067732282065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23.147622351841402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9.8256600000000009</v>
      </c>
      <c r="D88" s="12">
        <f t="shared" si="86"/>
        <v>3.4705866453674141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13.342900142368705</v>
      </c>
      <c r="H88" s="70">
        <f t="shared" si="56"/>
        <v>279.82429624068158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182.84082525184493</v>
      </c>
      <c r="T88" s="62">
        <f t="shared" si="88"/>
        <v>430.83336115516937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1.1368683772161603E-13</v>
      </c>
      <c r="AJ88" s="14">
        <f>AI88*VLOOKUP('Données projet'!$B$10,Paramètres!$A$1:$I$89,3,0)*VLOOKUP('Données projet'!$B$10,Paramètres!$A$1:$I$89,5,0)</f>
        <v>6.7984728957526396E-14</v>
      </c>
      <c r="AK88" s="14">
        <f t="shared" si="89"/>
        <v>1.0682447123141398E-12</v>
      </c>
      <c r="AL88" s="22">
        <f t="shared" si="58"/>
        <v>1.978932943548152E-12</v>
      </c>
      <c r="AM88" s="62">
        <f t="shared" si="59"/>
        <v>293.3333333333353</v>
      </c>
      <c r="AN88" s="62">
        <f ca="1">AVERAGE(OFFSET($AM$3,0,0,'Données projet'!$E$10+1,1))-AVERAGE(OFFSET($H$3,0,0,'Données projet'!$E$10+1,1))</f>
        <v>182.84082525184493</v>
      </c>
      <c r="AO88" s="62">
        <f t="shared" si="90"/>
        <v>430.83336115516937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17.940987288254487</v>
      </c>
      <c r="AV88" s="23">
        <f>EXP(-LN(2)/25)*AV87+(1-EXP(-LN(2)/25))/(LN(2)/25)*Calculateur!AQ88*Calculateur!AS88*VLOOKUP('Données projet'!$B$10,Paramètres!$A$1:$I$89,3,0)*0.475*44/12</f>
        <v>9.5649163520498668</v>
      </c>
      <c r="AW88" s="23">
        <f>EXP(-LN(2)/2)*AW87+(1-EXP(-LN(2)/2))/(LN(2)/2)*AQ88*AT88*VLOOKUP('Données projet'!$B$10,Paramètres!$A$1:$I$89,3,0)*0.475*44/12</f>
        <v>2.2952849588139182E-7</v>
      </c>
      <c r="AX88" s="23">
        <f t="shared" si="60"/>
        <v>27.505903869832849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>
        <f>BD88*VLOOKUP('Données projet'!$B$11,Paramètres!$A$1:$I$89,3,0)*VLOOKUP('Données projet'!$B$11,Paramètres!$A$1:$I$89,5,0)</f>
        <v>0</v>
      </c>
      <c r="BF88" s="14" t="e">
        <f t="shared" si="91"/>
        <v>#NUM!</v>
      </c>
      <c r="BG88" s="22" t="e">
        <f t="shared" si="61"/>
        <v>#NUM!</v>
      </c>
      <c r="BH88" s="62" t="e">
        <f t="shared" si="62"/>
        <v>#NUM!</v>
      </c>
      <c r="BI88" s="62">
        <f ca="1">AVERAGE(OFFSET($BH$3,0,0,'Données projet'!$E$11+1,1))-AVERAGE(OFFSET($H$3,0,0,'Données projet'!$E$11+1,1))</f>
        <v>74.52152468677042</v>
      </c>
      <c r="BJ88" s="62">
        <f t="shared" si="92"/>
        <v>344.26747505795851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19.588611815966743</v>
      </c>
      <c r="BQ88" s="23">
        <f>EXP(-LN(2)/25)*BQ87+(1-EXP(-LN(2)/25))/(LN(2)/25)*Calculateur!BL88*Calculateur!BN88*VLOOKUP('Données projet'!$B$11,Paramètres!$A$1:$I$89,3,0)*0.475*44/12</f>
        <v>3.080599337458116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22.669211153424861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9.941256000000001</v>
      </c>
      <c r="D89" s="12">
        <f t="shared" si="86"/>
        <v>3.5066398191270887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13.495081418492449</v>
      </c>
      <c r="H89" s="70">
        <f t="shared" si="56"/>
        <v>280.08841855164638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182.84082525184493</v>
      </c>
      <c r="T89" s="62">
        <f t="shared" si="88"/>
        <v>430.83336115516937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1.1368683772161603E-13</v>
      </c>
      <c r="AJ89" s="14">
        <f>AI89*VLOOKUP('Données projet'!$B$10,Paramètres!$A$1:$I$89,3,0)*VLOOKUP('Données projet'!$B$10,Paramètres!$A$1:$I$89,5,0)</f>
        <v>6.7984728957526396E-14</v>
      </c>
      <c r="AK89" s="14">
        <f t="shared" si="89"/>
        <v>1.0682447123141398E-12</v>
      </c>
      <c r="AL89" s="22">
        <f t="shared" si="58"/>
        <v>1.978932943548152E-12</v>
      </c>
      <c r="AM89" s="62">
        <f t="shared" si="59"/>
        <v>293.3333333333353</v>
      </c>
      <c r="AN89" s="62">
        <f ca="1">AVERAGE(OFFSET($AM$3,0,0,'Données projet'!$E$10+1,1))-AVERAGE(OFFSET($H$3,0,0,'Données projet'!$E$10+1,1))</f>
        <v>182.84082525184493</v>
      </c>
      <c r="AO89" s="62">
        <f t="shared" si="90"/>
        <v>430.83336115516937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17.589175470453537</v>
      </c>
      <c r="AV89" s="23">
        <f>EXP(-LN(2)/25)*AV88+(1-EXP(-LN(2)/25))/(LN(2)/25)*Calculateur!AQ89*Calculateur!AS89*VLOOKUP('Données projet'!$B$10,Paramètres!$A$1:$I$89,3,0)*0.475*44/12</f>
        <v>9.3033632114059728</v>
      </c>
      <c r="AW89" s="23">
        <f>EXP(-LN(2)/2)*AW88+(1-EXP(-LN(2)/2))/(LN(2)/2)*AQ89*AT89*VLOOKUP('Données projet'!$B$10,Paramètres!$A$1:$I$89,3,0)*0.475*44/12</f>
        <v>1.6230115591328072E-7</v>
      </c>
      <c r="AX89" s="23">
        <f t="shared" si="60"/>
        <v>26.892538844160665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>
        <f>BD89*VLOOKUP('Données projet'!$B$11,Paramètres!$A$1:$I$89,3,0)*VLOOKUP('Données projet'!$B$11,Paramètres!$A$1:$I$89,5,0)</f>
        <v>0</v>
      </c>
      <c r="BF89" s="14" t="e">
        <f t="shared" si="91"/>
        <v>#NUM!</v>
      </c>
      <c r="BG89" s="22" t="e">
        <f t="shared" si="61"/>
        <v>#NUM!</v>
      </c>
      <c r="BH89" s="62" t="e">
        <f t="shared" si="62"/>
        <v>#NUM!</v>
      </c>
      <c r="BI89" s="62">
        <f ca="1">AVERAGE(OFFSET($BH$3,0,0,'Données projet'!$E$11+1,1))-AVERAGE(OFFSET($H$3,0,0,'Données projet'!$E$11+1,1))</f>
        <v>74.52152468677042</v>
      </c>
      <c r="BJ89" s="62">
        <f t="shared" si="92"/>
        <v>344.26747505795851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19.204491086129089</v>
      </c>
      <c r="BQ89" s="23">
        <f>EXP(-LN(2)/25)*BQ88+(1-EXP(-LN(2)/25))/(LN(2)/25)*Calculateur!BL89*Calculateur!BN89*VLOOKUP('Données projet'!$B$11,Paramètres!$A$1:$I$89,3,0)*0.475*44/12</f>
        <v>2.9963601865736456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22.200851272702735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10.056852000000001</v>
      </c>
      <c r="D90" s="12">
        <f t="shared" si="86"/>
        <v>3.5426442271817384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13.64721375780343</v>
      </c>
      <c r="H90" s="70">
        <f t="shared" si="56"/>
        <v>280.35245592900822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182.84082525184493</v>
      </c>
      <c r="T90" s="62">
        <f t="shared" si="88"/>
        <v>430.83336115516937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1.1368683772161603E-13</v>
      </c>
      <c r="AJ90" s="14">
        <f>AI90*VLOOKUP('Données projet'!$B$10,Paramètres!$A$1:$I$89,3,0)*VLOOKUP('Données projet'!$B$10,Paramètres!$A$1:$I$89,5,0)</f>
        <v>6.7984728957526396E-14</v>
      </c>
      <c r="AK90" s="14">
        <f t="shared" si="89"/>
        <v>1.0682447123141398E-12</v>
      </c>
      <c r="AL90" s="22">
        <f t="shared" si="58"/>
        <v>1.978932943548152E-12</v>
      </c>
      <c r="AM90" s="62">
        <f t="shared" si="59"/>
        <v>293.3333333333353</v>
      </c>
      <c r="AN90" s="62">
        <f ca="1">AVERAGE(OFFSET($AM$3,0,0,'Données projet'!$E$10+1,1))-AVERAGE(OFFSET($H$3,0,0,'Données projet'!$E$10+1,1))</f>
        <v>182.84082525184493</v>
      </c>
      <c r="AO90" s="62">
        <f t="shared" si="90"/>
        <v>430.83336115516937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17.244262467815645</v>
      </c>
      <c r="AV90" s="23">
        <f>EXP(-LN(2)/25)*AV89+(1-EXP(-LN(2)/25))/(LN(2)/25)*Calculateur!AQ90*Calculateur!AS90*VLOOKUP('Données projet'!$B$10,Paramètres!$A$1:$I$89,3,0)*0.475*44/12</f>
        <v>9.0489622551474689</v>
      </c>
      <c r="AW90" s="23">
        <f>EXP(-LN(2)/2)*AW89+(1-EXP(-LN(2)/2))/(LN(2)/2)*AQ90*AT90*VLOOKUP('Données projet'!$B$10,Paramètres!$A$1:$I$89,3,0)*0.475*44/12</f>
        <v>1.1476424794069594E-7</v>
      </c>
      <c r="AX90" s="23">
        <f t="shared" si="60"/>
        <v>26.293224837727362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>
        <f>BD90*VLOOKUP('Données projet'!$B$11,Paramètres!$A$1:$I$89,3,0)*VLOOKUP('Données projet'!$B$11,Paramètres!$A$1:$I$89,5,0)</f>
        <v>0</v>
      </c>
      <c r="BF90" s="14" t="e">
        <f t="shared" si="91"/>
        <v>#NUM!</v>
      </c>
      <c r="BG90" s="22" t="e">
        <f t="shared" si="61"/>
        <v>#NUM!</v>
      </c>
      <c r="BH90" s="62" t="e">
        <f t="shared" si="62"/>
        <v>#NUM!</v>
      </c>
      <c r="BI90" s="62">
        <f ca="1">AVERAGE(OFFSET($BH$3,0,0,'Données projet'!$E$11+1,1))-AVERAGE(OFFSET($H$3,0,0,'Données projet'!$E$11+1,1))</f>
        <v>74.52152468677042</v>
      </c>
      <c r="BJ90" s="62">
        <f t="shared" si="92"/>
        <v>344.26747505795851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18.827902729513038</v>
      </c>
      <c r="BQ90" s="23">
        <f>EXP(-LN(2)/25)*BQ89+(1-EXP(-LN(2)/25))/(LN(2)/25)*Calculateur!BL90*Calculateur!BN90*VLOOKUP('Données projet'!$B$11,Paramètres!$A$1:$I$89,3,0)*0.475*44/12</f>
        <v>2.9144245597000551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21.742327289213094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10.172448000000001</v>
      </c>
      <c r="D91" s="12">
        <f t="shared" si="86"/>
        <v>3.5786004949111097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13.799297787875714</v>
      </c>
      <c r="H91" s="70">
        <f t="shared" si="56"/>
        <v>280.61640946197019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182.84082525184493</v>
      </c>
      <c r="T91" s="62">
        <f t="shared" si="88"/>
        <v>430.83336115516937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1.1368683772161603E-13</v>
      </c>
      <c r="AJ91" s="14">
        <f>AI91*VLOOKUP('Données projet'!$B$10,Paramètres!$A$1:$I$89,3,0)*VLOOKUP('Données projet'!$B$10,Paramètres!$A$1:$I$89,5,0)</f>
        <v>6.7984728957526396E-14</v>
      </c>
      <c r="AK91" s="14">
        <f t="shared" si="89"/>
        <v>1.0682447123141398E-12</v>
      </c>
      <c r="AL91" s="22">
        <f t="shared" si="58"/>
        <v>1.978932943548152E-12</v>
      </c>
      <c r="AM91" s="62">
        <f t="shared" si="59"/>
        <v>293.3333333333353</v>
      </c>
      <c r="AN91" s="62">
        <f ca="1">AVERAGE(OFFSET($AM$3,0,0,'Données projet'!$E$10+1,1))-AVERAGE(OFFSET($H$3,0,0,'Données projet'!$E$10+1,1))</f>
        <v>182.84082525184493</v>
      </c>
      <c r="AO91" s="62">
        <f t="shared" si="90"/>
        <v>430.83336115516937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16.906112998783325</v>
      </c>
      <c r="AV91" s="23">
        <f>EXP(-LN(2)/25)*AV90+(1-EXP(-LN(2)/25))/(LN(2)/25)*Calculateur!AQ91*Calculateur!AS91*VLOOKUP('Données projet'!$B$10,Paramètres!$A$1:$I$89,3,0)*0.475*44/12</f>
        <v>8.8015179064162172</v>
      </c>
      <c r="AW91" s="23">
        <f>EXP(-LN(2)/2)*AW90+(1-EXP(-LN(2)/2))/(LN(2)/2)*AQ91*AT91*VLOOKUP('Données projet'!$B$10,Paramètres!$A$1:$I$89,3,0)*0.475*44/12</f>
        <v>8.1150577956640371E-8</v>
      </c>
      <c r="AX91" s="23">
        <f t="shared" si="60"/>
        <v>25.707630986350122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>
        <f>BD91*VLOOKUP('Données projet'!$B$11,Paramètres!$A$1:$I$89,3,0)*VLOOKUP('Données projet'!$B$11,Paramètres!$A$1:$I$89,5,0)</f>
        <v>0</v>
      </c>
      <c r="BF91" s="14" t="e">
        <f t="shared" si="91"/>
        <v>#NUM!</v>
      </c>
      <c r="BG91" s="22" t="e">
        <f t="shared" si="61"/>
        <v>#NUM!</v>
      </c>
      <c r="BH91" s="62" t="e">
        <f t="shared" si="62"/>
        <v>#NUM!</v>
      </c>
      <c r="BI91" s="62">
        <f ca="1">AVERAGE(OFFSET($BH$3,0,0,'Données projet'!$E$11+1,1))-AVERAGE(OFFSET($H$3,0,0,'Données projet'!$E$11+1,1))</f>
        <v>74.52152468677042</v>
      </c>
      <c r="BJ91" s="62">
        <f t="shared" si="92"/>
        <v>344.26747505795851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18.458699040874013</v>
      </c>
      <c r="BQ91" s="23">
        <f>EXP(-LN(2)/25)*BQ90+(1-EXP(-LN(2)/25))/(LN(2)/25)*Calculateur!BL91*Calculateur!BN91*VLOOKUP('Données projet'!$B$11,Paramètres!$A$1:$I$89,3,0)*0.475*44/12</f>
        <v>2.8347294668521306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21.293428507726144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10.288044000000001</v>
      </c>
      <c r="D92" s="12">
        <f t="shared" si="86"/>
        <v>3.6145092326635471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13.95133412119921</v>
      </c>
      <c r="H92" s="70">
        <f t="shared" si="56"/>
        <v>280.88028021355569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182.84082525184493</v>
      </c>
      <c r="T92" s="62">
        <f t="shared" si="88"/>
        <v>430.83336115516937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1.1368683772161603E-13</v>
      </c>
      <c r="AJ92" s="14">
        <f>AI92*VLOOKUP('Données projet'!$B$10,Paramètres!$A$1:$I$89,3,0)*VLOOKUP('Données projet'!$B$10,Paramètres!$A$1:$I$89,5,0)</f>
        <v>6.7984728957526396E-14</v>
      </c>
      <c r="AK92" s="14">
        <f t="shared" si="89"/>
        <v>1.0682447123141398E-12</v>
      </c>
      <c r="AL92" s="22">
        <f t="shared" si="58"/>
        <v>1.978932943548152E-12</v>
      </c>
      <c r="AM92" s="62">
        <f t="shared" si="59"/>
        <v>293.3333333333353</v>
      </c>
      <c r="AN92" s="62">
        <f ca="1">AVERAGE(OFFSET($AM$3,0,0,'Données projet'!$E$10+1,1))-AVERAGE(OFFSET($H$3,0,0,'Données projet'!$E$10+1,1))</f>
        <v>182.84082525184493</v>
      </c>
      <c r="AO92" s="62">
        <f t="shared" si="90"/>
        <v>430.83336115516937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16.574594434587915</v>
      </c>
      <c r="AV92" s="23">
        <f>EXP(-LN(2)/25)*AV91+(1-EXP(-LN(2)/25))/(LN(2)/25)*Calculateur!AQ92*Calculateur!AS92*VLOOKUP('Données projet'!$B$10,Paramètres!$A$1:$I$89,3,0)*0.475*44/12</f>
        <v>8.5608399364135543</v>
      </c>
      <c r="AW92" s="23">
        <f>EXP(-LN(2)/2)*AW91+(1-EXP(-LN(2)/2))/(LN(2)/2)*AQ92*AT92*VLOOKUP('Données projet'!$B$10,Paramètres!$A$1:$I$89,3,0)*0.475*44/12</f>
        <v>5.7382123970347974E-8</v>
      </c>
      <c r="AX92" s="23">
        <f t="shared" si="60"/>
        <v>25.135434428383594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>
        <f>BD92*VLOOKUP('Données projet'!$B$11,Paramètres!$A$1:$I$89,3,0)*VLOOKUP('Données projet'!$B$11,Paramètres!$A$1:$I$89,5,0)</f>
        <v>0</v>
      </c>
      <c r="BF92" s="14" t="e">
        <f t="shared" si="91"/>
        <v>#NUM!</v>
      </c>
      <c r="BG92" s="22" t="e">
        <f t="shared" si="61"/>
        <v>#NUM!</v>
      </c>
      <c r="BH92" s="62" t="e">
        <f t="shared" si="62"/>
        <v>#NUM!</v>
      </c>
      <c r="BI92" s="62">
        <f ca="1">AVERAGE(OFFSET($BH$3,0,0,'Données projet'!$E$11+1,1))-AVERAGE(OFFSET($H$3,0,0,'Données projet'!$E$11+1,1))</f>
        <v>74.52152468677042</v>
      </c>
      <c r="BJ92" s="62">
        <f t="shared" si="92"/>
        <v>344.26747505795851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18.096735211377183</v>
      </c>
      <c r="BQ92" s="23">
        <f>EXP(-LN(2)/25)*BQ91+(1-EXP(-LN(2)/25))/(LN(2)/25)*Calculateur!BL92*Calculateur!BN92*VLOOKUP('Données projet'!$B$11,Paramètres!$A$1:$I$89,3,0)*0.475*44/12</f>
        <v>2.7572136405091152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20.853948851886297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10.403640000000001</v>
      </c>
      <c r="D93" s="12">
        <f t="shared" si="86"/>
        <v>3.6503710362820279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14.10332335570758</v>
      </c>
      <c r="H93" s="70">
        <f t="shared" si="56"/>
        <v>281.14406922152455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182.84082525184493</v>
      </c>
      <c r="T93" s="62">
        <f t="shared" si="88"/>
        <v>430.83336115516937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1.1368683772161603E-13</v>
      </c>
      <c r="AJ93" s="14">
        <f>AI93*VLOOKUP('Données projet'!$B$10,Paramètres!$A$1:$I$89,3,0)*VLOOKUP('Données projet'!$B$10,Paramètres!$A$1:$I$89,5,0)</f>
        <v>6.7984728957526396E-14</v>
      </c>
      <c r="AK93" s="14">
        <f t="shared" si="89"/>
        <v>1.0682447123141398E-12</v>
      </c>
      <c r="AL93" s="22">
        <f t="shared" si="58"/>
        <v>1.978932943548152E-12</v>
      </c>
      <c r="AM93" s="62">
        <f t="shared" si="59"/>
        <v>293.3333333333353</v>
      </c>
      <c r="AN93" s="62">
        <f ca="1">AVERAGE(OFFSET($AM$3,0,0,'Données projet'!$E$10+1,1))-AVERAGE(OFFSET($H$3,0,0,'Données projet'!$E$10+1,1))</f>
        <v>182.84082525184493</v>
      </c>
      <c r="AO93" s="62">
        <f t="shared" si="90"/>
        <v>430.83336115516937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16.249576747230019</v>
      </c>
      <c r="AV93" s="23">
        <f>EXP(-LN(2)/25)*AV92+(1-EXP(-LN(2)/25))/(LN(2)/25)*Calculateur!AQ93*Calculateur!AS93*VLOOKUP('Données projet'!$B$10,Paramètres!$A$1:$I$89,3,0)*0.475*44/12</f>
        <v>8.3267433181573196</v>
      </c>
      <c r="AW93" s="23">
        <f>EXP(-LN(2)/2)*AW92+(1-EXP(-LN(2)/2))/(LN(2)/2)*AQ93*AT93*VLOOKUP('Données projet'!$B$10,Paramètres!$A$1:$I$89,3,0)*0.475*44/12</f>
        <v>4.0575288978320192E-8</v>
      </c>
      <c r="AX93" s="23">
        <f t="shared" si="60"/>
        <v>24.57632010596263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>
        <f>BD93*VLOOKUP('Données projet'!$B$11,Paramètres!$A$1:$I$89,3,0)*VLOOKUP('Données projet'!$B$11,Paramètres!$A$1:$I$89,5,0)</f>
        <v>0</v>
      </c>
      <c r="BF93" s="14" t="e">
        <f t="shared" si="91"/>
        <v>#NUM!</v>
      </c>
      <c r="BG93" s="22" t="e">
        <f t="shared" si="61"/>
        <v>#NUM!</v>
      </c>
      <c r="BH93" s="62" t="e">
        <f t="shared" si="62"/>
        <v>#NUM!</v>
      </c>
      <c r="BI93" s="62">
        <f ca="1">AVERAGE(OFFSET($BH$3,0,0,'Données projet'!$E$11+1,1))-AVERAGE(OFFSET($H$3,0,0,'Données projet'!$E$11+1,1))</f>
        <v>74.52152468677042</v>
      </c>
      <c r="BJ93" s="62">
        <f t="shared" si="92"/>
        <v>344.26747505795851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17.741869271800653</v>
      </c>
      <c r="BQ93" s="23">
        <f>EXP(-LN(2)/25)*BQ92+(1-EXP(-LN(2)/25))/(LN(2)/25)*Calculateur!BL93*Calculateur!BN93*VLOOKUP('Données projet'!$B$11,Paramètres!$A$1:$I$89,3,0)*0.475*44/12</f>
        <v>2.68181748851383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20.423686760314482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10.519236000000001</v>
      </c>
      <c r="D94" s="12">
        <f t="shared" si="86"/>
        <v>3.6861864876061508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14.255266075281964</v>
      </c>
      <c r="H94" s="70">
        <f t="shared" si="56"/>
        <v>281.4077774992474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182.84082525184493</v>
      </c>
      <c r="T94" s="62">
        <f t="shared" si="88"/>
        <v>430.83336115516937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1.1368683772161603E-13</v>
      </c>
      <c r="AJ94" s="14">
        <f>AI94*VLOOKUP('Données projet'!$B$10,Paramètres!$A$1:$I$89,3,0)*VLOOKUP('Données projet'!$B$10,Paramètres!$A$1:$I$89,5,0)</f>
        <v>6.7984728957526396E-14</v>
      </c>
      <c r="AK94" s="14">
        <f t="shared" si="89"/>
        <v>1.0682447123141398E-12</v>
      </c>
      <c r="AL94" s="22">
        <f t="shared" si="58"/>
        <v>1.978932943548152E-12</v>
      </c>
      <c r="AM94" s="62">
        <f t="shared" si="59"/>
        <v>293.3333333333353</v>
      </c>
      <c r="AN94" s="62">
        <f ca="1">AVERAGE(OFFSET($AM$3,0,0,'Données projet'!$E$10+1,1))-AVERAGE(OFFSET($H$3,0,0,'Données projet'!$E$10+1,1))</f>
        <v>182.84082525184493</v>
      </c>
      <c r="AO94" s="62">
        <f t="shared" si="90"/>
        <v>430.83336115516937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15.930932458479999</v>
      </c>
      <c r="AV94" s="23">
        <f>EXP(-LN(2)/25)*AV93+(1-EXP(-LN(2)/25))/(LN(2)/25)*Calculateur!AQ94*Calculateur!AS94*VLOOKUP('Données projet'!$B$10,Paramètres!$A$1:$I$89,3,0)*0.475*44/12</f>
        <v>8.0990480842379071</v>
      </c>
      <c r="AW94" s="23">
        <f>EXP(-LN(2)/2)*AW93+(1-EXP(-LN(2)/2))/(LN(2)/2)*AQ94*AT94*VLOOKUP('Données projet'!$B$10,Paramètres!$A$1:$I$89,3,0)*0.475*44/12</f>
        <v>2.869106198517399E-8</v>
      </c>
      <c r="AX94" s="23">
        <f t="shared" si="60"/>
        <v>24.02998057140897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>
        <f>BD94*VLOOKUP('Données projet'!$B$11,Paramètres!$A$1:$I$89,3,0)*VLOOKUP('Données projet'!$B$11,Paramètres!$A$1:$I$89,5,0)</f>
        <v>0</v>
      </c>
      <c r="BF94" s="14" t="e">
        <f t="shared" si="91"/>
        <v>#NUM!</v>
      </c>
      <c r="BG94" s="22" t="e">
        <f t="shared" si="61"/>
        <v>#NUM!</v>
      </c>
      <c r="BH94" s="62" t="e">
        <f t="shared" si="62"/>
        <v>#NUM!</v>
      </c>
      <c r="BI94" s="62">
        <f ca="1">AVERAGE(OFFSET($BH$3,0,0,'Données projet'!$E$11+1,1))-AVERAGE(OFFSET($H$3,0,0,'Données projet'!$E$11+1,1))</f>
        <v>74.52152468677042</v>
      </c>
      <c r="BJ94" s="62">
        <f t="shared" si="92"/>
        <v>344.26747505795851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17.393962036852365</v>
      </c>
      <c r="BQ94" s="23">
        <f>EXP(-LN(2)/25)*BQ93+(1-EXP(-LN(2)/25))/(LN(2)/25)*Calculateur!BL94*Calculateur!BN94*VLOOKUP('Données projet'!$B$11,Paramètres!$A$1:$I$89,3,0)*0.475*44/12</f>
        <v>2.608483048259767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20.002445085112132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10.634832000000001</v>
      </c>
      <c r="D95" s="12">
        <f t="shared" si="86"/>
        <v>3.7219561549514308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14.407162850231963</v>
      </c>
      <c r="H95" s="70">
        <f t="shared" si="56"/>
        <v>281.67140603654042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182.84082525184493</v>
      </c>
      <c r="T95" s="62">
        <f t="shared" si="88"/>
        <v>430.83336115516937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1.1368683772161603E-13</v>
      </c>
      <c r="AJ95" s="14">
        <f>AI95*VLOOKUP('Données projet'!$B$10,Paramètres!$A$1:$I$89,3,0)*VLOOKUP('Données projet'!$B$10,Paramètres!$A$1:$I$89,5,0)</f>
        <v>6.7984728957526396E-14</v>
      </c>
      <c r="AK95" s="14">
        <f t="shared" si="89"/>
        <v>1.0682447123141398E-12</v>
      </c>
      <c r="AL95" s="22">
        <f t="shared" si="58"/>
        <v>1.978932943548152E-12</v>
      </c>
      <c r="AM95" s="62">
        <f t="shared" si="59"/>
        <v>293.3333333333353</v>
      </c>
      <c r="AN95" s="62">
        <f ca="1">AVERAGE(OFFSET($AM$3,0,0,'Données projet'!$E$10+1,1))-AVERAGE(OFFSET($H$3,0,0,'Données projet'!$E$10+1,1))</f>
        <v>182.84082525184493</v>
      </c>
      <c r="AO95" s="62">
        <f t="shared" si="90"/>
        <v>430.83336115516937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15.618536589878541</v>
      </c>
      <c r="AV95" s="23">
        <f>EXP(-LN(2)/25)*AV94+(1-EXP(-LN(2)/25))/(LN(2)/25)*Calculateur!AQ95*Calculateur!AS95*VLOOKUP('Données projet'!$B$10,Paramètres!$A$1:$I$89,3,0)*0.475*44/12</f>
        <v>7.8775791884639936</v>
      </c>
      <c r="AW95" s="23">
        <f>EXP(-LN(2)/2)*AW94+(1-EXP(-LN(2)/2))/(LN(2)/2)*AQ95*AT95*VLOOKUP('Données projet'!$B$10,Paramètres!$A$1:$I$89,3,0)*0.475*44/12</f>
        <v>2.0287644489160099E-8</v>
      </c>
      <c r="AX95" s="23">
        <f t="shared" si="60"/>
        <v>23.496115798630179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>
        <f>BD95*VLOOKUP('Données projet'!$B$11,Paramètres!$A$1:$I$89,3,0)*VLOOKUP('Données projet'!$B$11,Paramètres!$A$1:$I$89,5,0)</f>
        <v>0</v>
      </c>
      <c r="BF95" s="14" t="e">
        <f t="shared" si="91"/>
        <v>#NUM!</v>
      </c>
      <c r="BG95" s="22" t="e">
        <f t="shared" si="61"/>
        <v>#NUM!</v>
      </c>
      <c r="BH95" s="62" t="e">
        <f t="shared" si="62"/>
        <v>#NUM!</v>
      </c>
      <c r="BI95" s="62">
        <f ca="1">AVERAGE(OFFSET($BH$3,0,0,'Données projet'!$E$11+1,1))-AVERAGE(OFFSET($H$3,0,0,'Données projet'!$E$11+1,1))</f>
        <v>74.52152468677042</v>
      </c>
      <c r="BJ95" s="62">
        <f t="shared" si="92"/>
        <v>344.26747505795851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17.052877050578953</v>
      </c>
      <c r="BQ95" s="23">
        <f>EXP(-LN(2)/25)*BQ94+(1-EXP(-LN(2)/25))/(LN(2)/25)*Calculateur!BL95*Calculateur!BN95*VLOOKUP('Données projet'!$B$11,Paramètres!$A$1:$I$89,3,0)*0.475*44/12</f>
        <v>2.5371539421309417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19.590030992709895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10.750428000000001</v>
      </c>
      <c r="D96" s="12">
        <f t="shared" si="86"/>
        <v>3.7576805935671547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14.559014237755113</v>
      </c>
      <c r="H96" s="70">
        <f t="shared" si="56"/>
        <v>281.93495580046283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182.84082525184493</v>
      </c>
      <c r="T96" s="62">
        <f t="shared" si="88"/>
        <v>430.83336115516937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1.1368683772161603E-13</v>
      </c>
      <c r="AJ96" s="14">
        <f>AI96*VLOOKUP('Données projet'!$B$10,Paramètres!$A$1:$I$89,3,0)*VLOOKUP('Données projet'!$B$10,Paramètres!$A$1:$I$89,5,0)</f>
        <v>6.7984728957526396E-14</v>
      </c>
      <c r="AK96" s="14">
        <f t="shared" si="89"/>
        <v>1.0682447123141398E-12</v>
      </c>
      <c r="AL96" s="22">
        <f t="shared" si="58"/>
        <v>1.978932943548152E-12</v>
      </c>
      <c r="AM96" s="62">
        <f t="shared" si="59"/>
        <v>293.3333333333353</v>
      </c>
      <c r="AN96" s="62">
        <f ca="1">AVERAGE(OFFSET($AM$3,0,0,'Données projet'!$E$10+1,1))-AVERAGE(OFFSET($H$3,0,0,'Données projet'!$E$10+1,1))</f>
        <v>182.84082525184493</v>
      </c>
      <c r="AO96" s="62">
        <f t="shared" si="90"/>
        <v>430.83336115516937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15.312266613717693</v>
      </c>
      <c r="AV96" s="23">
        <f>EXP(-LN(2)/25)*AV95+(1-EXP(-LN(2)/25))/(LN(2)/25)*Calculateur!AQ96*Calculateur!AS96*VLOOKUP('Données projet'!$B$10,Paramètres!$A$1:$I$89,3,0)*0.475*44/12</f>
        <v>7.6621663712915611</v>
      </c>
      <c r="AW96" s="23">
        <f>EXP(-LN(2)/2)*AW95+(1-EXP(-LN(2)/2))/(LN(2)/2)*AQ96*AT96*VLOOKUP('Données projet'!$B$10,Paramètres!$A$1:$I$89,3,0)*0.475*44/12</f>
        <v>1.4345530992586999E-8</v>
      </c>
      <c r="AX96" s="23">
        <f t="shared" si="60"/>
        <v>22.974432999354786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>
        <f>BD96*VLOOKUP('Données projet'!$B$11,Paramètres!$A$1:$I$89,3,0)*VLOOKUP('Données projet'!$B$11,Paramètres!$A$1:$I$89,5,0)</f>
        <v>0</v>
      </c>
      <c r="BF96" s="14" t="e">
        <f t="shared" si="91"/>
        <v>#NUM!</v>
      </c>
      <c r="BG96" s="22" t="e">
        <f t="shared" si="61"/>
        <v>#NUM!</v>
      </c>
      <c r="BH96" s="62" t="e">
        <f t="shared" si="62"/>
        <v>#NUM!</v>
      </c>
      <c r="BI96" s="62">
        <f ca="1">AVERAGE(OFFSET($BH$3,0,0,'Données projet'!$E$11+1,1))-AVERAGE(OFFSET($H$3,0,0,'Données projet'!$E$11+1,1))</f>
        <v>74.52152468677042</v>
      </c>
      <c r="BJ96" s="62">
        <f t="shared" si="92"/>
        <v>344.26747505795851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16.718480532845064</v>
      </c>
      <c r="BQ96" s="23">
        <f>EXP(-LN(2)/25)*BQ95+(1-EXP(-LN(2)/25))/(LN(2)/25)*Calculateur!BL96*Calculateur!BN96*VLOOKUP('Données projet'!$B$11,Paramètres!$A$1:$I$89,3,0)*0.475*44/12</f>
        <v>2.467775334160244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19.186255867005308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10.866024000000001</v>
      </c>
      <c r="D97" s="12">
        <f t="shared" si="86"/>
        <v>3.7933603460739902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14.710820782376009</v>
      </c>
      <c r="H97" s="70">
        <f t="shared" si="56"/>
        <v>282.19842773607888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182.84082525184493</v>
      </c>
      <c r="T97" s="62">
        <f t="shared" si="88"/>
        <v>430.83336115516937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1.1368683772161603E-13</v>
      </c>
      <c r="AJ97" s="14">
        <f>AI97*VLOOKUP('Données projet'!$B$10,Paramètres!$A$1:$I$89,3,0)*VLOOKUP('Données projet'!$B$10,Paramètres!$A$1:$I$89,5,0)</f>
        <v>6.7984728957526396E-14</v>
      </c>
      <c r="AK97" s="14">
        <f t="shared" si="89"/>
        <v>1.0682447123141398E-12</v>
      </c>
      <c r="AL97" s="22">
        <f t="shared" si="58"/>
        <v>1.978932943548152E-12</v>
      </c>
      <c r="AM97" s="62">
        <f t="shared" si="59"/>
        <v>293.3333333333353</v>
      </c>
      <c r="AN97" s="62">
        <f ca="1">AVERAGE(OFFSET($AM$3,0,0,'Données projet'!$E$10+1,1))-AVERAGE(OFFSET($H$3,0,0,'Données projet'!$E$10+1,1))</f>
        <v>182.84082525184493</v>
      </c>
      <c r="AO97" s="62">
        <f t="shared" si="90"/>
        <v>430.83336115516937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15.012002404983118</v>
      </c>
      <c r="AV97" s="23">
        <f>EXP(-LN(2)/25)*AV96+(1-EXP(-LN(2)/25))/(LN(2)/25)*Calculateur!AQ97*Calculateur!AS97*VLOOKUP('Données projet'!$B$10,Paramètres!$A$1:$I$89,3,0)*0.475*44/12</f>
        <v>7.4526440289327756</v>
      </c>
      <c r="AW97" s="23">
        <f>EXP(-LN(2)/2)*AW96+(1-EXP(-LN(2)/2))/(LN(2)/2)*AQ97*AT97*VLOOKUP('Données projet'!$B$10,Paramètres!$A$1:$I$89,3,0)*0.475*44/12</f>
        <v>1.0143822244580051E-8</v>
      </c>
      <c r="AX97" s="23">
        <f t="shared" si="60"/>
        <v>22.464646444059717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>
        <f>BD97*VLOOKUP('Données projet'!$B$11,Paramètres!$A$1:$I$89,3,0)*VLOOKUP('Données projet'!$B$11,Paramètres!$A$1:$I$89,5,0)</f>
        <v>0</v>
      </c>
      <c r="BF97" s="14" t="e">
        <f t="shared" si="91"/>
        <v>#NUM!</v>
      </c>
      <c r="BG97" s="22" t="e">
        <f t="shared" si="61"/>
        <v>#NUM!</v>
      </c>
      <c r="BH97" s="62" t="e">
        <f t="shared" si="62"/>
        <v>#NUM!</v>
      </c>
      <c r="BI97" s="62">
        <f ca="1">AVERAGE(OFFSET($BH$3,0,0,'Données projet'!$E$11+1,1))-AVERAGE(OFFSET($H$3,0,0,'Données projet'!$E$11+1,1))</f>
        <v>74.52152468677042</v>
      </c>
      <c r="BJ97" s="62">
        <f t="shared" si="92"/>
        <v>344.26747505795851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16.390641326862202</v>
      </c>
      <c r="BQ97" s="23">
        <f>EXP(-LN(2)/25)*BQ96+(1-EXP(-LN(2)/25))/(LN(2)/25)*Calculateur!BL97*Calculateur!BN97*VLOOKUP('Données projet'!$B$11,Paramètres!$A$1:$I$89,3,0)*0.475*44/12</f>
        <v>2.4002938878729676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18.790935214735171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10.981620000000001</v>
      </c>
      <c r="D98" s="12">
        <f t="shared" si="86"/>
        <v>3.8289959428824343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14.862583016366235</v>
      </c>
      <c r="H98" s="70">
        <f t="shared" si="56"/>
        <v>282.4618227671869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182.84082525184493</v>
      </c>
      <c r="T98" s="62">
        <f t="shared" si="88"/>
        <v>430.83336115516937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1.1368683772161603E-13</v>
      </c>
      <c r="AJ98" s="14">
        <f>AI98*VLOOKUP('Données projet'!$B$10,Paramètres!$A$1:$I$89,3,0)*VLOOKUP('Données projet'!$B$10,Paramètres!$A$1:$I$89,5,0)</f>
        <v>6.7984728957526396E-14</v>
      </c>
      <c r="AK98" s="14">
        <f t="shared" si="89"/>
        <v>1.0682447123141398E-12</v>
      </c>
      <c r="AL98" s="22">
        <f t="shared" si="58"/>
        <v>1.978932943548152E-12</v>
      </c>
      <c r="AM98" s="62">
        <f t="shared" si="59"/>
        <v>293.3333333333353</v>
      </c>
      <c r="AN98" s="62">
        <f ca="1">AVERAGE(OFFSET($AM$3,0,0,'Données projet'!$E$10+1,1))-AVERAGE(OFFSET($H$3,0,0,'Données projet'!$E$10+1,1))</f>
        <v>182.84082525184493</v>
      </c>
      <c r="AO98" s="62">
        <f t="shared" si="90"/>
        <v>430.83336115516937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14.717626194238745</v>
      </c>
      <c r="AV98" s="23">
        <f>EXP(-LN(2)/25)*AV97+(1-EXP(-LN(2)/25))/(LN(2)/25)*Calculateur!AQ98*Calculateur!AS98*VLOOKUP('Données projet'!$B$10,Paramètres!$A$1:$I$89,3,0)*0.475*44/12</f>
        <v>7.2488510860440929</v>
      </c>
      <c r="AW98" s="23">
        <f>EXP(-LN(2)/2)*AW97+(1-EXP(-LN(2)/2))/(LN(2)/2)*AQ98*AT98*VLOOKUP('Données projet'!$B$10,Paramètres!$A$1:$I$89,3,0)*0.475*44/12</f>
        <v>7.1727654962935001E-9</v>
      </c>
      <c r="AX98" s="23">
        <f t="shared" si="60"/>
        <v>21.966477287455604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>
        <f>BD98*VLOOKUP('Données projet'!$B$11,Paramètres!$A$1:$I$89,3,0)*VLOOKUP('Données projet'!$B$11,Paramètres!$A$1:$I$89,5,0)</f>
        <v>0</v>
      </c>
      <c r="BF98" s="14" t="e">
        <f t="shared" si="91"/>
        <v>#NUM!</v>
      </c>
      <c r="BG98" s="22" t="e">
        <f t="shared" si="61"/>
        <v>#NUM!</v>
      </c>
      <c r="BH98" s="62" t="e">
        <f t="shared" si="62"/>
        <v>#NUM!</v>
      </c>
      <c r="BI98" s="62">
        <f ca="1">AVERAGE(OFFSET($BH$3,0,0,'Données projet'!$E$11+1,1))-AVERAGE(OFFSET($H$3,0,0,'Données projet'!$E$11+1,1))</f>
        <v>74.52152468677042</v>
      </c>
      <c r="BJ98" s="62">
        <f t="shared" si="92"/>
        <v>344.26747505795851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16.069230847746493</v>
      </c>
      <c r="BQ98" s="23">
        <f>EXP(-LN(2)/25)*BQ97+(1-EXP(-LN(2)/25))/(LN(2)/25)*Calculateur!BL98*Calculateur!BN98*VLOOKUP('Données projet'!$B$11,Paramètres!$A$1:$I$89,3,0)*0.475*44/12</f>
        <v>2.3346577252831118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18.403888573029604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11.097216000000001</v>
      </c>
      <c r="D99" s="12">
        <f t="shared" si="86"/>
        <v>3.864587902593144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15.014301460146106</v>
      </c>
      <c r="H99" s="70">
        <f t="shared" si="56"/>
        <v>282.72514179701642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182.84082525184493</v>
      </c>
      <c r="T99" s="62">
        <f t="shared" si="88"/>
        <v>430.83336115516937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1.1368683772161603E-13</v>
      </c>
      <c r="AJ99" s="14">
        <f>AI99*VLOOKUP('Données projet'!$B$10,Paramètres!$A$1:$I$89,3,0)*VLOOKUP('Données projet'!$B$10,Paramètres!$A$1:$I$89,5,0)</f>
        <v>6.7984728957526396E-14</v>
      </c>
      <c r="AK99" s="14">
        <f t="shared" si="89"/>
        <v>1.0682447123141398E-12</v>
      </c>
      <c r="AL99" s="22">
        <f t="shared" si="58"/>
        <v>1.978932943548152E-12</v>
      </c>
      <c r="AM99" s="62">
        <f t="shared" si="59"/>
        <v>293.3333333333353</v>
      </c>
      <c r="AN99" s="62">
        <f ca="1">AVERAGE(OFFSET($AM$3,0,0,'Données projet'!$E$10+1,1))-AVERAGE(OFFSET($H$3,0,0,'Données projet'!$E$10+1,1))</f>
        <v>182.84082525184493</v>
      </c>
      <c r="AO99" s="62">
        <f t="shared" si="90"/>
        <v>430.83336115516937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14.429022521435311</v>
      </c>
      <c r="AV99" s="23">
        <f>EXP(-LN(2)/25)*AV98+(1-EXP(-LN(2)/25))/(LN(2)/25)*Calculateur!AQ99*Calculateur!AS99*VLOOKUP('Données projet'!$B$10,Paramètres!$A$1:$I$89,3,0)*0.475*44/12</f>
        <v>7.0506308718957058</v>
      </c>
      <c r="AW99" s="23">
        <f>EXP(-LN(2)/2)*AW98+(1-EXP(-LN(2)/2))/(LN(2)/2)*AQ99*AT99*VLOOKUP('Données projet'!$B$10,Paramètres!$A$1:$I$89,3,0)*0.475*44/12</f>
        <v>5.0719111222900265E-9</v>
      </c>
      <c r="AX99" s="23">
        <f t="shared" si="60"/>
        <v>21.479653398402927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>
        <f>BD99*VLOOKUP('Données projet'!$B$11,Paramètres!$A$1:$I$89,3,0)*VLOOKUP('Données projet'!$B$11,Paramètres!$A$1:$I$89,5,0)</f>
        <v>0</v>
      </c>
      <c r="BF99" s="14" t="e">
        <f t="shared" si="91"/>
        <v>#NUM!</v>
      </c>
      <c r="BG99" s="22" t="e">
        <f t="shared" si="61"/>
        <v>#NUM!</v>
      </c>
      <c r="BH99" s="62" t="e">
        <f t="shared" si="62"/>
        <v>#NUM!</v>
      </c>
      <c r="BI99" s="62">
        <f ca="1">AVERAGE(OFFSET($BH$3,0,0,'Données projet'!$E$11+1,1))-AVERAGE(OFFSET($H$3,0,0,'Données projet'!$E$11+1,1))</f>
        <v>74.52152468677042</v>
      </c>
      <c r="BJ99" s="62">
        <f t="shared" si="92"/>
        <v>344.26747505795851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15.754123032085207</v>
      </c>
      <c r="BQ99" s="23">
        <f>EXP(-LN(2)/25)*BQ98+(1-EXP(-LN(2)/25))/(LN(2)/25)*Calculateur!BL99*Calculateur!BN99*VLOOKUP('Données projet'!$B$11,Paramètres!$A$1:$I$89,3,0)*0.475*44/12</f>
        <v>2.2708163870109312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18.024939419096139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11.212812000000001</v>
      </c>
      <c r="D100" s="12">
        <f t="shared" si="86"/>
        <v>3.9001367323801057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15.165976622669163</v>
      </c>
      <c r="H100" s="70">
        <f t="shared" si="56"/>
        <v>282.98838570889535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182.84082525184493</v>
      </c>
      <c r="T100" s="62">
        <f t="shared" si="88"/>
        <v>430.83336115516937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1.1368683772161603E-13</v>
      </c>
      <c r="AJ100" s="14">
        <f>AI100*VLOOKUP('Données projet'!$B$10,Paramètres!$A$1:$I$89,3,0)*VLOOKUP('Données projet'!$B$10,Paramètres!$A$1:$I$89,5,0)</f>
        <v>6.7984728957526396E-14</v>
      </c>
      <c r="AK100" s="14">
        <f t="shared" si="89"/>
        <v>1.0682447123141398E-12</v>
      </c>
      <c r="AL100" s="22">
        <f t="shared" si="58"/>
        <v>1.978932943548152E-12</v>
      </c>
      <c r="AM100" s="62">
        <f t="shared" si="59"/>
        <v>293.3333333333353</v>
      </c>
      <c r="AN100" s="62">
        <f ca="1">AVERAGE(OFFSET($AM$3,0,0,'Données projet'!$E$10+1,1))-AVERAGE(OFFSET($H$3,0,0,'Données projet'!$E$10+1,1))</f>
        <v>182.84082525184493</v>
      </c>
      <c r="AO100" s="62">
        <f t="shared" si="90"/>
        <v>430.83336115516937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14.146078190624692</v>
      </c>
      <c r="AV100" s="23">
        <f>EXP(-LN(2)/25)*AV99+(1-EXP(-LN(2)/25))/(LN(2)/25)*Calculateur!AQ100*Calculateur!AS100*VLOOKUP('Données projet'!$B$10,Paramètres!$A$1:$I$89,3,0)*0.475*44/12</f>
        <v>6.8578309999271543</v>
      </c>
      <c r="AW100" s="23">
        <f>EXP(-LN(2)/2)*AW99+(1-EXP(-LN(2)/2))/(LN(2)/2)*AQ100*AT100*VLOOKUP('Données projet'!$B$10,Paramètres!$A$1:$I$89,3,0)*0.475*44/12</f>
        <v>3.5863827481467509E-9</v>
      </c>
      <c r="AX100" s="23">
        <f t="shared" si="60"/>
        <v>21.003909194138227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>
        <f>BD100*VLOOKUP('Données projet'!$B$11,Paramètres!$A$1:$I$89,3,0)*VLOOKUP('Données projet'!$B$11,Paramètres!$A$1:$I$89,5,0)</f>
        <v>0</v>
      </c>
      <c r="BF100" s="14" t="e">
        <f t="shared" si="91"/>
        <v>#NUM!</v>
      </c>
      <c r="BG100" s="22" t="e">
        <f t="shared" si="61"/>
        <v>#NUM!</v>
      </c>
      <c r="BH100" s="62" t="e">
        <f t="shared" si="62"/>
        <v>#NUM!</v>
      </c>
      <c r="BI100" s="62">
        <f ca="1">AVERAGE(OFFSET($BH$3,0,0,'Données projet'!$E$11+1,1))-AVERAGE(OFFSET($H$3,0,0,'Données projet'!$E$11+1,1))</f>
        <v>74.52152468677042</v>
      </c>
      <c r="BJ100" s="62">
        <f t="shared" si="92"/>
        <v>344.26747505795851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15.44519428849225</v>
      </c>
      <c r="BQ100" s="23">
        <f>EXP(-LN(2)/25)*BQ99+(1-EXP(-LN(2)/25))/(LN(2)/25)*Calculateur!BL100*Calculateur!BN100*VLOOKUP('Données projet'!$B$11,Paramètres!$A$1:$I$89,3,0)*0.475*44/12</f>
        <v>2.2087207934910738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17.653915081983325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11.328408000000001</v>
      </c>
      <c r="D101" s="12">
        <f t="shared" si="86"/>
        <v>3.9356429283575549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15.317609001790393</v>
      </c>
      <c r="H101" s="70">
        <f t="shared" si="56"/>
        <v>283.25155536688942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182.84082525184493</v>
      </c>
      <c r="T101" s="62">
        <f t="shared" si="88"/>
        <v>430.83336115516937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1.1368683772161603E-13</v>
      </c>
      <c r="AJ101" s="14">
        <f>AI101*VLOOKUP('Données projet'!$B$10,Paramètres!$A$1:$I$89,3,0)*VLOOKUP('Données projet'!$B$10,Paramètres!$A$1:$I$89,5,0)</f>
        <v>6.7984728957526396E-14</v>
      </c>
      <c r="AK101" s="14">
        <f t="shared" si="89"/>
        <v>1.0682447123141398E-12</v>
      </c>
      <c r="AL101" s="22">
        <f t="shared" si="58"/>
        <v>1.978932943548152E-12</v>
      </c>
      <c r="AM101" s="62">
        <f t="shared" si="59"/>
        <v>293.3333333333353</v>
      </c>
      <c r="AN101" s="62">
        <f ca="1">AVERAGE(OFFSET($AM$3,0,0,'Données projet'!$E$10+1,1))-AVERAGE(OFFSET($H$3,0,0,'Données projet'!$E$10+1,1))</f>
        <v>182.84082525184493</v>
      </c>
      <c r="AO101" s="62">
        <f t="shared" si="90"/>
        <v>430.83336115516937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13.868682225562269</v>
      </c>
      <c r="AV101" s="23">
        <f>EXP(-LN(2)/25)*AV100+(1-EXP(-LN(2)/25))/(LN(2)/25)*Calculateur!AQ101*Calculateur!AS101*VLOOKUP('Données projet'!$B$10,Paramètres!$A$1:$I$89,3,0)*0.475*44/12</f>
        <v>6.6703032505964881</v>
      </c>
      <c r="AW101" s="23">
        <f>EXP(-LN(2)/2)*AW100+(1-EXP(-LN(2)/2))/(LN(2)/2)*AQ101*AT101*VLOOKUP('Données projet'!$B$10,Paramètres!$A$1:$I$89,3,0)*0.475*44/12</f>
        <v>2.5359555611450137E-9</v>
      </c>
      <c r="AX101" s="23">
        <f t="shared" si="60"/>
        <v>20.538985478694713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>
        <f>BD101*VLOOKUP('Données projet'!$B$11,Paramètres!$A$1:$I$89,3,0)*VLOOKUP('Données projet'!$B$11,Paramètres!$A$1:$I$89,5,0)</f>
        <v>0</v>
      </c>
      <c r="BF101" s="14" t="e">
        <f t="shared" si="91"/>
        <v>#NUM!</v>
      </c>
      <c r="BG101" s="22" t="e">
        <f t="shared" si="61"/>
        <v>#NUM!</v>
      </c>
      <c r="BH101" s="62" t="e">
        <f t="shared" si="62"/>
        <v>#NUM!</v>
      </c>
      <c r="BI101" s="62">
        <f ca="1">AVERAGE(OFFSET($BH$3,0,0,'Données projet'!$E$11+1,1))-AVERAGE(OFFSET($H$3,0,0,'Données projet'!$E$11+1,1))</f>
        <v>74.52152468677042</v>
      </c>
      <c r="BJ101" s="62">
        <f t="shared" si="92"/>
        <v>344.26747505795851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15.142323449133222</v>
      </c>
      <c r="BQ101" s="23">
        <f>EXP(-LN(2)/25)*BQ100+(1-EXP(-LN(2)/25))/(LN(2)/25)*Calculateur!BL101*Calculateur!BN101*VLOOKUP('Données projet'!$B$11,Paramètres!$A$1:$I$89,3,0)*0.475*44/12</f>
        <v>2.1483232072414817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17.290646656374705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11.444004000000001</v>
      </c>
      <c r="D102" s="12">
        <f t="shared" si="86"/>
        <v>3.9711069759314959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15.469199084618978</v>
      </c>
      <c r="H102" s="70">
        <f t="shared" si="56"/>
        <v>283.51465161641403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182.84082525184493</v>
      </c>
      <c r="T102" s="62">
        <f t="shared" si="88"/>
        <v>430.83336115516937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1.1368683772161603E-13</v>
      </c>
      <c r="AJ102" s="14">
        <f>AI102*VLOOKUP('Données projet'!$B$10,Paramètres!$A$1:$I$89,3,0)*VLOOKUP('Données projet'!$B$10,Paramètres!$A$1:$I$89,5,0)</f>
        <v>6.7984728957526396E-14</v>
      </c>
      <c r="AK102" s="14">
        <f t="shared" si="89"/>
        <v>1.0682447123141398E-12</v>
      </c>
      <c r="AL102" s="22">
        <f t="shared" si="58"/>
        <v>1.978932943548152E-12</v>
      </c>
      <c r="AM102" s="62">
        <f t="shared" si="59"/>
        <v>293.3333333333353</v>
      </c>
      <c r="AN102" s="62">
        <f ca="1">AVERAGE(OFFSET($AM$3,0,0,'Données projet'!$E$10+1,1))-AVERAGE(OFFSET($H$3,0,0,'Données projet'!$E$10+1,1))</f>
        <v>182.84082525184493</v>
      </c>
      <c r="AO102" s="62">
        <f t="shared" si="90"/>
        <v>430.83336115516937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13.596725826179888</v>
      </c>
      <c r="AV102" s="23">
        <f>EXP(-LN(2)/25)*AV101+(1-EXP(-LN(2)/25))/(LN(2)/25)*Calculateur!AQ102*Calculateur!AS102*VLOOKUP('Données projet'!$B$10,Paramètres!$A$1:$I$89,3,0)*0.475*44/12</f>
        <v>6.4879034574329246</v>
      </c>
      <c r="AW102" s="23">
        <f>EXP(-LN(2)/2)*AW101+(1-EXP(-LN(2)/2))/(LN(2)/2)*AQ102*AT102*VLOOKUP('Données projet'!$B$10,Paramètres!$A$1:$I$89,3,0)*0.475*44/12</f>
        <v>1.7931913740733756E-9</v>
      </c>
      <c r="AX102" s="23">
        <f t="shared" si="60"/>
        <v>20.084629285406006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>
        <f>BD102*VLOOKUP('Données projet'!$B$11,Paramètres!$A$1:$I$89,3,0)*VLOOKUP('Données projet'!$B$11,Paramètres!$A$1:$I$89,5,0)</f>
        <v>0</v>
      </c>
      <c r="BF102" s="14" t="e">
        <f t="shared" si="91"/>
        <v>#NUM!</v>
      </c>
      <c r="BG102" s="22" t="e">
        <f t="shared" si="61"/>
        <v>#NUM!</v>
      </c>
      <c r="BH102" s="62" t="e">
        <f t="shared" si="62"/>
        <v>#NUM!</v>
      </c>
      <c r="BI102" s="62">
        <f ca="1">AVERAGE(OFFSET($BH$3,0,0,'Données projet'!$E$11+1,1))-AVERAGE(OFFSET($H$3,0,0,'Données projet'!$E$11+1,1))</f>
        <v>74.52152468677042</v>
      </c>
      <c r="BJ102" s="62">
        <f t="shared" si="92"/>
        <v>344.26747505795851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14.845391722201054</v>
      </c>
      <c r="BQ102" s="23">
        <f>EXP(-LN(2)/25)*BQ101+(1-EXP(-LN(2)/25))/(LN(2)/25)*Calculateur!BL102*Calculateur!BN102*VLOOKUP('Données projet'!$B$11,Paramètres!$A$1:$I$89,3,0)*0.475*44/12</f>
        <v>2.0895771961640559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16.934968918365108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03" s="12">
        <f t="shared" si="86"/>
        <v>4.0065293501366055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15.620747347856385</v>
      </c>
      <c r="H103" s="70">
        <f t="shared" si="56"/>
        <v>283.77767528482127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182.84082525184493</v>
      </c>
      <c r="T103" s="62">
        <f t="shared" si="88"/>
        <v>430.83336115516937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1.1368683772161603E-13</v>
      </c>
      <c r="AJ103" s="14">
        <f>AI103*VLOOKUP('Données projet'!$B$10,Paramètres!$A$1:$I$89,3,0)*VLOOKUP('Données projet'!$B$10,Paramètres!$A$1:$I$89,5,0)</f>
        <v>6.7984728957526396E-14</v>
      </c>
      <c r="AK103" s="14">
        <f t="shared" si="89"/>
        <v>1.0682447123141398E-12</v>
      </c>
      <c r="AL103" s="22">
        <f t="shared" si="58"/>
        <v>1.978932943548152E-12</v>
      </c>
      <c r="AM103" s="62">
        <f t="shared" si="59"/>
        <v>293.3333333333353</v>
      </c>
      <c r="AN103" s="62">
        <f ca="1">AVERAGE(OFFSET($AM$3,0,0,'Données projet'!$E$10+1,1))-AVERAGE(OFFSET($H$3,0,0,'Données projet'!$E$10+1,1))</f>
        <v>182.84082525184493</v>
      </c>
      <c r="AO103" s="62">
        <f t="shared" si="90"/>
        <v>430.83336115516937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13.330102325912371</v>
      </c>
      <c r="AV103" s="23">
        <f>EXP(-LN(2)/25)*AV102+(1-EXP(-LN(2)/25))/(LN(2)/25)*Calculateur!AQ103*Calculateur!AS103*VLOOKUP('Données projet'!$B$10,Paramètres!$A$1:$I$89,3,0)*0.475*44/12</f>
        <v>6.310491396205407</v>
      </c>
      <c r="AW103" s="23">
        <f>EXP(-LN(2)/2)*AW102+(1-EXP(-LN(2)/2))/(LN(2)/2)*AQ103*AT103*VLOOKUP('Données projet'!$B$10,Paramètres!$A$1:$I$89,3,0)*0.475*44/12</f>
        <v>1.267977780572507E-9</v>
      </c>
      <c r="AX103" s="23">
        <f t="shared" si="60"/>
        <v>19.640593723385756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>
        <f>BD103*VLOOKUP('Données projet'!$B$11,Paramètres!$A$1:$I$89,3,0)*VLOOKUP('Données projet'!$B$11,Paramètres!$A$1:$I$89,5,0)</f>
        <v>0</v>
      </c>
      <c r="BF103" s="14" t="e">
        <f t="shared" si="91"/>
        <v>#NUM!</v>
      </c>
      <c r="BG103" s="22" t="e">
        <f t="shared" si="61"/>
        <v>#NUM!</v>
      </c>
      <c r="BH103" s="62" t="e">
        <f t="shared" si="62"/>
        <v>#NUM!</v>
      </c>
      <c r="BI103" s="62">
        <f ca="1">AVERAGE(OFFSET($BH$3,0,0,'Données projet'!$E$11+1,1))-AVERAGE(OFFSET($H$3,0,0,'Données projet'!$E$11+1,1))</f>
        <v>74.52152468677042</v>
      </c>
      <c r="BJ103" s="62">
        <f t="shared" si="92"/>
        <v>344.26747505795851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14.554282645323555</v>
      </c>
      <c r="BQ103" s="23">
        <f>EXP(-LN(2)/25)*BQ102+(1-EXP(-LN(2)/25))/(LN(2)/25)*Calculateur!BL103*Calculateur!BN103*VLOOKUP('Données projet'!$B$11,Paramètres!$A$1:$I$89,3,0)*0.475*44/12</f>
        <v>2.0324375978488609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16.586720243172415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11.675196000000001</v>
      </c>
      <c r="D104" s="12">
        <f t="shared" si="86"/>
        <v>4.0419105159592741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15.772254258120538</v>
      </c>
      <c r="H104" s="70">
        <f t="shared" si="56"/>
        <v>284.04062718196241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182.84082525184493</v>
      </c>
      <c r="T104" s="62">
        <f t="shared" si="88"/>
        <v>430.83336115516937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1.1368683772161603E-13</v>
      </c>
      <c r="AJ104" s="14">
        <f>AI104*VLOOKUP('Données projet'!$B$10,Paramètres!$A$1:$I$89,3,0)*VLOOKUP('Données projet'!$B$10,Paramètres!$A$1:$I$89,5,0)</f>
        <v>6.7984728957526396E-14</v>
      </c>
      <c r="AK104" s="14">
        <f t="shared" si="89"/>
        <v>1.0682447123141398E-12</v>
      </c>
      <c r="AL104" s="22">
        <f t="shared" si="58"/>
        <v>1.978932943548152E-12</v>
      </c>
      <c r="AM104" s="62">
        <f t="shared" si="59"/>
        <v>293.3333333333353</v>
      </c>
      <c r="AN104" s="62">
        <f ca="1">AVERAGE(OFFSET($AM$3,0,0,'Données projet'!$E$10+1,1))-AVERAGE(OFFSET($H$3,0,0,'Données projet'!$E$10+1,1))</f>
        <v>182.84082525184493</v>
      </c>
      <c r="AO104" s="62">
        <f t="shared" si="90"/>
        <v>430.83336115516937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13.068707149860822</v>
      </c>
      <c r="AV104" s="23">
        <f>EXP(-LN(2)/25)*AV103+(1-EXP(-LN(2)/25))/(LN(2)/25)*Calculateur!AQ104*Calculateur!AS104*VLOOKUP('Données projet'!$B$10,Paramètres!$A$1:$I$89,3,0)*0.475*44/12</f>
        <v>6.13793067712185</v>
      </c>
      <c r="AW104" s="23">
        <f>EXP(-LN(2)/2)*AW103+(1-EXP(-LN(2)/2))/(LN(2)/2)*AQ104*AT104*VLOOKUP('Données projet'!$B$10,Paramètres!$A$1:$I$89,3,0)*0.475*44/12</f>
        <v>8.9659568703668793E-10</v>
      </c>
      <c r="AX104" s="23">
        <f t="shared" si="60"/>
        <v>19.206637827879266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>
        <f>BD104*VLOOKUP('Données projet'!$B$11,Paramètres!$A$1:$I$89,3,0)*VLOOKUP('Données projet'!$B$11,Paramètres!$A$1:$I$89,5,0)</f>
        <v>0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74.52152468677042</v>
      </c>
      <c r="BJ104" s="62">
        <f t="shared" si="92"/>
        <v>344.26747505795851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14.26888203988462</v>
      </c>
      <c r="BQ104" s="23">
        <f>EXP(-LN(2)/25)*BQ103+(1-EXP(-LN(2)/25))/(LN(2)/25)*Calculateur!BL104*Calculateur!BN104*VLOOKUP('Données projet'!$B$11,Paramètres!$A$1:$I$89,3,0)*0.475*44/12</f>
        <v>1.9768604848544358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16.245742524739054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11.790792000000001</v>
      </c>
      <c r="D105" s="12">
        <f t="shared" si="86"/>
        <v>4.0772509286475032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15.923720272256794</v>
      </c>
      <c r="H105" s="70">
        <f t="shared" si="56"/>
        <v>284.30350810072775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182.84082525184493</v>
      </c>
      <c r="T105" s="62">
        <f t="shared" si="88"/>
        <v>430.83336115516937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1.1368683772161603E-13</v>
      </c>
      <c r="AJ105" s="14">
        <f>AI105*VLOOKUP('Données projet'!$B$10,Paramètres!$A$1:$I$89,3,0)*VLOOKUP('Données projet'!$B$10,Paramètres!$A$1:$I$89,5,0)</f>
        <v>6.7984728957526396E-14</v>
      </c>
      <c r="AK105" s="14">
        <f t="shared" si="89"/>
        <v>1.0682447123141398E-12</v>
      </c>
      <c r="AL105" s="22">
        <f t="shared" si="58"/>
        <v>1.978932943548152E-12</v>
      </c>
      <c r="AM105" s="62">
        <f t="shared" si="59"/>
        <v>293.3333333333353</v>
      </c>
      <c r="AN105" s="62">
        <f ca="1">AVERAGE(OFFSET($AM$3,0,0,'Données projet'!$E$10+1,1))-AVERAGE(OFFSET($H$3,0,0,'Données projet'!$E$10+1,1))</f>
        <v>182.84082525184493</v>
      </c>
      <c r="AO105" s="62">
        <f t="shared" si="90"/>
        <v>430.83336115516937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12.812437773776329</v>
      </c>
      <c r="AV105" s="23">
        <f>EXP(-LN(2)/25)*AV104+(1-EXP(-LN(2)/25))/(LN(2)/25)*Calculateur!AQ105*Calculateur!AS105*VLOOKUP('Données projet'!$B$10,Paramètres!$A$1:$I$89,3,0)*0.475*44/12</f>
        <v>5.9700886399762068</v>
      </c>
      <c r="AW105" s="23">
        <f>EXP(-LN(2)/2)*AW104+(1-EXP(-LN(2)/2))/(LN(2)/2)*AQ105*AT105*VLOOKUP('Données projet'!$B$10,Paramètres!$A$1:$I$89,3,0)*0.475*44/12</f>
        <v>6.3398889028625362E-10</v>
      </c>
      <c r="AX105" s="23">
        <f t="shared" si="60"/>
        <v>18.782526414386524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>
        <f>BD105*VLOOKUP('Données projet'!$B$11,Paramètres!$A$1:$I$89,3,0)*VLOOKUP('Données projet'!$B$11,Paramètres!$A$1:$I$89,5,0)</f>
        <v>0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74.52152468677042</v>
      </c>
      <c r="BJ105" s="62">
        <f t="shared" si="92"/>
        <v>344.26747505795851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13.989077966241162</v>
      </c>
      <c r="BQ105" s="23">
        <f>EXP(-LN(2)/25)*BQ104+(1-EXP(-LN(2)/25))/(LN(2)/25)*Calculateur!BL105*Calculateur!BN105*VLOOKUP('Données projet'!$B$11,Paramètres!$A$1:$I$89,3,0)*0.475*44/12</f>
        <v>1.9228031309375164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15.911881097178679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11.906388000000002</v>
      </c>
      <c r="D106" s="12">
        <f t="shared" si="86"/>
        <v>4.1125510340082725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16.075145837636374</v>
      </c>
      <c r="H106" s="70">
        <f t="shared" si="56"/>
        <v>284.56631881756442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182.84082525184493</v>
      </c>
      <c r="T106" s="62">
        <f t="shared" si="88"/>
        <v>430.83336115516937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1.1368683772161603E-13</v>
      </c>
      <c r="AJ106" s="14">
        <f>AI106*VLOOKUP('Données projet'!$B$10,Paramètres!$A$1:$I$89,3,0)*VLOOKUP('Données projet'!$B$10,Paramètres!$A$1:$I$89,5,0)</f>
        <v>6.7984728957526396E-14</v>
      </c>
      <c r="AK106" s="14">
        <f t="shared" si="89"/>
        <v>1.0682447123141398E-12</v>
      </c>
      <c r="AL106" s="22">
        <f t="shared" si="58"/>
        <v>1.978932943548152E-12</v>
      </c>
      <c r="AM106" s="62">
        <f t="shared" si="59"/>
        <v>293.3333333333353</v>
      </c>
      <c r="AN106" s="62">
        <f ca="1">AVERAGE(OFFSET($AM$3,0,0,'Données projet'!$E$10+1,1))-AVERAGE(OFFSET($H$3,0,0,'Données projet'!$E$10+1,1))</f>
        <v>182.84082525184493</v>
      </c>
      <c r="AO106" s="62">
        <f t="shared" si="90"/>
        <v>430.83336115516937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12.561193683847968</v>
      </c>
      <c r="AV106" s="23">
        <f>EXP(-LN(2)/25)*AV105+(1-EXP(-LN(2)/25))/(LN(2)/25)*Calculateur!AQ106*Calculateur!AS106*VLOOKUP('Données projet'!$B$10,Paramètres!$A$1:$I$89,3,0)*0.475*44/12</f>
        <v>5.806836252162741</v>
      </c>
      <c r="AW106" s="23">
        <f>EXP(-LN(2)/2)*AW105+(1-EXP(-LN(2)/2))/(LN(2)/2)*AQ106*AT106*VLOOKUP('Données projet'!$B$10,Paramètres!$A$1:$I$89,3,0)*0.475*44/12</f>
        <v>4.4829784351834407E-10</v>
      </c>
      <c r="AX106" s="23">
        <f t="shared" si="60"/>
        <v>18.368029936459006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>
        <f>BD106*VLOOKUP('Données projet'!$B$11,Paramètres!$A$1:$I$89,3,0)*VLOOKUP('Données projet'!$B$11,Paramètres!$A$1:$I$89,5,0)</f>
        <v>0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74.52152468677042</v>
      </c>
      <c r="BJ106" s="62">
        <f t="shared" si="92"/>
        <v>344.26747505795851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13.714760679818218</v>
      </c>
      <c r="BQ106" s="23">
        <f>EXP(-LN(2)/25)*BQ105+(1-EXP(-LN(2)/25))/(LN(2)/25)*Calculateur!BL106*Calculateur!BN106*VLOOKUP('Données projet'!$B$11,Paramètres!$A$1:$I$89,3,0)*0.475*44/12</f>
        <v>1.870223978206208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15.584984658024426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12.021984000000002</v>
      </c>
      <c r="D107" s="12">
        <f t="shared" si="86"/>
        <v>4.1478112686930633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16.226531392442865</v>
      </c>
      <c r="H107" s="70">
        <f t="shared" si="56"/>
        <v>284.82906009297375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182.84082525184493</v>
      </c>
      <c r="T107" s="62">
        <f t="shared" si="88"/>
        <v>430.83336115516937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1.1368683772161603E-13</v>
      </c>
      <c r="AJ107" s="14">
        <f>AI107*VLOOKUP('Données projet'!$B$10,Paramètres!$A$1:$I$89,3,0)*VLOOKUP('Données projet'!$B$10,Paramètres!$A$1:$I$89,5,0)</f>
        <v>6.7984728957526396E-14</v>
      </c>
      <c r="AK107" s="14">
        <f t="shared" si="89"/>
        <v>1.0682447123141398E-12</v>
      </c>
      <c r="AL107" s="22">
        <f t="shared" si="58"/>
        <v>1.978932943548152E-12</v>
      </c>
      <c r="AM107" s="62">
        <f t="shared" si="59"/>
        <v>293.3333333333353</v>
      </c>
      <c r="AN107" s="62">
        <f ca="1">AVERAGE(OFFSET($AM$3,0,0,'Données projet'!$E$10+1,1))-AVERAGE(OFFSET($H$3,0,0,'Données projet'!$E$10+1,1))</f>
        <v>182.84082525184493</v>
      </c>
      <c r="AO107" s="62">
        <f t="shared" si="90"/>
        <v>430.83336115516937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12.314876337279339</v>
      </c>
      <c r="AV107" s="23">
        <f>EXP(-LN(2)/25)*AV106+(1-EXP(-LN(2)/25))/(LN(2)/25)*Calculateur!AQ107*Calculateur!AS107*VLOOKUP('Données projet'!$B$10,Paramètres!$A$1:$I$89,3,0)*0.475*44/12</f>
        <v>5.6480480094791039</v>
      </c>
      <c r="AW107" s="23">
        <f>EXP(-LN(2)/2)*AW106+(1-EXP(-LN(2)/2))/(LN(2)/2)*AQ107*AT107*VLOOKUP('Données projet'!$B$10,Paramètres!$A$1:$I$89,3,0)*0.475*44/12</f>
        <v>3.1699444514312686E-10</v>
      </c>
      <c r="AX107" s="23">
        <f t="shared" si="60"/>
        <v>17.962924347075436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>
        <f>BD107*VLOOKUP('Données projet'!$B$11,Paramètres!$A$1:$I$89,3,0)*VLOOKUP('Données projet'!$B$11,Paramètres!$A$1:$I$89,5,0)</f>
        <v>0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74.52152468677042</v>
      </c>
      <c r="BJ107" s="62">
        <f t="shared" si="92"/>
        <v>344.26747505795851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13.445822588065004</v>
      </c>
      <c r="BQ107" s="23">
        <f>EXP(-LN(2)/25)*BQ106+(1-EXP(-LN(2)/25))/(LN(2)/25)*Calculateur!BL107*Calculateur!BN107*VLOOKUP('Données projet'!$B$11,Paramètres!$A$1:$I$89,3,0)*0.475*44/12</f>
        <v>1.8190826051713547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15.264905193236359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12.137580000000002</v>
      </c>
      <c r="D108" s="12">
        <f t="shared" si="86"/>
        <v>4.1830320604720672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16.377877365947409</v>
      </c>
      <c r="H108" s="70">
        <f t="shared" si="56"/>
        <v>285.09173267198889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182.84082525184493</v>
      </c>
      <c r="T108" s="62">
        <f t="shared" si="88"/>
        <v>430.83336115516937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1.1368683772161603E-13</v>
      </c>
      <c r="AJ108" s="14">
        <f>AI108*VLOOKUP('Données projet'!$B$10,Paramètres!$A$1:$I$89,3,0)*VLOOKUP('Données projet'!$B$10,Paramètres!$A$1:$I$89,5,0)</f>
        <v>6.7984728957526396E-14</v>
      </c>
      <c r="AK108" s="14">
        <f t="shared" si="89"/>
        <v>1.0682447123141398E-12</v>
      </c>
      <c r="AL108" s="22">
        <f t="shared" si="58"/>
        <v>1.978932943548152E-12</v>
      </c>
      <c r="AM108" s="62">
        <f t="shared" si="59"/>
        <v>293.3333333333353</v>
      </c>
      <c r="AN108" s="62">
        <f ca="1">AVERAGE(OFFSET($AM$3,0,0,'Données projet'!$E$10+1,1))-AVERAGE(OFFSET($H$3,0,0,'Données projet'!$E$10+1,1))</f>
        <v>182.84082525184493</v>
      </c>
      <c r="AO108" s="62">
        <f t="shared" si="90"/>
        <v>430.83336115516937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12.073389123638174</v>
      </c>
      <c r="AV108" s="23">
        <f>EXP(-LN(2)/25)*AV107+(1-EXP(-LN(2)/25))/(LN(2)/25)*Calculateur!AQ108*Calculateur!AS108*VLOOKUP('Données projet'!$B$10,Paramètres!$A$1:$I$89,3,0)*0.475*44/12</f>
        <v>5.4936018396419621</v>
      </c>
      <c r="AW108" s="23">
        <f>EXP(-LN(2)/2)*AW107+(1-EXP(-LN(2)/2))/(LN(2)/2)*AQ108*AT108*VLOOKUP('Données projet'!$B$10,Paramètres!$A$1:$I$89,3,0)*0.475*44/12</f>
        <v>2.2414892175917206E-10</v>
      </c>
      <c r="AX108" s="23">
        <f t="shared" si="60"/>
        <v>17.566990963504285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>
        <f>BD108*VLOOKUP('Données projet'!$B$11,Paramètres!$A$1:$I$89,3,0)*VLOOKUP('Données projet'!$B$11,Paramètres!$A$1:$I$89,5,0)</f>
        <v>0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74.52152468677042</v>
      </c>
      <c r="BJ108" s="62">
        <f t="shared" si="92"/>
        <v>344.26747505795851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13.182158208255032</v>
      </c>
      <c r="BQ108" s="23">
        <f>EXP(-LN(2)/25)*BQ107+(1-EXP(-LN(2)/25))/(LN(2)/25)*Calculateur!BL108*Calculateur!BN108*VLOOKUP('Données projet'!$B$11,Paramètres!$A$1:$I$89,3,0)*0.475*44/12</f>
        <v>1.7693396956715473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14.95149790392658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12.253176000000002</v>
      </c>
      <c r="D109" s="12">
        <f t="shared" si="86"/>
        <v>4.2182138284976416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16.529184178773075</v>
      </c>
      <c r="H109" s="70">
        <f t="shared" si="56"/>
        <v>285.3543372846334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182.84082525184493</v>
      </c>
      <c r="T109" s="62">
        <f t="shared" si="88"/>
        <v>430.83336115516937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1.1368683772161603E-13</v>
      </c>
      <c r="AJ109" s="14">
        <f>AI109*VLOOKUP('Données projet'!$B$10,Paramètres!$A$1:$I$89,3,0)*VLOOKUP('Données projet'!$B$10,Paramètres!$A$1:$I$89,5,0)</f>
        <v>6.7984728957526396E-14</v>
      </c>
      <c r="AK109" s="14">
        <f t="shared" si="89"/>
        <v>1.0682447123141398E-12</v>
      </c>
      <c r="AL109" s="22">
        <f t="shared" si="58"/>
        <v>1.978932943548152E-12</v>
      </c>
      <c r="AM109" s="62">
        <f t="shared" si="59"/>
        <v>293.3333333333353</v>
      </c>
      <c r="AN109" s="62">
        <f ca="1">AVERAGE(OFFSET($AM$3,0,0,'Données projet'!$E$10+1,1))-AVERAGE(OFFSET($H$3,0,0,'Données projet'!$E$10+1,1))</f>
        <v>182.84082525184493</v>
      </c>
      <c r="AO109" s="62">
        <f t="shared" si="90"/>
        <v>430.83336115516937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11.836637326963857</v>
      </c>
      <c r="AV109" s="23">
        <f>EXP(-LN(2)/25)*AV108+(1-EXP(-LN(2)/25))/(LN(2)/25)*Calculateur!AQ109*Calculateur!AS109*VLOOKUP('Données projet'!$B$10,Paramètres!$A$1:$I$89,3,0)*0.475*44/12</f>
        <v>5.343379008440988</v>
      </c>
      <c r="AW109" s="23">
        <f>EXP(-LN(2)/2)*AW108+(1-EXP(-LN(2)/2))/(LN(2)/2)*AQ109*AT109*VLOOKUP('Données projet'!$B$10,Paramètres!$A$1:$I$89,3,0)*0.475*44/12</f>
        <v>1.5849722257156346E-10</v>
      </c>
      <c r="AX109" s="23">
        <f t="shared" si="60"/>
        <v>17.180016335563341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>
        <f>BD109*VLOOKUP('Données projet'!$B$11,Paramètres!$A$1:$I$89,3,0)*VLOOKUP('Données projet'!$B$11,Paramètres!$A$1:$I$89,5,0)</f>
        <v>0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74.52152468677042</v>
      </c>
      <c r="BJ109" s="62">
        <f t="shared" si="92"/>
        <v>344.26747505795851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12.923664126113742</v>
      </c>
      <c r="BQ109" s="23">
        <f>EXP(-LN(2)/25)*BQ108+(1-EXP(-LN(2)/25))/(LN(2)/25)*Calculateur!BL109*Calculateur!BN109*VLOOKUP('Données projet'!$B$11,Paramètres!$A$1:$I$89,3,0)*0.475*44/12</f>
        <v>1.720957008647878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14.64462113476162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12.368772000000002</v>
      </c>
      <c r="D110" s="12">
        <f t="shared" si="86"/>
        <v>4.2533569835575626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16.680452243148995</v>
      </c>
      <c r="H110" s="70">
        <f t="shared" si="56"/>
        <v>285.61687464636276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182.84082525184493</v>
      </c>
      <c r="T110" s="62">
        <f t="shared" si="88"/>
        <v>430.83336115516937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1.1368683772161603E-13</v>
      </c>
      <c r="AJ110" s="14">
        <f>AI110*VLOOKUP('Données projet'!$B$10,Paramètres!$A$1:$I$89,3,0)*VLOOKUP('Données projet'!$B$10,Paramètres!$A$1:$I$89,5,0)</f>
        <v>6.7984728957526396E-14</v>
      </c>
      <c r="AK110" s="14">
        <f t="shared" si="89"/>
        <v>1.0682447123141398E-12</v>
      </c>
      <c r="AL110" s="22">
        <f t="shared" si="58"/>
        <v>1.978932943548152E-12</v>
      </c>
      <c r="AM110" s="62">
        <f t="shared" si="59"/>
        <v>293.3333333333353</v>
      </c>
      <c r="AN110" s="62">
        <f ca="1">AVERAGE(OFFSET($AM$3,0,0,'Données projet'!$E$10+1,1))-AVERAGE(OFFSET($H$3,0,0,'Données projet'!$E$10+1,1))</f>
        <v>182.84082525184493</v>
      </c>
      <c r="AO110" s="62">
        <f t="shared" si="90"/>
        <v>430.83336115516937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11.604528088617984</v>
      </c>
      <c r="AV110" s="23">
        <f>EXP(-LN(2)/25)*AV109+(1-EXP(-LN(2)/25))/(LN(2)/25)*Calculateur!AQ110*Calculateur!AS110*VLOOKUP('Données projet'!$B$10,Paramètres!$A$1:$I$89,3,0)*0.475*44/12</f>
        <v>5.1972640284590792</v>
      </c>
      <c r="AW110" s="23">
        <f>EXP(-LN(2)/2)*AW109+(1-EXP(-LN(2)/2))/(LN(2)/2)*AQ110*AT110*VLOOKUP('Données projet'!$B$10,Paramètres!$A$1:$I$89,3,0)*0.475*44/12</f>
        <v>1.1207446087958606E-10</v>
      </c>
      <c r="AX110" s="23">
        <f t="shared" si="60"/>
        <v>16.801792117189137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>
        <f>BD110*VLOOKUP('Données projet'!$B$11,Paramètres!$A$1:$I$89,3,0)*VLOOKUP('Données projet'!$B$11,Paramètres!$A$1:$I$89,5,0)</f>
        <v>0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74.52152468677042</v>
      </c>
      <c r="BJ110" s="62">
        <f t="shared" si="92"/>
        <v>344.26747505795851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12.670238955257421</v>
      </c>
      <c r="BQ110" s="23">
        <f>EXP(-LN(2)/25)*BQ109+(1-EXP(-LN(2)/25))/(LN(2)/25)*Calculateur!BL110*Calculateur!BN110*VLOOKUP('Données projet'!$B$11,Paramètres!$A$1:$I$89,3,0)*0.475*44/12</f>
        <v>1.673897348745206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14.344136304002626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12.484368000000002</v>
      </c>
      <c r="D111" s="12">
        <f t="shared" si="86"/>
        <v>4.2884619283185179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16.831681963154725</v>
      </c>
      <c r="H111" s="70">
        <f t="shared" si="56"/>
        <v>285.8793454584881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182.84082525184493</v>
      </c>
      <c r="T111" s="62">
        <f t="shared" si="88"/>
        <v>430.83336115516937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1.1368683772161603E-13</v>
      </c>
      <c r="AJ111" s="14">
        <f>AI111*VLOOKUP('Données projet'!$B$10,Paramètres!$A$1:$I$89,3,0)*VLOOKUP('Données projet'!$B$10,Paramètres!$A$1:$I$89,5,0)</f>
        <v>6.7984728957526396E-14</v>
      </c>
      <c r="AK111" s="14">
        <f t="shared" si="89"/>
        <v>1.0682447123141398E-12</v>
      </c>
      <c r="AL111" s="22">
        <f t="shared" si="58"/>
        <v>1.978932943548152E-12</v>
      </c>
      <c r="AM111" s="62">
        <f t="shared" si="59"/>
        <v>293.3333333333353</v>
      </c>
      <c r="AN111" s="62">
        <f ca="1">AVERAGE(OFFSET($AM$3,0,0,'Données projet'!$E$10+1,1))-AVERAGE(OFFSET($H$3,0,0,'Données projet'!$E$10+1,1))</f>
        <v>182.84082525184493</v>
      </c>
      <c r="AO111" s="62">
        <f t="shared" si="90"/>
        <v>430.83336115516937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11.376970370863418</v>
      </c>
      <c r="AV111" s="23">
        <f>EXP(-LN(2)/25)*AV110+(1-EXP(-LN(2)/25))/(LN(2)/25)*Calculateur!AQ111*Calculateur!AS111*VLOOKUP('Données projet'!$B$10,Paramètres!$A$1:$I$89,3,0)*0.475*44/12</f>
        <v>5.0551445702886291</v>
      </c>
      <c r="AW111" s="23">
        <f>EXP(-LN(2)/2)*AW110+(1-EXP(-LN(2)/2))/(LN(2)/2)*AQ111*AT111*VLOOKUP('Données projet'!$B$10,Paramètres!$A$1:$I$89,3,0)*0.475*44/12</f>
        <v>7.9248611285781742E-11</v>
      </c>
      <c r="AX111" s="23">
        <f t="shared" si="60"/>
        <v>16.432114941231298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>
        <f>BD111*VLOOKUP('Données projet'!$B$11,Paramètres!$A$1:$I$89,3,0)*VLOOKUP('Données projet'!$B$11,Paramètres!$A$1:$I$89,5,0)</f>
        <v>0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74.52152468677042</v>
      </c>
      <c r="BJ111" s="62">
        <f t="shared" si="92"/>
        <v>344.26747505795851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12.421783297427501</v>
      </c>
      <c r="BQ111" s="23">
        <f>EXP(-LN(2)/25)*BQ110+(1-EXP(-LN(2)/25))/(LN(2)/25)*Calculateur!BL111*Calculateur!BN111*VLOOKUP('Données projet'!$B$11,Paramètres!$A$1:$I$89,3,0)*0.475*44/12</f>
        <v>1.6281245377173326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14.049907835144833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12.599964000000002</v>
      </c>
      <c r="D112" s="12">
        <f t="shared" si="86"/>
        <v>4.3235290575603402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16.982873734955295</v>
      </c>
      <c r="H112" s="70">
        <f t="shared" si="56"/>
        <v>286.1417504085843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182.84082525184493</v>
      </c>
      <c r="T112" s="62">
        <f t="shared" si="88"/>
        <v>430.83336115516937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1.1368683772161603E-13</v>
      </c>
      <c r="AJ112" s="14">
        <f>AI112*VLOOKUP('Données projet'!$B$10,Paramètres!$A$1:$I$89,3,0)*VLOOKUP('Données projet'!$B$10,Paramètres!$A$1:$I$89,5,0)</f>
        <v>6.7984728957526396E-14</v>
      </c>
      <c r="AK112" s="14">
        <f t="shared" si="89"/>
        <v>1.0682447123141398E-12</v>
      </c>
      <c r="AL112" s="22">
        <f t="shared" si="58"/>
        <v>1.978932943548152E-12</v>
      </c>
      <c r="AM112" s="62">
        <f t="shared" si="59"/>
        <v>293.3333333333353</v>
      </c>
      <c r="AN112" s="62">
        <f ca="1">AVERAGE(OFFSET($AM$3,0,0,'Données projet'!$E$10+1,1))-AVERAGE(OFFSET($H$3,0,0,'Données projet'!$E$10+1,1))</f>
        <v>182.84082525184493</v>
      </c>
      <c r="AO112" s="62">
        <f t="shared" si="90"/>
        <v>430.83336115516937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11.153874921157517</v>
      </c>
      <c r="AV112" s="23">
        <f>EXP(-LN(2)/25)*AV111+(1-EXP(-LN(2)/25))/(LN(2)/25)*Calculateur!AQ112*Calculateur!AS112*VLOOKUP('Données projet'!$B$10,Paramètres!$A$1:$I$89,3,0)*0.475*44/12</f>
        <v>4.9169113761755874</v>
      </c>
      <c r="AW112" s="23">
        <f>EXP(-LN(2)/2)*AW111+(1-EXP(-LN(2)/2))/(LN(2)/2)*AQ112*AT112*VLOOKUP('Données projet'!$B$10,Paramètres!$A$1:$I$89,3,0)*0.475*44/12</f>
        <v>5.6037230439793034E-11</v>
      </c>
      <c r="AX112" s="23">
        <f t="shared" si="60"/>
        <v>16.070786297389141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>
        <f>BD112*VLOOKUP('Données projet'!$B$11,Paramètres!$A$1:$I$89,3,0)*VLOOKUP('Données projet'!$B$11,Paramètres!$A$1:$I$89,5,0)</f>
        <v>0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74.52152468677042</v>
      </c>
      <c r="BJ112" s="62">
        <f t="shared" si="92"/>
        <v>344.26747505795851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12.178199703504637</v>
      </c>
      <c r="BQ112" s="23">
        <f>EXP(-LN(2)/25)*BQ111+(1-EXP(-LN(2)/25))/(LN(2)/25)*Calculateur!BL112*Calculateur!BN112*VLOOKUP('Données projet'!$B$11,Paramètres!$A$1:$I$89,3,0)*0.475*44/12</f>
        <v>1.5836033866141037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13.761803090118741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12.715560000000002</v>
      </c>
      <c r="D113" s="12">
        <f t="shared" si="86"/>
        <v>4.3585587584013803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17.134027947027352</v>
      </c>
      <c r="H113" s="70">
        <f t="shared" si="56"/>
        <v>286.40409017088245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182.84082525184493</v>
      </c>
      <c r="T113" s="62">
        <f t="shared" si="88"/>
        <v>430.83336115516937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1.1368683772161603E-13</v>
      </c>
      <c r="AJ113" s="14">
        <f>AI113*VLOOKUP('Données projet'!$B$10,Paramètres!$A$1:$I$89,3,0)*VLOOKUP('Données projet'!$B$10,Paramètres!$A$1:$I$89,5,0)</f>
        <v>6.7984728957526396E-14</v>
      </c>
      <c r="AK113" s="14">
        <f t="shared" si="89"/>
        <v>1.0682447123141398E-12</v>
      </c>
      <c r="AL113" s="22">
        <f t="shared" si="58"/>
        <v>1.978932943548152E-12</v>
      </c>
      <c r="AM113" s="62">
        <f t="shared" si="59"/>
        <v>293.3333333333353</v>
      </c>
      <c r="AN113" s="62">
        <f ca="1">AVERAGE(OFFSET($AM$3,0,0,'Données projet'!$E$10+1,1))-AVERAGE(OFFSET($H$3,0,0,'Données projet'!$E$10+1,1))</f>
        <v>182.84082525184493</v>
      </c>
      <c r="AO113" s="62">
        <f t="shared" si="90"/>
        <v>430.83336115516937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10.935154237145561</v>
      </c>
      <c r="AV113" s="23">
        <f>EXP(-LN(2)/25)*AV112+(1-EXP(-LN(2)/25))/(LN(2)/25)*Calculateur!AQ113*Calculateur!AS113*VLOOKUP('Données projet'!$B$10,Paramètres!$A$1:$I$89,3,0)*0.475*44/12</f>
        <v>4.7824581760249343</v>
      </c>
      <c r="AW113" s="23">
        <f>EXP(-LN(2)/2)*AW112+(1-EXP(-LN(2)/2))/(LN(2)/2)*AQ113*AT113*VLOOKUP('Données projet'!$B$10,Paramètres!$A$1:$I$89,3,0)*0.475*44/12</f>
        <v>3.9624305642890877E-11</v>
      </c>
      <c r="AX113" s="23">
        <f t="shared" si="60"/>
        <v>15.717612413210121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>
        <f>BD113*VLOOKUP('Données projet'!$B$11,Paramètres!$A$1:$I$89,3,0)*VLOOKUP('Données projet'!$B$11,Paramètres!$A$1:$I$89,5,0)</f>
        <v>0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74.52152468677042</v>
      </c>
      <c r="BJ113" s="62">
        <f t="shared" si="92"/>
        <v>344.26747505795851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11.939392635287279</v>
      </c>
      <c r="BQ113" s="23">
        <f>EXP(-LN(2)/25)*BQ112+(1-EXP(-LN(2)/25))/(LN(2)/25)*Calculateur!BL113*Calculateur!BN113*VLOOKUP('Données projet'!$B$11,Paramètres!$A$1:$I$89,3,0)*0.475*44/12</f>
        <v>1.5402996687290582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13.479692304016337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12.831156000000002</v>
      </c>
      <c r="D114" s="12">
        <f t="shared" si="86"/>
        <v>4.3935514105154727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17.285144980376931</v>
      </c>
      <c r="H114" s="70">
        <f t="shared" si="56"/>
        <v>286.6663654066478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182.84082525184493</v>
      </c>
      <c r="T114" s="62">
        <f t="shared" si="88"/>
        <v>430.83336115516937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1.1368683772161603E-13</v>
      </c>
      <c r="AJ114" s="14">
        <f>AI114*VLOOKUP('Données projet'!$B$10,Paramètres!$A$1:$I$89,3,0)*VLOOKUP('Données projet'!$B$10,Paramètres!$A$1:$I$89,5,0)</f>
        <v>6.7984728957526396E-14</v>
      </c>
      <c r="AK114" s="14">
        <f t="shared" si="89"/>
        <v>1.0682447123141398E-12</v>
      </c>
      <c r="AL114" s="22">
        <f t="shared" si="58"/>
        <v>1.978932943548152E-12</v>
      </c>
      <c r="AM114" s="62">
        <f t="shared" si="59"/>
        <v>293.3333333333353</v>
      </c>
      <c r="AN114" s="62">
        <f ca="1">AVERAGE(OFFSET($AM$3,0,0,'Données projet'!$E$10+1,1))-AVERAGE(OFFSET($H$3,0,0,'Données projet'!$E$10+1,1))</f>
        <v>182.84082525184493</v>
      </c>
      <c r="AO114" s="62">
        <f t="shared" si="90"/>
        <v>430.83336115516937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10.720722532340634</v>
      </c>
      <c r="AV114" s="23">
        <f>EXP(-LN(2)/25)*AV113+(1-EXP(-LN(2)/25))/(LN(2)/25)*Calculateur!AQ114*Calculateur!AS114*VLOOKUP('Données projet'!$B$10,Paramètres!$A$1:$I$89,3,0)*0.475*44/12</f>
        <v>4.6516816057029873</v>
      </c>
      <c r="AW114" s="23">
        <f>EXP(-LN(2)/2)*AW113+(1-EXP(-LN(2)/2))/(LN(2)/2)*AQ114*AT114*VLOOKUP('Données projet'!$B$10,Paramètres!$A$1:$I$89,3,0)*0.475*44/12</f>
        <v>2.801861521989652E-11</v>
      </c>
      <c r="AX114" s="23">
        <f t="shared" si="60"/>
        <v>15.372404138071639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>
        <f>BD114*VLOOKUP('Données projet'!$B$11,Paramètres!$A$1:$I$89,3,0)*VLOOKUP('Données projet'!$B$11,Paramètres!$A$1:$I$89,5,0)</f>
        <v>0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74.52152468677042</v>
      </c>
      <c r="BJ114" s="62">
        <f t="shared" si="92"/>
        <v>344.26747505795851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11.705268428019734</v>
      </c>
      <c r="BQ114" s="23">
        <f>EXP(-LN(2)/25)*BQ113+(1-EXP(-LN(2)/25))/(LN(2)/25)*Calculateur!BL114*Calculateur!BN114*VLOOKUP('Données projet'!$B$11,Paramètres!$A$1:$I$89,3,0)*0.475*44/12</f>
        <v>1.498180093286823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13.203448521306557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12.946752000000002</v>
      </c>
      <c r="D115" s="12">
        <f t="shared" si="86"/>
        <v>4.4285073863408391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17.436225208749054</v>
      </c>
      <c r="H115" s="70">
        <f t="shared" si="56"/>
        <v>286.92857676454366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182.84082525184493</v>
      </c>
      <c r="T115" s="62">
        <f t="shared" si="88"/>
        <v>430.83336115516937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1.1368683772161603E-13</v>
      </c>
      <c r="AJ115" s="14">
        <f>AI115*VLOOKUP('Données projet'!$B$10,Paramètres!$A$1:$I$89,3,0)*VLOOKUP('Données projet'!$B$10,Paramètres!$A$1:$I$89,5,0)</f>
        <v>6.7984728957526396E-14</v>
      </c>
      <c r="AK115" s="14">
        <f t="shared" si="89"/>
        <v>1.0682447123141398E-12</v>
      </c>
      <c r="AL115" s="22">
        <f t="shared" si="58"/>
        <v>1.978932943548152E-12</v>
      </c>
      <c r="AM115" s="62">
        <f t="shared" si="59"/>
        <v>293.3333333333353</v>
      </c>
      <c r="AN115" s="62">
        <f ca="1">AVERAGE(OFFSET($AM$3,0,0,'Données projet'!$E$10+1,1))-AVERAGE(OFFSET($H$3,0,0,'Données projet'!$E$10+1,1))</f>
        <v>182.84082525184493</v>
      </c>
      <c r="AO115" s="62">
        <f t="shared" si="90"/>
        <v>430.83336115516937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10.510495702476506</v>
      </c>
      <c r="AV115" s="23">
        <f>EXP(-LN(2)/25)*AV114+(1-EXP(-LN(2)/25))/(LN(2)/25)*Calculateur!AQ115*Calculateur!AS115*VLOOKUP('Données projet'!$B$10,Paramètres!$A$1:$I$89,3,0)*0.475*44/12</f>
        <v>4.5244811275737353</v>
      </c>
      <c r="AW115" s="23">
        <f>EXP(-LN(2)/2)*AW114+(1-EXP(-LN(2)/2))/(LN(2)/2)*AQ115*AT115*VLOOKUP('Données projet'!$B$10,Paramètres!$A$1:$I$89,3,0)*0.475*44/12</f>
        <v>1.9812152821445439E-11</v>
      </c>
      <c r="AX115" s="23">
        <f t="shared" si="60"/>
        <v>15.034976830070052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>
        <f>BD115*VLOOKUP('Données projet'!$B$11,Paramètres!$A$1:$I$89,3,0)*VLOOKUP('Données projet'!$B$11,Paramètres!$A$1:$I$89,5,0)</f>
        <v>0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74.52152468677042</v>
      </c>
      <c r="BJ115" s="62">
        <f t="shared" si="92"/>
        <v>344.26747505795851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11.47573525365504</v>
      </c>
      <c r="BQ115" s="23">
        <f>EXP(-LN(2)/25)*BQ114+(1-EXP(-LN(2)/25))/(LN(2)/25)*Calculateur!BL115*Calculateur!BN115*VLOOKUP('Données projet'!$B$11,Paramètres!$A$1:$I$89,3,0)*0.475*44/12</f>
        <v>1.4572122798500278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12.932947533505068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13.062348000000002</v>
      </c>
      <c r="D116" s="12">
        <f t="shared" si="86"/>
        <v>4.4634270512813234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17.587268998829682</v>
      </c>
      <c r="H116" s="70">
        <f t="shared" si="56"/>
        <v>287.19072488098163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182.84082525184493</v>
      </c>
      <c r="T116" s="62">
        <f t="shared" si="88"/>
        <v>430.83336115516937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1.1368683772161603E-13</v>
      </c>
      <c r="AJ116" s="14">
        <f>AI116*VLOOKUP('Données projet'!$B$10,Paramètres!$A$1:$I$89,3,0)*VLOOKUP('Données projet'!$B$10,Paramètres!$A$1:$I$89,5,0)</f>
        <v>6.7984728957526396E-14</v>
      </c>
      <c r="AK116" s="14">
        <f t="shared" si="89"/>
        <v>1.0682447123141398E-12</v>
      </c>
      <c r="AL116" s="22">
        <f t="shared" si="58"/>
        <v>1.978932943548152E-12</v>
      </c>
      <c r="AM116" s="62">
        <f t="shared" si="59"/>
        <v>293.3333333333353</v>
      </c>
      <c r="AN116" s="62">
        <f ca="1">AVERAGE(OFFSET($AM$3,0,0,'Données projet'!$E$10+1,1))-AVERAGE(OFFSET($H$3,0,0,'Données projet'!$E$10+1,1))</f>
        <v>182.84082525184493</v>
      </c>
      <c r="AO116" s="62">
        <f t="shared" si="90"/>
        <v>430.83336115516937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10.304391292520309</v>
      </c>
      <c r="AV116" s="23">
        <f>EXP(-LN(2)/25)*AV115+(1-EXP(-LN(2)/25))/(LN(2)/25)*Calculateur!AQ116*Calculateur!AS116*VLOOKUP('Données projet'!$B$10,Paramètres!$A$1:$I$89,3,0)*0.475*44/12</f>
        <v>4.4007589532081095</v>
      </c>
      <c r="AW116" s="23">
        <f>EXP(-LN(2)/2)*AW115+(1-EXP(-LN(2)/2))/(LN(2)/2)*AQ116*AT116*VLOOKUP('Données projet'!$B$10,Paramètres!$A$1:$I$89,3,0)*0.475*44/12</f>
        <v>1.400930760994826E-11</v>
      </c>
      <c r="AX116" s="23">
        <f t="shared" si="60"/>
        <v>14.705150245742429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>
        <f>BD116*VLOOKUP('Données projet'!$B$11,Paramètres!$A$1:$I$89,3,0)*VLOOKUP('Données projet'!$B$11,Paramètres!$A$1:$I$89,5,0)</f>
        <v>0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74.52152468677042</v>
      </c>
      <c r="BJ116" s="62">
        <f t="shared" si="92"/>
        <v>344.26747505795851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11.250703084838225</v>
      </c>
      <c r="BQ116" s="23">
        <f>EXP(-LN(2)/25)*BQ115+(1-EXP(-LN(2)/25))/(LN(2)/25)*Calculateur!BL116*Calculateur!BN116*VLOOKUP('Données projet'!$B$11,Paramètres!$A$1:$I$89,3,0)*0.475*44/12</f>
        <v>1.4173647334260655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12.668067818264291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13.177944000000002</v>
      </c>
      <c r="D117" s="12">
        <f t="shared" si="86"/>
        <v>4.4983107639003128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17.738276710440321</v>
      </c>
      <c r="H117" s="70">
        <f t="shared" si="56"/>
        <v>287.45281038045971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182.84082525184493</v>
      </c>
      <c r="T117" s="62">
        <f t="shared" si="88"/>
        <v>430.83336115516937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1.1368683772161603E-13</v>
      </c>
      <c r="AJ117" s="14">
        <f>AI117*VLOOKUP('Données projet'!$B$10,Paramètres!$A$1:$I$89,3,0)*VLOOKUP('Données projet'!$B$10,Paramètres!$A$1:$I$89,5,0)</f>
        <v>6.7984728957526396E-14</v>
      </c>
      <c r="AK117" s="14">
        <f t="shared" si="89"/>
        <v>1.0682447123141398E-12</v>
      </c>
      <c r="AL117" s="22">
        <f t="shared" si="58"/>
        <v>1.978932943548152E-12</v>
      </c>
      <c r="AM117" s="62">
        <f t="shared" si="59"/>
        <v>293.3333333333353</v>
      </c>
      <c r="AN117" s="62">
        <f ca="1">AVERAGE(OFFSET($AM$3,0,0,'Données projet'!$E$10+1,1))-AVERAGE(OFFSET($H$3,0,0,'Données projet'!$E$10+1,1))</f>
        <v>182.84082525184493</v>
      </c>
      <c r="AO117" s="62">
        <f t="shared" si="90"/>
        <v>430.83336115516937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10.102328464332077</v>
      </c>
      <c r="AV117" s="23">
        <f>EXP(-LN(2)/25)*AV116+(1-EXP(-LN(2)/25))/(LN(2)/25)*Calculateur!AQ117*Calculateur!AS117*VLOOKUP('Données projet'!$B$10,Paramètres!$A$1:$I$89,3,0)*0.475*44/12</f>
        <v>4.2804199682067781</v>
      </c>
      <c r="AW117" s="23">
        <f>EXP(-LN(2)/2)*AW116+(1-EXP(-LN(2)/2))/(LN(2)/2)*AQ117*AT117*VLOOKUP('Données projet'!$B$10,Paramètres!$A$1:$I$89,3,0)*0.475*44/12</f>
        <v>9.9060764107227193E-12</v>
      </c>
      <c r="AX117" s="23">
        <f t="shared" si="60"/>
        <v>14.382748432548761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>
        <f>BD117*VLOOKUP('Données projet'!$B$11,Paramètres!$A$1:$I$89,3,0)*VLOOKUP('Données projet'!$B$11,Paramètres!$A$1:$I$89,5,0)</f>
        <v>0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74.52152468677042</v>
      </c>
      <c r="BJ117" s="62">
        <f t="shared" si="92"/>
        <v>344.26747505795851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11.030083659595839</v>
      </c>
      <c r="BQ117" s="23">
        <f>EXP(-LN(2)/25)*BQ116+(1-EXP(-LN(2)/25))/(LN(2)/25)*Calculateur!BL117*Calculateur!BN117*VLOOKUP('Données projet'!$B$11,Paramètres!$A$1:$I$89,3,0)*0.475*44/12</f>
        <v>1.3786068202545578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12.408690479850396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13.293540000000002</v>
      </c>
      <c r="D118" s="12">
        <f t="shared" si="86"/>
        <v>4.53315887610764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17.889248696725563</v>
      </c>
      <c r="H118" s="70">
        <f t="shared" si="56"/>
        <v>287.71483387588751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182.84082525184493</v>
      </c>
      <c r="T118" s="62">
        <f t="shared" si="88"/>
        <v>430.83336115516937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1.1368683772161603E-13</v>
      </c>
      <c r="AJ118" s="14">
        <f>AI118*VLOOKUP('Données projet'!$B$10,Paramètres!$A$1:$I$89,3,0)*VLOOKUP('Données projet'!$B$10,Paramètres!$A$1:$I$89,5,0)</f>
        <v>6.7984728957526396E-14</v>
      </c>
      <c r="AK118" s="14">
        <f t="shared" si="89"/>
        <v>1.0682447123141398E-12</v>
      </c>
      <c r="AL118" s="22">
        <f t="shared" si="58"/>
        <v>1.978932943548152E-12</v>
      </c>
      <c r="AM118" s="62">
        <f t="shared" si="59"/>
        <v>293.3333333333353</v>
      </c>
      <c r="AN118" s="62">
        <f ca="1">AVERAGE(OFFSET($AM$3,0,0,'Données projet'!$E$10+1,1))-AVERAGE(OFFSET($H$3,0,0,'Données projet'!$E$10+1,1))</f>
        <v>182.84082525184493</v>
      </c>
      <c r="AO118" s="62">
        <f t="shared" si="90"/>
        <v>430.83336115516937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9.9042279649584604</v>
      </c>
      <c r="AV118" s="23">
        <f>EXP(-LN(2)/25)*AV117+(1-EXP(-LN(2)/25))/(LN(2)/25)*Calculateur!AQ118*Calculateur!AS118*VLOOKUP('Données projet'!$B$10,Paramètres!$A$1:$I$89,3,0)*0.475*44/12</f>
        <v>4.1633716590786607</v>
      </c>
      <c r="AW118" s="23">
        <f>EXP(-LN(2)/2)*AW117+(1-EXP(-LN(2)/2))/(LN(2)/2)*AQ118*AT118*VLOOKUP('Données projet'!$B$10,Paramètres!$A$1:$I$89,3,0)*0.475*44/12</f>
        <v>7.0046538049741301E-12</v>
      </c>
      <c r="AX118" s="23">
        <f t="shared" si="60"/>
        <v>14.067599624044126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>
        <f>BD118*VLOOKUP('Données projet'!$B$11,Paramètres!$A$1:$I$89,3,0)*VLOOKUP('Données projet'!$B$11,Paramètres!$A$1:$I$89,5,0)</f>
        <v>0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74.52152468677042</v>
      </c>
      <c r="BJ118" s="62">
        <f t="shared" si="92"/>
        <v>344.26747505795851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10.813790446717892</v>
      </c>
      <c r="BQ118" s="23">
        <f>EXP(-LN(2)/25)*BQ117+(1-EXP(-LN(2)/25))/(LN(2)/25)*Calculateur!BL118*Calculateur!BN118*VLOOKUP('Données projet'!$B$11,Paramètres!$A$1:$I$89,3,0)*0.475*44/12</f>
        <v>1.3409087442569152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12.154699190974807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13.409136000000002</v>
      </c>
      <c r="D119" s="12">
        <f t="shared" si="86"/>
        <v>4.5679717333397978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18.040185304333978</v>
      </c>
      <c r="H119" s="70">
        <f t="shared" si="56"/>
        <v>287.97679596890015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182.84082525184493</v>
      </c>
      <c r="T119" s="62">
        <f t="shared" si="88"/>
        <v>430.83336115516937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1.1368683772161603E-13</v>
      </c>
      <c r="AJ119" s="14">
        <f>AI119*VLOOKUP('Données projet'!$B$10,Paramètres!$A$1:$I$89,3,0)*VLOOKUP('Données projet'!$B$10,Paramètres!$A$1:$I$89,5,0)</f>
        <v>6.7984728957526396E-14</v>
      </c>
      <c r="AK119" s="14">
        <f t="shared" si="89"/>
        <v>1.0682447123141398E-12</v>
      </c>
      <c r="AL119" s="22">
        <f t="shared" si="58"/>
        <v>1.978932943548152E-12</v>
      </c>
      <c r="AM119" s="62">
        <f t="shared" si="59"/>
        <v>293.3333333333353</v>
      </c>
      <c r="AN119" s="62">
        <f ca="1">AVERAGE(OFFSET($AM$3,0,0,'Données projet'!$E$10+1,1))-AVERAGE(OFFSET($H$3,0,0,'Données projet'!$E$10+1,1))</f>
        <v>182.84082525184493</v>
      </c>
      <c r="AO119" s="62">
        <f t="shared" si="90"/>
        <v>430.83336115516937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9.7100120955481852</v>
      </c>
      <c r="AV119" s="23">
        <f>EXP(-LN(2)/25)*AV118+(1-EXP(-LN(2)/25))/(LN(2)/25)*Calculateur!AQ119*Calculateur!AS119*VLOOKUP('Données projet'!$B$10,Paramètres!$A$1:$I$89,3,0)*0.475*44/12</f>
        <v>4.0495240421189544</v>
      </c>
      <c r="AW119" s="23">
        <f>EXP(-LN(2)/2)*AW118+(1-EXP(-LN(2)/2))/(LN(2)/2)*AQ119*AT119*VLOOKUP('Données projet'!$B$10,Paramètres!$A$1:$I$89,3,0)*0.475*44/12</f>
        <v>4.9530382053613597E-12</v>
      </c>
      <c r="AX119" s="23">
        <f t="shared" si="60"/>
        <v>13.759536137672093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>
        <f>BD119*VLOOKUP('Données projet'!$B$11,Paramètres!$A$1:$I$89,3,0)*VLOOKUP('Données projet'!$B$11,Paramètres!$A$1:$I$89,5,0)</f>
        <v>0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74.52152468677042</v>
      </c>
      <c r="BJ119" s="62">
        <f t="shared" si="92"/>
        <v>344.26747505795851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10.60173861181865</v>
      </c>
      <c r="BQ119" s="23">
        <f>EXP(-LN(2)/25)*BQ118+(1-EXP(-LN(2)/25))/(LN(2)/25)*Calculateur!BL119*Calculateur!BN119*VLOOKUP('Données projet'!$B$11,Paramètres!$A$1:$I$89,3,0)*0.475*44/12</f>
        <v>1.3042415241298837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11.905980135948534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13.524732000000002</v>
      </c>
      <c r="D120" s="12">
        <f t="shared" si="86"/>
        <v>4.6027496747337917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18.191086873592511</v>
      </c>
      <c r="H120" s="70">
        <f t="shared" si="56"/>
        <v>288.23869725016135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182.84082525184493</v>
      </c>
      <c r="T120" s="62">
        <f t="shared" si="88"/>
        <v>430.83336115516937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1.1368683772161603E-13</v>
      </c>
      <c r="AJ120" s="14">
        <f>AI120*VLOOKUP('Données projet'!$B$10,Paramètres!$A$1:$I$89,3,0)*VLOOKUP('Données projet'!$B$10,Paramètres!$A$1:$I$89,5,0)</f>
        <v>6.7984728957526396E-14</v>
      </c>
      <c r="AK120" s="14">
        <f t="shared" si="89"/>
        <v>1.0682447123141398E-12</v>
      </c>
      <c r="AL120" s="22">
        <f t="shared" si="58"/>
        <v>1.978932943548152E-12</v>
      </c>
      <c r="AM120" s="62">
        <f t="shared" si="59"/>
        <v>293.3333333333353</v>
      </c>
      <c r="AN120" s="62">
        <f ca="1">AVERAGE(OFFSET($AM$3,0,0,'Données projet'!$E$10+1,1))-AVERAGE(OFFSET($H$3,0,0,'Données projet'!$E$10+1,1))</f>
        <v>182.84082525184493</v>
      </c>
      <c r="AO120" s="62">
        <f t="shared" si="90"/>
        <v>430.83336115516937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9.5196046808770625</v>
      </c>
      <c r="AV120" s="23">
        <f>EXP(-LN(2)/25)*AV119+(1-EXP(-LN(2)/25))/(LN(2)/25)*Calculateur!AQ120*Calculateur!AS120*VLOOKUP('Données projet'!$B$10,Paramètres!$A$1:$I$89,3,0)*0.475*44/12</f>
        <v>3.9387895942319977</v>
      </c>
      <c r="AW120" s="23">
        <f>EXP(-LN(2)/2)*AW119+(1-EXP(-LN(2)/2))/(LN(2)/2)*AQ120*AT120*VLOOKUP('Données projet'!$B$10,Paramètres!$A$1:$I$89,3,0)*0.475*44/12</f>
        <v>3.502326902487065E-12</v>
      </c>
      <c r="AX120" s="23">
        <f t="shared" si="60"/>
        <v>13.458394275112564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>
        <f>BD120*VLOOKUP('Données projet'!$B$11,Paramètres!$A$1:$I$89,3,0)*VLOOKUP('Données projet'!$B$11,Paramètres!$A$1:$I$89,5,0)</f>
        <v>0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74.52152468677042</v>
      </c>
      <c r="BJ120" s="62">
        <f t="shared" si="92"/>
        <v>344.26747505795851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10.393844984062934</v>
      </c>
      <c r="BQ120" s="23">
        <f>EXP(-LN(2)/25)*BQ119+(1-EXP(-LN(2)/25))/(LN(2)/25)*Calculateur!BL120*Calculateur!BN120*VLOOKUP('Données projet'!$B$11,Paramètres!$A$1:$I$89,3,0)*0.475*44/12</f>
        <v>1.2685769710654711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11.662421955128405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13.640328000000002</v>
      </c>
      <c r="D121" s="12">
        <f t="shared" si="86"/>
        <v>4.6374930332948372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18.341953738674821</v>
      </c>
      <c r="H121" s="70">
        <f t="shared" si="56"/>
        <v>288.5005382996552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182.84082525184493</v>
      </c>
      <c r="T121" s="62">
        <f t="shared" si="88"/>
        <v>430.83336115516937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1.1368683772161603E-13</v>
      </c>
      <c r="AJ121" s="14">
        <f>AI121*VLOOKUP('Données projet'!$B$10,Paramètres!$A$1:$I$89,3,0)*VLOOKUP('Données projet'!$B$10,Paramètres!$A$1:$I$89,5,0)</f>
        <v>6.7984728957526396E-14</v>
      </c>
      <c r="AK121" s="14">
        <f t="shared" si="89"/>
        <v>1.0682447123141398E-12</v>
      </c>
      <c r="AL121" s="22">
        <f t="shared" si="58"/>
        <v>1.978932943548152E-12</v>
      </c>
      <c r="AM121" s="62">
        <f t="shared" si="59"/>
        <v>293.3333333333353</v>
      </c>
      <c r="AN121" s="62">
        <f ca="1">AVERAGE(OFFSET($AM$3,0,0,'Données projet'!$E$10+1,1))-AVERAGE(OFFSET($H$3,0,0,'Données projet'!$E$10+1,1))</f>
        <v>182.84082525184493</v>
      </c>
      <c r="AO121" s="62">
        <f t="shared" si="90"/>
        <v>430.83336115516937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9.3329310394705853</v>
      </c>
      <c r="AV121" s="23">
        <f>EXP(-LN(2)/25)*AV120+(1-EXP(-LN(2)/25))/(LN(2)/25)*Calculateur!AQ121*Calculateur!AS121*VLOOKUP('Données projet'!$B$10,Paramètres!$A$1:$I$89,3,0)*0.475*44/12</f>
        <v>3.831083185645781</v>
      </c>
      <c r="AW121" s="23">
        <f>EXP(-LN(2)/2)*AW120+(1-EXP(-LN(2)/2))/(LN(2)/2)*AQ121*AT121*VLOOKUP('Données projet'!$B$10,Paramètres!$A$1:$I$89,3,0)*0.475*44/12</f>
        <v>2.4765191026806798E-12</v>
      </c>
      <c r="AX121" s="23">
        <f t="shared" si="60"/>
        <v>13.164014225118843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>
        <f>BD121*VLOOKUP('Données projet'!$B$11,Paramètres!$A$1:$I$89,3,0)*VLOOKUP('Données projet'!$B$11,Paramètres!$A$1:$I$89,5,0)</f>
        <v>0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74.52152468677042</v>
      </c>
      <c r="BJ121" s="62">
        <f t="shared" si="92"/>
        <v>344.26747505795851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10.190028023544915</v>
      </c>
      <c r="BQ121" s="23">
        <f>EXP(-LN(2)/25)*BQ120+(1-EXP(-LN(2)/25))/(LN(2)/25)*Calculateur!BL121*Calculateur!BN121*VLOOKUP('Données projet'!$B$11,Paramètres!$A$1:$I$89,3,0)*0.475*44/12</f>
        <v>1.2338876670801222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11.423915690625037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13.755924000000002</v>
      </c>
      <c r="D122" s="12">
        <f t="shared" si="86"/>
        <v>4.6722021360582353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18.492786227763709</v>
      </c>
      <c r="H122" s="70">
        <f t="shared" si="56"/>
        <v>288.76231968696811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182.84082525184493</v>
      </c>
      <c r="T122" s="62">
        <f t="shared" si="88"/>
        <v>430.83336115516937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1.1368683772161603E-13</v>
      </c>
      <c r="AJ122" s="14">
        <f>AI122*VLOOKUP('Données projet'!$B$10,Paramètres!$A$1:$I$89,3,0)*VLOOKUP('Données projet'!$B$10,Paramètres!$A$1:$I$89,5,0)</f>
        <v>6.7984728957526396E-14</v>
      </c>
      <c r="AK122" s="14">
        <f t="shared" si="89"/>
        <v>1.0682447123141398E-12</v>
      </c>
      <c r="AL122" s="22">
        <f t="shared" si="58"/>
        <v>1.978932943548152E-12</v>
      </c>
      <c r="AM122" s="62">
        <f t="shared" si="59"/>
        <v>293.3333333333353</v>
      </c>
      <c r="AN122" s="62">
        <f ca="1">AVERAGE(OFFSET($AM$3,0,0,'Données projet'!$E$10+1,1))-AVERAGE(OFFSET($H$3,0,0,'Données projet'!$E$10+1,1))</f>
        <v>182.84082525184493</v>
      </c>
      <c r="AO122" s="62">
        <f t="shared" si="90"/>
        <v>430.83336115516937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9.1499179543124107</v>
      </c>
      <c r="AV122" s="23">
        <f>EXP(-LN(2)/25)*AV121+(1-EXP(-LN(2)/25))/(LN(2)/25)*Calculateur!AQ122*Calculateur!AS122*VLOOKUP('Données projet'!$B$10,Paramètres!$A$1:$I$89,3,0)*0.475*44/12</f>
        <v>3.7263220144663882</v>
      </c>
      <c r="AW122" s="23">
        <f>EXP(-LN(2)/2)*AW121+(1-EXP(-LN(2)/2))/(LN(2)/2)*AQ122*AT122*VLOOKUP('Données projet'!$B$10,Paramètres!$A$1:$I$89,3,0)*0.475*44/12</f>
        <v>1.7511634512435325E-12</v>
      </c>
      <c r="AX122" s="23">
        <f t="shared" si="60"/>
        <v>12.876239968780551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>
        <f>BD122*VLOOKUP('Données projet'!$B$11,Paramètres!$A$1:$I$89,3,0)*VLOOKUP('Données projet'!$B$11,Paramètres!$A$1:$I$89,5,0)</f>
        <v>0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74.52152468677042</v>
      </c>
      <c r="BJ122" s="62">
        <f t="shared" si="92"/>
        <v>344.26747505795851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9.9902077893065844</v>
      </c>
      <c r="BQ122" s="23">
        <f>EXP(-LN(2)/25)*BQ121+(1-EXP(-LN(2)/25))/(LN(2)/25)*Calculateur!BL122*Calculateur!BN122*VLOOKUP('Données projet'!$B$11,Paramètres!$A$1:$I$89,3,0)*0.475*44/12</f>
        <v>1.200146943936484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11.190354733243069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13.871520000000002</v>
      </c>
      <c r="D123" s="12">
        <f t="shared" si="86"/>
        <v>4.706877304245654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18.643584663207925</v>
      </c>
      <c r="H123" s="70">
        <f t="shared" si="56"/>
        <v>289.02404197156119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182.84082525184493</v>
      </c>
      <c r="T123" s="62">
        <f t="shared" si="88"/>
        <v>430.83336115516937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1.1368683772161603E-13</v>
      </c>
      <c r="AJ123" s="14">
        <f>AI123*VLOOKUP('Données projet'!$B$10,Paramètres!$A$1:$I$89,3,0)*VLOOKUP('Données projet'!$B$10,Paramètres!$A$1:$I$89,5,0)</f>
        <v>6.7984728957526396E-14</v>
      </c>
      <c r="AK123" s="14">
        <f t="shared" si="89"/>
        <v>1.0682447123141398E-12</v>
      </c>
      <c r="AL123" s="22">
        <f t="shared" si="58"/>
        <v>1.978932943548152E-12</v>
      </c>
      <c r="AM123" s="62">
        <f t="shared" si="59"/>
        <v>293.3333333333353</v>
      </c>
      <c r="AN123" s="62">
        <f ca="1">AVERAGE(OFFSET($AM$3,0,0,'Données projet'!$E$10+1,1))-AVERAGE(OFFSET($H$3,0,0,'Données projet'!$E$10+1,1))</f>
        <v>182.84082525184493</v>
      </c>
      <c r="AO123" s="62">
        <f t="shared" si="90"/>
        <v>430.83336115516937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8.9704936441272292</v>
      </c>
      <c r="AV123" s="23">
        <f>EXP(-LN(2)/25)*AV122+(1-EXP(-LN(2)/25))/(LN(2)/25)*Calculateur!AQ123*Calculateur!AS123*VLOOKUP('Données projet'!$B$10,Paramètres!$A$1:$I$89,3,0)*0.475*44/12</f>
        <v>3.6244255430220469</v>
      </c>
      <c r="AW123" s="23">
        <f>EXP(-LN(2)/2)*AW122+(1-EXP(-LN(2)/2))/(LN(2)/2)*AQ123*AT123*VLOOKUP('Données projet'!$B$10,Paramètres!$A$1:$I$89,3,0)*0.475*44/12</f>
        <v>1.2382595513403399E-12</v>
      </c>
      <c r="AX123" s="23">
        <f t="shared" si="60"/>
        <v>12.594919187150515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>
        <f>BD123*VLOOKUP('Données projet'!$B$11,Paramètres!$A$1:$I$89,3,0)*VLOOKUP('Données projet'!$B$11,Paramètres!$A$1:$I$89,5,0)</f>
        <v>0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74.52152468677042</v>
      </c>
      <c r="BJ123" s="62">
        <f t="shared" si="92"/>
        <v>344.26747505795851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9.7943059079833574</v>
      </c>
      <c r="BQ123" s="23">
        <f>EXP(-LN(2)/25)*BQ122+(1-EXP(-LN(2)/25))/(LN(2)/25)*Calculateur!BL123*Calculateur!BN123*VLOOKUP('Données projet'!$B$11,Paramètres!$A$1:$I$89,3,0)*0.475*44/12</f>
        <v>1.1673288626415561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10.961634770624913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13.987116000000002</v>
      </c>
      <c r="D124" s="12">
        <f t="shared" si="86"/>
        <v>4.7415188534160286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18.794349361673635</v>
      </c>
      <c r="H124" s="70">
        <f t="shared" si="56"/>
        <v>289.28570570303293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182.84082525184493</v>
      </c>
      <c r="T124" s="62">
        <f t="shared" si="88"/>
        <v>430.83336115516937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1.1368683772161603E-13</v>
      </c>
      <c r="AJ124" s="14">
        <f>AI124*VLOOKUP('Données projet'!$B$10,Paramètres!$A$1:$I$89,3,0)*VLOOKUP('Données projet'!$B$10,Paramètres!$A$1:$I$89,5,0)</f>
        <v>6.7984728957526396E-14</v>
      </c>
      <c r="AK124" s="14">
        <f t="shared" si="89"/>
        <v>1.0682447123141398E-12</v>
      </c>
      <c r="AL124" s="22">
        <f t="shared" si="58"/>
        <v>1.978932943548152E-12</v>
      </c>
      <c r="AM124" s="62">
        <f t="shared" si="59"/>
        <v>293.3333333333353</v>
      </c>
      <c r="AN124" s="62">
        <f ca="1">AVERAGE(OFFSET($AM$3,0,0,'Données projet'!$E$10+1,1))-AVERAGE(OFFSET($H$3,0,0,'Données projet'!$E$10+1,1))</f>
        <v>182.84082525184493</v>
      </c>
      <c r="AO124" s="62">
        <f t="shared" si="90"/>
        <v>430.83336115516937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8.7945877352267559</v>
      </c>
      <c r="AV124" s="23">
        <f>EXP(-LN(2)/25)*AV123+(1-EXP(-LN(2)/25))/(LN(2)/25)*Calculateur!AQ124*Calculateur!AS124*VLOOKUP('Données projet'!$B$10,Paramètres!$A$1:$I$89,3,0)*0.475*44/12</f>
        <v>3.5253154359478533</v>
      </c>
      <c r="AW124" s="23">
        <f>EXP(-LN(2)/2)*AW123+(1-EXP(-LN(2)/2))/(LN(2)/2)*AQ124*AT124*VLOOKUP('Données projet'!$B$10,Paramètres!$A$1:$I$89,3,0)*0.475*44/12</f>
        <v>8.7558172562176626E-13</v>
      </c>
      <c r="AX124" s="23">
        <f t="shared" si="60"/>
        <v>12.319903171175485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>
        <f>BD124*VLOOKUP('Données projet'!$B$11,Paramètres!$A$1:$I$89,3,0)*VLOOKUP('Données projet'!$B$11,Paramètres!$A$1:$I$89,5,0)</f>
        <v>0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74.52152468677042</v>
      </c>
      <c r="BJ124" s="62">
        <f t="shared" si="92"/>
        <v>344.26747505795851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9.6022455430645302</v>
      </c>
      <c r="BQ124" s="23">
        <f>EXP(-LN(2)/25)*BQ123+(1-EXP(-LN(2)/25))/(LN(2)/25)*Calculateur!BL124*Calculateur!BN124*VLOOKUP('Données projet'!$B$11,Paramètres!$A$1:$I$89,3,0)*0.475*44/12</f>
        <v>1.1354081935054658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10.737653736569996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14.102712000000002</v>
      </c>
      <c r="D125" s="12">
        <f t="shared" si="86"/>
        <v>4.7761270936113505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18.945080634290694</v>
      </c>
      <c r="H125" s="70">
        <f t="shared" si="56"/>
        <v>289.54731142137314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182.84082525184493</v>
      </c>
      <c r="T125" s="62">
        <f t="shared" si="88"/>
        <v>430.83336115516937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1.1368683772161603E-13</v>
      </c>
      <c r="AJ125" s="14">
        <f>AI125*VLOOKUP('Données projet'!$B$10,Paramètres!$A$1:$I$89,3,0)*VLOOKUP('Données projet'!$B$10,Paramètres!$A$1:$I$89,5,0)</f>
        <v>6.7984728957526396E-14</v>
      </c>
      <c r="AK125" s="14">
        <f t="shared" si="89"/>
        <v>1.0682447123141398E-12</v>
      </c>
      <c r="AL125" s="22">
        <f t="shared" si="58"/>
        <v>1.978932943548152E-12</v>
      </c>
      <c r="AM125" s="62">
        <f t="shared" si="59"/>
        <v>293.3333333333353</v>
      </c>
      <c r="AN125" s="62">
        <f ca="1">AVERAGE(OFFSET($AM$3,0,0,'Données projet'!$E$10+1,1))-AVERAGE(OFFSET($H$3,0,0,'Données projet'!$E$10+1,1))</f>
        <v>182.84082525184493</v>
      </c>
      <c r="AO125" s="62">
        <f t="shared" si="90"/>
        <v>430.83336115516937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8.62213123390781</v>
      </c>
      <c r="AV125" s="23">
        <f>EXP(-LN(2)/25)*AV124+(1-EXP(-LN(2)/25))/(LN(2)/25)*Calculateur!AQ125*Calculateur!AS125*VLOOKUP('Données projet'!$B$10,Paramètres!$A$1:$I$89,3,0)*0.475*44/12</f>
        <v>3.4289154999635776</v>
      </c>
      <c r="AW125" s="23">
        <f>EXP(-LN(2)/2)*AW124+(1-EXP(-LN(2)/2))/(LN(2)/2)*AQ125*AT125*VLOOKUP('Données projet'!$B$10,Paramètres!$A$1:$I$89,3,0)*0.475*44/12</f>
        <v>6.1912977567016996E-13</v>
      </c>
      <c r="AX125" s="23">
        <f t="shared" si="60"/>
        <v>12.051046733872008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>
        <f>BD125*VLOOKUP('Données projet'!$B$11,Paramètres!$A$1:$I$89,3,0)*VLOOKUP('Données projet'!$B$11,Paramètres!$A$1:$I$89,5,0)</f>
        <v>0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74.52152468677042</v>
      </c>
      <c r="BJ125" s="62">
        <f t="shared" si="92"/>
        <v>344.26747505795851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9.4139513647565067</v>
      </c>
      <c r="BQ125" s="23">
        <f>EXP(-LN(2)/25)*BQ124+(1-EXP(-LN(2)/25))/(LN(2)/25)*Calculateur!BL125*Calculateur!BN125*VLOOKUP('Données projet'!$B$11,Paramètres!$A$1:$I$89,3,0)*0.475*44/12</f>
        <v>1.1043603967455371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10.518311761502044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14.218308000000002</v>
      </c>
      <c r="D126" s="12">
        <f t="shared" si="86"/>
        <v>4.8107023294975333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19.095778786794018</v>
      </c>
      <c r="H126" s="70">
        <f t="shared" si="56"/>
        <v>289.80885965720825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182.84082525184493</v>
      </c>
      <c r="T126" s="62">
        <f t="shared" si="88"/>
        <v>430.83336115516937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1.1368683772161603E-13</v>
      </c>
      <c r="AJ126" s="14">
        <f>AI126*VLOOKUP('Données projet'!$B$10,Paramètres!$A$1:$I$89,3,0)*VLOOKUP('Données projet'!$B$10,Paramètres!$A$1:$I$89,5,0)</f>
        <v>6.7984728957526396E-14</v>
      </c>
      <c r="AK126" s="14">
        <f t="shared" si="89"/>
        <v>1.0682447123141398E-12</v>
      </c>
      <c r="AL126" s="22">
        <f t="shared" si="58"/>
        <v>1.978932943548152E-12</v>
      </c>
      <c r="AM126" s="62">
        <f t="shared" si="59"/>
        <v>293.3333333333353</v>
      </c>
      <c r="AN126" s="62">
        <f ca="1">AVERAGE(OFFSET($AM$3,0,0,'Données projet'!$E$10+1,1))-AVERAGE(OFFSET($H$3,0,0,'Données projet'!$E$10+1,1))</f>
        <v>182.84082525184493</v>
      </c>
      <c r="AO126" s="62">
        <f t="shared" si="90"/>
        <v>430.83336115516937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8.4530564993916499</v>
      </c>
      <c r="AV126" s="23">
        <f>EXP(-LN(2)/25)*AV125+(1-EXP(-LN(2)/25))/(LN(2)/25)*Calculateur!AQ126*Calculateur!AS126*VLOOKUP('Données projet'!$B$10,Paramètres!$A$1:$I$89,3,0)*0.475*44/12</f>
        <v>3.3351516252982445</v>
      </c>
      <c r="AW126" s="23">
        <f>EXP(-LN(2)/2)*AW125+(1-EXP(-LN(2)/2))/(LN(2)/2)*AQ126*AT126*VLOOKUP('Données projet'!$B$10,Paramètres!$A$1:$I$89,3,0)*0.475*44/12</f>
        <v>4.3779086281088313E-13</v>
      </c>
      <c r="AX126" s="23">
        <f t="shared" si="60"/>
        <v>11.788208124690332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>
        <f>BD126*VLOOKUP('Données projet'!$B$11,Paramètres!$A$1:$I$89,3,0)*VLOOKUP('Données projet'!$B$11,Paramètres!$A$1:$I$89,5,0)</f>
        <v>0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74.52152468677042</v>
      </c>
      <c r="BJ126" s="62">
        <f t="shared" si="92"/>
        <v>344.26747505795851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9.229349520436994</v>
      </c>
      <c r="BQ126" s="23">
        <f>EXP(-LN(2)/25)*BQ125+(1-EXP(-LN(2)/25))/(LN(2)/25)*Calculateur!BL126*Calculateur!BN126*VLOOKUP('Données projet'!$B$11,Paramètres!$A$1:$I$89,3,0)*0.475*44/12</f>
        <v>1.0741616036207411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10.303511124057735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14.333904000000002</v>
      </c>
      <c r="D127" s="12">
        <f t="shared" si="86"/>
        <v>4.8452448605005545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19.246444119660211</v>
      </c>
      <c r="H127" s="70">
        <f t="shared" si="56"/>
        <v>290.07035093203848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182.84082525184493</v>
      </c>
      <c r="T127" s="62">
        <f t="shared" si="88"/>
        <v>430.83336115516937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1.1368683772161603E-13</v>
      </c>
      <c r="AJ127" s="14">
        <f>AI127*VLOOKUP('Données projet'!$B$10,Paramètres!$A$1:$I$89,3,0)*VLOOKUP('Données projet'!$B$10,Paramètres!$A$1:$I$89,5,0)</f>
        <v>6.7984728957526396E-14</v>
      </c>
      <c r="AK127" s="14">
        <f t="shared" si="89"/>
        <v>1.0682447123141398E-12</v>
      </c>
      <c r="AL127" s="22">
        <f t="shared" si="58"/>
        <v>1.978932943548152E-12</v>
      </c>
      <c r="AM127" s="62">
        <f t="shared" si="59"/>
        <v>293.3333333333353</v>
      </c>
      <c r="AN127" s="62">
        <f ca="1">AVERAGE(OFFSET($AM$3,0,0,'Données projet'!$E$10+1,1))-AVERAGE(OFFSET($H$3,0,0,'Données projet'!$E$10+1,1))</f>
        <v>182.84082525184493</v>
      </c>
      <c r="AO127" s="62">
        <f t="shared" si="90"/>
        <v>430.83336115516937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8.2872972172939452</v>
      </c>
      <c r="AV127" s="23">
        <f>EXP(-LN(2)/25)*AV126+(1-EXP(-LN(2)/25))/(LN(2)/25)*Calculateur!AQ127*Calculateur!AS127*VLOOKUP('Données projet'!$B$10,Paramètres!$A$1:$I$89,3,0)*0.475*44/12</f>
        <v>3.2439517287164628</v>
      </c>
      <c r="AW127" s="23">
        <f>EXP(-LN(2)/2)*AW126+(1-EXP(-LN(2)/2))/(LN(2)/2)*AQ127*AT127*VLOOKUP('Données projet'!$B$10,Paramètres!$A$1:$I$89,3,0)*0.475*44/12</f>
        <v>3.0956488783508498E-13</v>
      </c>
      <c r="AX127" s="23">
        <f t="shared" si="60"/>
        <v>11.531248946010717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>
        <f>BD127*VLOOKUP('Données projet'!$B$11,Paramètres!$A$1:$I$89,3,0)*VLOOKUP('Données projet'!$B$11,Paramètres!$A$1:$I$89,5,0)</f>
        <v>0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74.52152468677042</v>
      </c>
      <c r="BJ127" s="62">
        <f t="shared" si="92"/>
        <v>344.26747505795851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9.0483676056885809</v>
      </c>
      <c r="BQ127" s="23">
        <f>EXP(-LN(2)/25)*BQ126+(1-EXP(-LN(2)/25))/(LN(2)/25)*Calculateur!BL127*Calculateur!BN127*VLOOKUP('Données projet'!$B$11,Paramètres!$A$1:$I$89,3,0)*0.475*44/12</f>
        <v>1.0447885980820282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10.09315620377061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14.449500000000002</v>
      </c>
      <c r="D128" s="12">
        <f t="shared" si="86"/>
        <v>4.8797549809381175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19.39707692823966</v>
      </c>
      <c r="H128" s="70">
        <f t="shared" si="56"/>
        <v>290.33178575846722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182.84082525184493</v>
      </c>
      <c r="T128" s="62">
        <f t="shared" si="88"/>
        <v>430.83336115516937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1.1368683772161603E-13</v>
      </c>
      <c r="AJ128" s="14">
        <f>AI128*VLOOKUP('Données projet'!$B$10,Paramètres!$A$1:$I$89,3,0)*VLOOKUP('Données projet'!$B$10,Paramètres!$A$1:$I$89,5,0)</f>
        <v>6.7984728957526396E-14</v>
      </c>
      <c r="AK128" s="14">
        <f t="shared" si="89"/>
        <v>1.0682447123141398E-12</v>
      </c>
      <c r="AL128" s="22">
        <f t="shared" si="58"/>
        <v>1.978932943548152E-12</v>
      </c>
      <c r="AM128" s="62">
        <f t="shared" si="59"/>
        <v>293.3333333333353</v>
      </c>
      <c r="AN128" s="62">
        <f ca="1">AVERAGE(OFFSET($AM$3,0,0,'Données projet'!$E$10+1,1))-AVERAGE(OFFSET($H$3,0,0,'Données projet'!$E$10+1,1))</f>
        <v>182.84082525184493</v>
      </c>
      <c r="AO128" s="62">
        <f t="shared" si="90"/>
        <v>430.83336115516937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8.1247883736149973</v>
      </c>
      <c r="AV128" s="23">
        <f>EXP(-LN(2)/25)*AV127+(1-EXP(-LN(2)/25))/(LN(2)/25)*Calculateur!AQ128*Calculateur!AS128*VLOOKUP('Données projet'!$B$10,Paramètres!$A$1:$I$89,3,0)*0.475*44/12</f>
        <v>3.1552456981027039</v>
      </c>
      <c r="AW128" s="23">
        <f>EXP(-LN(2)/2)*AW127+(1-EXP(-LN(2)/2))/(LN(2)/2)*AQ128*AT128*VLOOKUP('Données projet'!$B$10,Paramètres!$A$1:$I$89,3,0)*0.475*44/12</f>
        <v>2.1889543140544156E-13</v>
      </c>
      <c r="AX128" s="23">
        <f t="shared" si="60"/>
        <v>11.280034071717919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>
        <f>BD128*VLOOKUP('Données projet'!$B$11,Paramètres!$A$1:$I$89,3,0)*VLOOKUP('Données projet'!$B$11,Paramètres!$A$1:$I$89,5,0)</f>
        <v>0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74.52152468677042</v>
      </c>
      <c r="BJ128" s="62">
        <f t="shared" si="92"/>
        <v>344.26747505795851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8.8709346359003156</v>
      </c>
      <c r="BQ128" s="23">
        <f>EXP(-LN(2)/25)*BQ127+(1-EXP(-LN(2)/25))/(LN(2)/25)*Calculateur!BL128*Calculateur!BN128*VLOOKUP('Données projet'!$B$11,Paramètres!$A$1:$I$89,3,0)*0.475*44/12</f>
        <v>1.0162187989244307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9.8871534348247465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14.565096000000002</v>
      </c>
      <c r="D129" s="12">
        <f t="shared" si="86"/>
        <v>4.9142329801469185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19.54767750288428</v>
      </c>
      <c r="H129" s="70">
        <f t="shared" si="56"/>
        <v>290.59316464042257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182.84082525184493</v>
      </c>
      <c r="T129" s="62">
        <f t="shared" si="88"/>
        <v>430.83336115516937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1.1368683772161603E-13</v>
      </c>
      <c r="AJ129" s="14">
        <f>AI129*VLOOKUP('Données projet'!$B$10,Paramètres!$A$1:$I$89,3,0)*VLOOKUP('Données projet'!$B$10,Paramètres!$A$1:$I$89,5,0)</f>
        <v>6.7984728957526396E-14</v>
      </c>
      <c r="AK129" s="14">
        <f t="shared" si="89"/>
        <v>1.0682447123141398E-12</v>
      </c>
      <c r="AL129" s="22">
        <f t="shared" si="58"/>
        <v>1.978932943548152E-12</v>
      </c>
      <c r="AM129" s="62">
        <f t="shared" si="59"/>
        <v>293.3333333333353</v>
      </c>
      <c r="AN129" s="62">
        <f ca="1">AVERAGE(OFFSET($AM$3,0,0,'Données projet'!$E$10+1,1))-AVERAGE(OFFSET($H$3,0,0,'Données projet'!$E$10+1,1))</f>
        <v>182.84082525184493</v>
      </c>
      <c r="AO129" s="62">
        <f t="shared" si="90"/>
        <v>430.83336115516937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7.9654662292399872</v>
      </c>
      <c r="AV129" s="23">
        <f>EXP(-LN(2)/25)*AV128+(1-EXP(-LN(2)/25))/(LN(2)/25)*Calculateur!AQ129*Calculateur!AS129*VLOOKUP('Données projet'!$B$10,Paramètres!$A$1:$I$89,3,0)*0.475*44/12</f>
        <v>3.0689653385609255</v>
      </c>
      <c r="AW129" s="23">
        <f>EXP(-LN(2)/2)*AW128+(1-EXP(-LN(2)/2))/(LN(2)/2)*AQ129*AT129*VLOOKUP('Données projet'!$B$10,Paramètres!$A$1:$I$89,3,0)*0.475*44/12</f>
        <v>1.5478244391754249E-13</v>
      </c>
      <c r="AX129" s="23">
        <f t="shared" si="60"/>
        <v>11.034431567801066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>
        <f>BD129*VLOOKUP('Données projet'!$B$11,Paramètres!$A$1:$I$89,3,0)*VLOOKUP('Données projet'!$B$11,Paramètres!$A$1:$I$89,5,0)</f>
        <v>0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74.52152468677042</v>
      </c>
      <c r="BJ129" s="62">
        <f t="shared" si="92"/>
        <v>344.26747505795851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8.6969810184261718</v>
      </c>
      <c r="BQ129" s="23">
        <f>EXP(-LN(2)/25)*BQ128+(1-EXP(-LN(2)/25))/(LN(2)/25)*Calculateur!BL129*Calculateur!BN129*VLOOKUP('Données projet'!$B$11,Paramètres!$A$1:$I$89,3,0)*0.475*44/12</f>
        <v>0.98843024242721811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9.6854112608533907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14.680692000000002</v>
      </c>
      <c r="D130" s="12">
        <f t="shared" si="86"/>
        <v>4.9486791426058208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19.698246129071105</v>
      </c>
      <c r="H130" s="70">
        <f t="shared" si="56"/>
        <v>290.85448807337184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182.84082525184493</v>
      </c>
      <c r="T130" s="62">
        <f t="shared" si="88"/>
        <v>430.83336115516937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1.1368683772161603E-13</v>
      </c>
      <c r="AJ130" s="14">
        <f>AI130*VLOOKUP('Données projet'!$B$10,Paramètres!$A$1:$I$89,3,0)*VLOOKUP('Données projet'!$B$10,Paramètres!$A$1:$I$89,5,0)</f>
        <v>6.7984728957526396E-14</v>
      </c>
      <c r="AK130" s="14">
        <f t="shared" si="89"/>
        <v>1.0682447123141398E-12</v>
      </c>
      <c r="AL130" s="22">
        <f t="shared" si="58"/>
        <v>1.978932943548152E-12</v>
      </c>
      <c r="AM130" s="62">
        <f t="shared" si="59"/>
        <v>293.3333333333353</v>
      </c>
      <c r="AN130" s="62">
        <f ca="1">AVERAGE(OFFSET($AM$3,0,0,'Données projet'!$E$10+1,1))-AVERAGE(OFFSET($H$3,0,0,'Données projet'!$E$10+1,1))</f>
        <v>182.84082525184493</v>
      </c>
      <c r="AO130" s="62">
        <f t="shared" si="90"/>
        <v>430.83336115516937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7.8092682949392582</v>
      </c>
      <c r="AV130" s="23">
        <f>EXP(-LN(2)/25)*AV129+(1-EXP(-LN(2)/25))/(LN(2)/25)*Calculateur!AQ130*Calculateur!AS130*VLOOKUP('Données projet'!$B$10,Paramètres!$A$1:$I$89,3,0)*0.475*44/12</f>
        <v>2.9850443199881038</v>
      </c>
      <c r="AW130" s="23">
        <f>EXP(-LN(2)/2)*AW129+(1-EXP(-LN(2)/2))/(LN(2)/2)*AQ130*AT130*VLOOKUP('Données projet'!$B$10,Paramètres!$A$1:$I$89,3,0)*0.475*44/12</f>
        <v>1.0944771570272078E-13</v>
      </c>
      <c r="AX130" s="23">
        <f t="shared" si="60"/>
        <v>10.794312614927472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>
        <f>BD130*VLOOKUP('Données projet'!$B$11,Paramètres!$A$1:$I$89,3,0)*VLOOKUP('Données projet'!$B$11,Paramètres!$A$1:$I$89,5,0)</f>
        <v>0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74.52152468677042</v>
      </c>
      <c r="BJ130" s="62">
        <f t="shared" si="92"/>
        <v>344.26747505795851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8.5264385252894659</v>
      </c>
      <c r="BQ130" s="23">
        <f>EXP(-LN(2)/25)*BQ129+(1-EXP(-LN(2)/25))/(LN(2)/25)*Calculateur!BL130*Calculateur!BN130*VLOOKUP('Données projet'!$B$11,Paramètres!$A$1:$I$89,3,0)*0.475*44/12</f>
        <v>0.96140156546875843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9.4878400907582243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14.796288000000002</v>
      </c>
      <c r="D131" s="12">
        <f t="shared" si="86"/>
        <v>4.9830937480549915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19.848783087521856</v>
      </c>
      <c r="H131" s="70">
        <f t="shared" si="56"/>
        <v>291.11575654452912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182.84082525184493</v>
      </c>
      <c r="T131" s="62">
        <f t="shared" si="88"/>
        <v>430.83336115516937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1.1368683772161603E-13</v>
      </c>
      <c r="AJ131" s="14">
        <f>AI131*VLOOKUP('Données projet'!$B$10,Paramètres!$A$1:$I$89,3,0)*VLOOKUP('Données projet'!$B$10,Paramètres!$A$1:$I$89,5,0)</f>
        <v>6.7984728957526396E-14</v>
      </c>
      <c r="AK131" s="14">
        <f t="shared" si="89"/>
        <v>1.0682447123141398E-12</v>
      </c>
      <c r="AL131" s="22">
        <f t="shared" si="58"/>
        <v>1.978932943548152E-12</v>
      </c>
      <c r="AM131" s="62">
        <f t="shared" si="59"/>
        <v>293.3333333333353</v>
      </c>
      <c r="AN131" s="62">
        <f ca="1">AVERAGE(OFFSET($AM$3,0,0,'Données projet'!$E$10+1,1))-AVERAGE(OFFSET($H$3,0,0,'Données projet'!$E$10+1,1))</f>
        <v>182.84082525184493</v>
      </c>
      <c r="AO131" s="62">
        <f t="shared" si="90"/>
        <v>430.83336115516937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7.656133306858834</v>
      </c>
      <c r="AV131" s="23">
        <f>EXP(-LN(2)/25)*AV130+(1-EXP(-LN(2)/25))/(LN(2)/25)*Calculateur!AQ131*Calculateur!AS131*VLOOKUP('Données projet'!$B$10,Paramètres!$A$1:$I$89,3,0)*0.475*44/12</f>
        <v>2.903418126081371</v>
      </c>
      <c r="AW131" s="23">
        <f>EXP(-LN(2)/2)*AW130+(1-EXP(-LN(2)/2))/(LN(2)/2)*AQ131*AT131*VLOOKUP('Données projet'!$B$10,Paramètres!$A$1:$I$89,3,0)*0.475*44/12</f>
        <v>7.7391221958771245E-14</v>
      </c>
      <c r="AX131" s="23">
        <f t="shared" si="60"/>
        <v>10.559551432940284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>
        <f>BD131*VLOOKUP('Données projet'!$B$11,Paramètres!$A$1:$I$89,3,0)*VLOOKUP('Données projet'!$B$11,Paramètres!$A$1:$I$89,5,0)</f>
        <v>0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74.52152468677042</v>
      </c>
      <c r="BJ131" s="62">
        <f t="shared" si="92"/>
        <v>344.26747505795851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8.3592402664225212</v>
      </c>
      <c r="BQ131" s="23">
        <f>EXP(-LN(2)/25)*BQ130+(1-EXP(-LN(2)/25))/(LN(2)/25)*Calculateur!BL131*Calculateur!BN131*VLOOKUP('Données projet'!$B$11,Paramètres!$A$1:$I$89,3,0)*0.475*44/12</f>
        <v>0.93511198910310422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9.2943522555256255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14.911884000000002</v>
      </c>
      <c r="D132" s="12">
        <f t="shared" si="86"/>
        <v>5.0174770716112285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19.999288654318644</v>
      </c>
      <c r="H132" s="70">
        <f t="shared" ref="H132:H195" si="110">(B132+E132+F132)*44/12+(C132+D132)*0.475*44/12</f>
        <v>291.37697053305624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182.84082525184493</v>
      </c>
      <c r="T132" s="62">
        <f t="shared" si="88"/>
        <v>430.83336115516937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1.1368683772161603E-13</v>
      </c>
      <c r="AJ132" s="14">
        <f>AI132*VLOOKUP('Données projet'!$B$10,Paramètres!$A$1:$I$89,3,0)*VLOOKUP('Données projet'!$B$10,Paramètres!$A$1:$I$89,5,0)</f>
        <v>6.7984728957526396E-14</v>
      </c>
      <c r="AK132" s="14">
        <f t="shared" si="89"/>
        <v>1.0682447123141398E-12</v>
      </c>
      <c r="AL132" s="22">
        <f t="shared" ref="AL132:AL153" si="112">(AJ132+AK132)*0.475*44/12</f>
        <v>1.978932943548152E-12</v>
      </c>
      <c r="AM132" s="62">
        <f t="shared" ref="AM132:AM195" si="113">AL132+(AD132+AE132)*44/12</f>
        <v>293.3333333333353</v>
      </c>
      <c r="AN132" s="62">
        <f ca="1">AVERAGE(OFFSET($AM$3,0,0,'Données projet'!$E$10+1,1))-AVERAGE(OFFSET($H$3,0,0,'Données projet'!$E$10+1,1))</f>
        <v>182.84082525184493</v>
      </c>
      <c r="AO132" s="62">
        <f t="shared" si="90"/>
        <v>430.83336115516937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7.5060012024915466</v>
      </c>
      <c r="AV132" s="23">
        <f>EXP(-LN(2)/25)*AV131+(1-EXP(-LN(2)/25))/(LN(2)/25)*Calculateur!AQ132*Calculateur!AS132*VLOOKUP('Données projet'!$B$10,Paramètres!$A$1:$I$89,3,0)*0.475*44/12</f>
        <v>2.8240240047395524</v>
      </c>
      <c r="AW132" s="23">
        <f>EXP(-LN(2)/2)*AW131+(1-EXP(-LN(2)/2))/(LN(2)/2)*AQ132*AT132*VLOOKUP('Données projet'!$B$10,Paramètres!$A$1:$I$89,3,0)*0.475*44/12</f>
        <v>5.4723857851360391E-14</v>
      </c>
      <c r="AX132" s="23">
        <f t="shared" ref="AX132:AX153" si="114">SUM(AU132:AW132)</f>
        <v>10.330025207231154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>
        <f>BD132*VLOOKUP('Données projet'!$B$11,Paramètres!$A$1:$I$89,3,0)*VLOOKUP('Données projet'!$B$11,Paramètres!$A$1:$I$89,5,0)</f>
        <v>0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74.52152468677042</v>
      </c>
      <c r="BJ132" s="62">
        <f t="shared" si="92"/>
        <v>344.26747505795851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8.1953206634310902</v>
      </c>
      <c r="BQ132" s="23">
        <f>EXP(-LN(2)/25)*BQ131+(1-EXP(-LN(2)/25))/(LN(2)/25)*Calculateur!BL132*Calculateur!BN132*VLOOKUP('Données projet'!$B$11,Paramètres!$A$1:$I$89,3,0)*0.475*44/12</f>
        <v>0.90954130258567756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9.1048619660167684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15.027480000000002</v>
      </c>
      <c r="D133" s="12">
        <f t="shared" ref="D133:D196" si="140">IFERROR(EXP(-1.0587+0.8836*LN(C133)+0.284),0)</f>
        <v>5.0518293838796211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20.149763101016045</v>
      </c>
      <c r="H133" s="70">
        <f t="shared" si="110"/>
        <v>291.63813051025704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182.84082525184493</v>
      </c>
      <c r="T133" s="62">
        <f t="shared" ref="T133:T196" si="142">$T$3</f>
        <v>430.83336115516937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1.1368683772161603E-13</v>
      </c>
      <c r="AJ133" s="14">
        <f>AI133*VLOOKUP('Données projet'!$B$10,Paramètres!$A$1:$I$89,3,0)*VLOOKUP('Données projet'!$B$10,Paramètres!$A$1:$I$89,5,0)</f>
        <v>6.7984728957526396E-14</v>
      </c>
      <c r="AK133" s="14">
        <f t="shared" ref="AK133:AK153" si="143">EXP(-1.0587+0.8836*LN(AJ133)+0.284)</f>
        <v>1.0682447123141398E-12</v>
      </c>
      <c r="AL133" s="22">
        <f t="shared" si="112"/>
        <v>1.978932943548152E-12</v>
      </c>
      <c r="AM133" s="62">
        <f t="shared" si="113"/>
        <v>293.3333333333353</v>
      </c>
      <c r="AN133" s="62">
        <f ca="1">AVERAGE(OFFSET($AM$3,0,0,'Données projet'!$E$10+1,1))-AVERAGE(OFFSET($H$3,0,0,'Données projet'!$E$10+1,1))</f>
        <v>182.84082525184493</v>
      </c>
      <c r="AO133" s="62">
        <f t="shared" ref="AO133:AO196" si="144">$AO$3</f>
        <v>430.83336115516937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7.3588130971193602</v>
      </c>
      <c r="AV133" s="23">
        <f>EXP(-LN(2)/25)*AV132+(1-EXP(-LN(2)/25))/(LN(2)/25)*Calculateur!AQ133*Calculateur!AS133*VLOOKUP('Données projet'!$B$10,Paramètres!$A$1:$I$89,3,0)*0.475*44/12</f>
        <v>2.7468009198209815</v>
      </c>
      <c r="AW133" s="23">
        <f>EXP(-LN(2)/2)*AW132+(1-EXP(-LN(2)/2))/(LN(2)/2)*AQ133*AT133*VLOOKUP('Données projet'!$B$10,Paramètres!$A$1:$I$89,3,0)*0.475*44/12</f>
        <v>3.8695610979385622E-14</v>
      </c>
      <c r="AX133" s="23">
        <f t="shared" si="114"/>
        <v>10.105614016940381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>
        <f>BD133*VLOOKUP('Données projet'!$B$11,Paramètres!$A$1:$I$89,3,0)*VLOOKUP('Données projet'!$B$11,Paramètres!$A$1:$I$89,5,0)</f>
        <v>0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74.52152468677042</v>
      </c>
      <c r="BJ133" s="62">
        <f t="shared" ref="BJ133:BJ196" si="146">$BJ$3</f>
        <v>344.26747505795851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8.0346154238732357</v>
      </c>
      <c r="BQ133" s="23">
        <f>EXP(-LN(2)/25)*BQ132+(1-EXP(-LN(2)/25))/(LN(2)/25)*Calculateur!BL133*Calculateur!BN133*VLOOKUP('Données projet'!$B$11,Paramètres!$A$1:$I$89,3,0)*0.475*44/12</f>
        <v>0.88466984783577385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8.9192852717090094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15.143076000000002</v>
      </c>
      <c r="D134" s="12">
        <f t="shared" si="140"/>
        <v>5.0861509510616409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20.30020669474958</v>
      </c>
      <c r="H134" s="70">
        <f t="shared" si="110"/>
        <v>291.89923693976573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182.84082525184493</v>
      </c>
      <c r="T134" s="62">
        <f t="shared" si="142"/>
        <v>430.83336115516937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1.1368683772161603E-13</v>
      </c>
      <c r="AJ134" s="14">
        <f>AI134*VLOOKUP('Données projet'!$B$10,Paramètres!$A$1:$I$89,3,0)*VLOOKUP('Données projet'!$B$10,Paramètres!$A$1:$I$89,5,0)</f>
        <v>6.7984728957526396E-14</v>
      </c>
      <c r="AK134" s="14">
        <f t="shared" si="143"/>
        <v>1.0682447123141398E-12</v>
      </c>
      <c r="AL134" s="22">
        <f t="shared" si="112"/>
        <v>1.978932943548152E-12</v>
      </c>
      <c r="AM134" s="62">
        <f t="shared" si="113"/>
        <v>293.3333333333353</v>
      </c>
      <c r="AN134" s="62">
        <f ca="1">AVERAGE(OFFSET($AM$3,0,0,'Données projet'!$E$10+1,1))-AVERAGE(OFFSET($H$3,0,0,'Données projet'!$E$10+1,1))</f>
        <v>182.84082525184493</v>
      </c>
      <c r="AO134" s="62">
        <f t="shared" si="144"/>
        <v>430.83336115516937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7.2145112607176429</v>
      </c>
      <c r="AV134" s="23">
        <f>EXP(-LN(2)/25)*AV133+(1-EXP(-LN(2)/25))/(LN(2)/25)*Calculateur!AQ134*Calculateur!AS134*VLOOKUP('Données projet'!$B$10,Paramètres!$A$1:$I$89,3,0)*0.475*44/12</f>
        <v>2.6716895042204944</v>
      </c>
      <c r="AW134" s="23">
        <f>EXP(-LN(2)/2)*AW133+(1-EXP(-LN(2)/2))/(LN(2)/2)*AQ134*AT134*VLOOKUP('Données projet'!$B$10,Paramètres!$A$1:$I$89,3,0)*0.475*44/12</f>
        <v>2.7361928925680196E-14</v>
      </c>
      <c r="AX134" s="23">
        <f t="shared" si="114"/>
        <v>9.8862007649381649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>
        <f>BD134*VLOOKUP('Données projet'!$B$11,Paramètres!$A$1:$I$89,3,0)*VLOOKUP('Données projet'!$B$11,Paramètres!$A$1:$I$89,5,0)</f>
        <v>0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74.52152468677042</v>
      </c>
      <c r="BJ134" s="62">
        <f t="shared" si="146"/>
        <v>344.26747505795851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7.877061516042593</v>
      </c>
      <c r="BQ134" s="23">
        <f>EXP(-LN(2)/25)*BQ133+(1-EXP(-LN(2)/25))/(LN(2)/25)*Calculateur!BL134*Calculateur!BN134*VLOOKUP('Données projet'!$B$11,Paramètres!$A$1:$I$89,3,0)*0.475*44/12</f>
        <v>0.86047850432393924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8.7375400203665325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15.258672000000002</v>
      </c>
      <c r="D135" s="12">
        <f t="shared" si="140"/>
        <v>5.1204420350598721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20.450619698340784</v>
      </c>
      <c r="H135" s="70">
        <f t="shared" si="110"/>
        <v>292.1602902777293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182.84082525184493</v>
      </c>
      <c r="T135" s="62">
        <f t="shared" si="142"/>
        <v>430.83336115516937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1.1368683772161603E-13</v>
      </c>
      <c r="AJ135" s="14">
        <f>AI135*VLOOKUP('Données projet'!$B$10,Paramètres!$A$1:$I$89,3,0)*VLOOKUP('Données projet'!$B$10,Paramètres!$A$1:$I$89,5,0)</f>
        <v>6.7984728957526396E-14</v>
      </c>
      <c r="AK135" s="14">
        <f t="shared" si="143"/>
        <v>1.0682447123141398E-12</v>
      </c>
      <c r="AL135" s="22">
        <f t="shared" si="112"/>
        <v>1.978932943548152E-12</v>
      </c>
      <c r="AM135" s="62">
        <f t="shared" si="113"/>
        <v>293.3333333333353</v>
      </c>
      <c r="AN135" s="62">
        <f ca="1">AVERAGE(OFFSET($AM$3,0,0,'Données projet'!$E$10+1,1))-AVERAGE(OFFSET($H$3,0,0,'Données projet'!$E$10+1,1))</f>
        <v>182.84082525184493</v>
      </c>
      <c r="AO135" s="62">
        <f t="shared" si="144"/>
        <v>430.83336115516937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7.0730390953123337</v>
      </c>
      <c r="AV135" s="23">
        <f>EXP(-LN(2)/25)*AV134+(1-EXP(-LN(2)/25))/(LN(2)/25)*Calculateur!AQ135*Calculateur!AS135*VLOOKUP('Données projet'!$B$10,Paramètres!$A$1:$I$89,3,0)*0.475*44/12</f>
        <v>2.59863201422954</v>
      </c>
      <c r="AW135" s="23">
        <f>EXP(-LN(2)/2)*AW134+(1-EXP(-LN(2)/2))/(LN(2)/2)*AQ135*AT135*VLOOKUP('Données projet'!$B$10,Paramètres!$A$1:$I$89,3,0)*0.475*44/12</f>
        <v>1.9347805489692811E-14</v>
      </c>
      <c r="AX135" s="23">
        <f t="shared" si="114"/>
        <v>9.6716711095418937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>
        <f>BD135*VLOOKUP('Données projet'!$B$11,Paramètres!$A$1:$I$89,3,0)*VLOOKUP('Données projet'!$B$11,Paramètres!$A$1:$I$89,5,0)</f>
        <v>0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74.52152468677042</v>
      </c>
      <c r="BJ135" s="62">
        <f t="shared" si="146"/>
        <v>344.26747505795851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7.7225971442461141</v>
      </c>
      <c r="BQ135" s="23">
        <f>EXP(-LN(2)/25)*BQ134+(1-EXP(-LN(2)/25))/(LN(2)/25)*Calculateur!BL135*Calculateur!BN135*VLOOKUP('Données projet'!$B$11,Paramètres!$A$1:$I$89,3,0)*0.475*44/12</f>
        <v>0.83694867437260323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8.5595458186187177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15.374268000000002</v>
      </c>
      <c r="D136" s="12">
        <f t="shared" si="140"/>
        <v>5.1547028935794561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20.601002370399037</v>
      </c>
      <c r="H136" s="70">
        <f t="shared" si="110"/>
        <v>292.42129097298425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182.84082525184493</v>
      </c>
      <c r="T136" s="62">
        <f t="shared" si="142"/>
        <v>430.83336115516937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1.1368683772161603E-13</v>
      </c>
      <c r="AJ136" s="14">
        <f>AI136*VLOOKUP('Données projet'!$B$10,Paramètres!$A$1:$I$89,3,0)*VLOOKUP('Données projet'!$B$10,Paramètres!$A$1:$I$89,5,0)</f>
        <v>6.7984728957526396E-14</v>
      </c>
      <c r="AK136" s="14">
        <f t="shared" si="143"/>
        <v>1.0682447123141398E-12</v>
      </c>
      <c r="AL136" s="22">
        <f t="shared" si="112"/>
        <v>1.978932943548152E-12</v>
      </c>
      <c r="AM136" s="62">
        <f t="shared" si="113"/>
        <v>293.3333333333353</v>
      </c>
      <c r="AN136" s="62">
        <f ca="1">AVERAGE(OFFSET($AM$3,0,0,'Données projet'!$E$10+1,1))-AVERAGE(OFFSET($H$3,0,0,'Données projet'!$E$10+1,1))</f>
        <v>182.84082525184493</v>
      </c>
      <c r="AO136" s="62">
        <f t="shared" si="144"/>
        <v>430.83336115516937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6.9343411127811221</v>
      </c>
      <c r="AV136" s="23">
        <f>EXP(-LN(2)/25)*AV135+(1-EXP(-LN(2)/25))/(LN(2)/25)*Calculateur!AQ136*Calculateur!AS136*VLOOKUP('Données projet'!$B$10,Paramètres!$A$1:$I$89,3,0)*0.475*44/12</f>
        <v>2.527572285144315</v>
      </c>
      <c r="AW136" s="23">
        <f>EXP(-LN(2)/2)*AW135+(1-EXP(-LN(2)/2))/(LN(2)/2)*AQ136*AT136*VLOOKUP('Données projet'!$B$10,Paramètres!$A$1:$I$89,3,0)*0.475*44/12</f>
        <v>1.3680964462840098E-14</v>
      </c>
      <c r="AX136" s="23">
        <f t="shared" si="114"/>
        <v>9.4619133979254517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>
        <f>BD136*VLOOKUP('Données projet'!$B$11,Paramètres!$A$1:$I$89,3,0)*VLOOKUP('Données projet'!$B$11,Paramètres!$A$1:$I$89,5,0)</f>
        <v>0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74.52152468677042</v>
      </c>
      <c r="BJ136" s="62">
        <f t="shared" si="146"/>
        <v>344.26747505795851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7.5711617245666005</v>
      </c>
      <c r="BQ136" s="23">
        <f>EXP(-LN(2)/25)*BQ135+(1-EXP(-LN(2)/25))/(LN(2)/25)*Calculateur!BL136*Calculateur!BN136*VLOOKUP('Données projet'!$B$11,Paramètres!$A$1:$I$89,3,0)*0.475*44/12</f>
        <v>0.8140622688586665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8.3852239934252673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15.489864000000003</v>
      </c>
      <c r="D137" s="12">
        <f t="shared" si="140"/>
        <v>5.1889337802264146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20.751354965420195</v>
      </c>
      <c r="H137" s="70">
        <f t="shared" si="110"/>
        <v>292.6822394672277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182.84082525184493</v>
      </c>
      <c r="T137" s="62">
        <f t="shared" si="142"/>
        <v>430.83336115516937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1.1368683772161603E-13</v>
      </c>
      <c r="AJ137" s="14">
        <f>AI137*VLOOKUP('Données projet'!$B$10,Paramètres!$A$1:$I$89,3,0)*VLOOKUP('Données projet'!$B$10,Paramètres!$A$1:$I$89,5,0)</f>
        <v>6.7984728957526396E-14</v>
      </c>
      <c r="AK137" s="14">
        <f t="shared" si="143"/>
        <v>1.0682447123141398E-12</v>
      </c>
      <c r="AL137" s="22">
        <f t="shared" si="112"/>
        <v>1.978932943548152E-12</v>
      </c>
      <c r="AM137" s="62">
        <f t="shared" si="113"/>
        <v>293.3333333333353</v>
      </c>
      <c r="AN137" s="62">
        <f ca="1">AVERAGE(OFFSET($AM$3,0,0,'Données projet'!$E$10+1,1))-AVERAGE(OFFSET($H$3,0,0,'Données projet'!$E$10+1,1))</f>
        <v>182.84082525184493</v>
      </c>
      <c r="AO137" s="62">
        <f t="shared" si="144"/>
        <v>430.83336115516937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6.7983629130899317</v>
      </c>
      <c r="AV137" s="23">
        <f>EXP(-LN(2)/25)*AV136+(1-EXP(-LN(2)/25))/(LN(2)/25)*Calculateur!AQ137*Calculateur!AS137*VLOOKUP('Données projet'!$B$10,Paramètres!$A$1:$I$89,3,0)*0.475*44/12</f>
        <v>2.4584556880877941</v>
      </c>
      <c r="AW137" s="23">
        <f>EXP(-LN(2)/2)*AW136+(1-EXP(-LN(2)/2))/(LN(2)/2)*AQ137*AT137*VLOOKUP('Données projet'!$B$10,Paramètres!$A$1:$I$89,3,0)*0.475*44/12</f>
        <v>9.6739027448464056E-15</v>
      </c>
      <c r="AX137" s="23">
        <f t="shared" si="114"/>
        <v>9.2568186011777343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>
        <f>BD137*VLOOKUP('Données projet'!$B$11,Paramètres!$A$1:$I$89,3,0)*VLOOKUP('Données projet'!$B$11,Paramètres!$A$1:$I$89,5,0)</f>
        <v>0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74.52152468677042</v>
      </c>
      <c r="BJ137" s="62">
        <f t="shared" si="146"/>
        <v>344.26747505795851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7.4226958611005163</v>
      </c>
      <c r="BQ137" s="23">
        <f>EXP(-LN(2)/25)*BQ136+(1-EXP(-LN(2)/25))/(LN(2)/25)*Calculateur!BL137*Calculateur!BN137*VLOOKUP('Données projet'!$B$11,Paramètres!$A$1:$I$89,3,0)*0.475*44/12</f>
        <v>0.79180169330705208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8.2144975544075685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15.605460000000003</v>
      </c>
      <c r="D138" s="12">
        <f t="shared" si="140"/>
        <v>5.2231349446029327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20.901677733882241</v>
      </c>
      <c r="H138" s="70">
        <f t="shared" si="110"/>
        <v>292.94313619518346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182.84082525184493</v>
      </c>
      <c r="T138" s="62">
        <f t="shared" si="142"/>
        <v>430.83336115516937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1.1368683772161603E-13</v>
      </c>
      <c r="AJ138" s="14">
        <f>AI138*VLOOKUP('Données projet'!$B$10,Paramètres!$A$1:$I$89,3,0)*VLOOKUP('Données projet'!$B$10,Paramètres!$A$1:$I$89,5,0)</f>
        <v>6.7984728957526396E-14</v>
      </c>
      <c r="AK138" s="14">
        <f t="shared" si="143"/>
        <v>1.0682447123141398E-12</v>
      </c>
      <c r="AL138" s="22">
        <f t="shared" si="112"/>
        <v>1.978932943548152E-12</v>
      </c>
      <c r="AM138" s="62">
        <f t="shared" si="113"/>
        <v>293.3333333333353</v>
      </c>
      <c r="AN138" s="62">
        <f ca="1">AVERAGE(OFFSET($AM$3,0,0,'Données projet'!$E$10+1,1))-AVERAGE(OFFSET($H$3,0,0,'Données projet'!$E$10+1,1))</f>
        <v>182.84082525184493</v>
      </c>
      <c r="AO138" s="62">
        <f t="shared" si="144"/>
        <v>430.83336115516937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6.6650511629561731</v>
      </c>
      <c r="AV138" s="23">
        <f>EXP(-LN(2)/25)*AV137+(1-EXP(-LN(2)/25))/(LN(2)/25)*Calculateur!AQ138*Calculateur!AS138*VLOOKUP('Données projet'!$B$10,Paramètres!$A$1:$I$89,3,0)*0.475*44/12</f>
        <v>2.3912290880124676</v>
      </c>
      <c r="AW138" s="23">
        <f>EXP(-LN(2)/2)*AW137+(1-EXP(-LN(2)/2))/(LN(2)/2)*AQ138*AT138*VLOOKUP('Données projet'!$B$10,Paramètres!$A$1:$I$89,3,0)*0.475*44/12</f>
        <v>6.8404822314200489E-15</v>
      </c>
      <c r="AX138" s="23">
        <f t="shared" si="114"/>
        <v>9.0562802509686477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>
        <f>BD138*VLOOKUP('Données projet'!$B$11,Paramètres!$A$1:$I$89,3,0)*VLOOKUP('Données projet'!$B$11,Paramètres!$A$1:$I$89,5,0)</f>
        <v>0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74.52152468677042</v>
      </c>
      <c r="BJ138" s="62">
        <f t="shared" si="146"/>
        <v>344.26747505795851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7.2771413226617669</v>
      </c>
      <c r="BQ138" s="23">
        <f>EXP(-LN(2)/25)*BQ137+(1-EXP(-LN(2)/25))/(LN(2)/25)*Calculateur!BL138*Calculateur!BN138*VLOOKUP('Données projet'!$B$11,Paramètres!$A$1:$I$89,3,0)*0.475*44/12</f>
        <v>0.77014983436452933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8.0472911570262955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15.721056000000003</v>
      </c>
      <c r="D139" s="12">
        <f t="shared" si="140"/>
        <v>5.2573066323997484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21.051970922337997</v>
      </c>
      <c r="H139" s="70">
        <f t="shared" si="110"/>
        <v>293.20398158476291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182.84082525184493</v>
      </c>
      <c r="T139" s="62">
        <f t="shared" si="142"/>
        <v>430.83336115516937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1.1368683772161603E-13</v>
      </c>
      <c r="AJ139" s="14">
        <f>AI139*VLOOKUP('Données projet'!$B$10,Paramètres!$A$1:$I$89,3,0)*VLOOKUP('Données projet'!$B$10,Paramètres!$A$1:$I$89,5,0)</f>
        <v>6.7984728957526396E-14</v>
      </c>
      <c r="AK139" s="14">
        <f t="shared" si="143"/>
        <v>1.0682447123141398E-12</v>
      </c>
      <c r="AL139" s="22">
        <f t="shared" si="112"/>
        <v>1.978932943548152E-12</v>
      </c>
      <c r="AM139" s="62">
        <f t="shared" si="113"/>
        <v>293.3333333333353</v>
      </c>
      <c r="AN139" s="62">
        <f ca="1">AVERAGE(OFFSET($AM$3,0,0,'Données projet'!$E$10+1,1))-AVERAGE(OFFSET($H$3,0,0,'Données projet'!$E$10+1,1))</f>
        <v>182.84082525184493</v>
      </c>
      <c r="AO139" s="62">
        <f t="shared" si="144"/>
        <v>430.83336115516937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6.5343535749303987</v>
      </c>
      <c r="AV139" s="23">
        <f>EXP(-LN(2)/25)*AV138+(1-EXP(-LN(2)/25))/(LN(2)/25)*Calculateur!AQ139*Calculateur!AS139*VLOOKUP('Données projet'!$B$10,Paramètres!$A$1:$I$89,3,0)*0.475*44/12</f>
        <v>2.3258408028514941</v>
      </c>
      <c r="AW139" s="23">
        <f>EXP(-LN(2)/2)*AW138+(1-EXP(-LN(2)/2))/(LN(2)/2)*AQ139*AT139*VLOOKUP('Données projet'!$B$10,Paramètres!$A$1:$I$89,3,0)*0.475*44/12</f>
        <v>4.8369513724232028E-15</v>
      </c>
      <c r="AX139" s="23">
        <f t="shared" si="114"/>
        <v>8.8601943777818981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>
        <f>BD139*VLOOKUP('Données projet'!$B$11,Paramètres!$A$1:$I$89,3,0)*VLOOKUP('Données projet'!$B$11,Paramètres!$A$1:$I$89,5,0)</f>
        <v>0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74.52152468677042</v>
      </c>
      <c r="BJ139" s="62">
        <f t="shared" si="146"/>
        <v>344.26747505795851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7.1344410199422992</v>
      </c>
      <c r="BQ139" s="23">
        <f>EXP(-LN(2)/25)*BQ138+(1-EXP(-LN(2)/25))/(LN(2)/25)*Calculateur!BL139*Calculateur!BN139*VLOOKUP('Données projet'!$B$11,Paramètres!$A$1:$I$89,3,0)*0.475*44/12</f>
        <v>0.74909004664341172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7.8835310665857108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15.836652000000003</v>
      </c>
      <c r="D140" s="12">
        <f t="shared" si="140"/>
        <v>5.2914490854857652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21.202234773505015</v>
      </c>
      <c r="H140" s="70">
        <f t="shared" si="110"/>
        <v>293.46477605722106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182.84082525184493</v>
      </c>
      <c r="T140" s="62">
        <f t="shared" si="142"/>
        <v>430.83336115516937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1.1368683772161603E-13</v>
      </c>
      <c r="AJ140" s="14">
        <f>AI140*VLOOKUP('Données projet'!$B$10,Paramètres!$A$1:$I$89,3,0)*VLOOKUP('Données projet'!$B$10,Paramètres!$A$1:$I$89,5,0)</f>
        <v>6.7984728957526396E-14</v>
      </c>
      <c r="AK140" s="14">
        <f t="shared" si="143"/>
        <v>1.0682447123141398E-12</v>
      </c>
      <c r="AL140" s="22">
        <f t="shared" si="112"/>
        <v>1.978932943548152E-12</v>
      </c>
      <c r="AM140" s="62">
        <f t="shared" si="113"/>
        <v>293.3333333333353</v>
      </c>
      <c r="AN140" s="62">
        <f ca="1">AVERAGE(OFFSET($AM$3,0,0,'Données projet'!$E$10+1,1))-AVERAGE(OFFSET($H$3,0,0,'Données projet'!$E$10+1,1))</f>
        <v>182.84082525184493</v>
      </c>
      <c r="AO140" s="62">
        <f t="shared" si="144"/>
        <v>430.83336115516937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6.4062188868881531</v>
      </c>
      <c r="AV140" s="23">
        <f>EXP(-LN(2)/25)*AV139+(1-EXP(-LN(2)/25))/(LN(2)/25)*Calculateur!AQ140*Calculateur!AS140*VLOOKUP('Données projet'!$B$10,Paramètres!$A$1:$I$89,3,0)*0.475*44/12</f>
        <v>2.2622405637868681</v>
      </c>
      <c r="AW140" s="23">
        <f>EXP(-LN(2)/2)*AW139+(1-EXP(-LN(2)/2))/(LN(2)/2)*AQ140*AT140*VLOOKUP('Données projet'!$B$10,Paramètres!$A$1:$I$89,3,0)*0.475*44/12</f>
        <v>3.4202411157100244E-15</v>
      </c>
      <c r="AX140" s="23">
        <f t="shared" si="114"/>
        <v>8.6684594506750248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>
        <f>BD140*VLOOKUP('Données projet'!$B$11,Paramètres!$A$1:$I$89,3,0)*VLOOKUP('Données projet'!$B$11,Paramètres!$A$1:$I$89,5,0)</f>
        <v>0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74.52152468677042</v>
      </c>
      <c r="BJ140" s="62">
        <f t="shared" si="146"/>
        <v>344.26747505795851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6.9945389831205702</v>
      </c>
      <c r="BQ140" s="23">
        <f>EXP(-LN(2)/25)*BQ139+(1-EXP(-LN(2)/25))/(LN(2)/25)*Calculateur!BL140*Calculateur!BN140*VLOOKUP('Données projet'!$B$11,Paramètres!$A$1:$I$89,3,0)*0.475*44/12</f>
        <v>0.72860613992501411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7.7231451230455841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15.952248000000003</v>
      </c>
      <c r="D141" s="12">
        <f t="shared" si="140"/>
        <v>5.3255625419949286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21.352469526352809</v>
      </c>
      <c r="H141" s="70">
        <f t="shared" si="110"/>
        <v>293.72552002730788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182.84082525184493</v>
      </c>
      <c r="T141" s="62">
        <f t="shared" si="142"/>
        <v>430.83336115516937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1.1368683772161603E-13</v>
      </c>
      <c r="AJ141" s="14">
        <f>AI141*VLOOKUP('Données projet'!$B$10,Paramètres!$A$1:$I$89,3,0)*VLOOKUP('Données projet'!$B$10,Paramètres!$A$1:$I$89,5,0)</f>
        <v>6.7984728957526396E-14</v>
      </c>
      <c r="AK141" s="14">
        <f t="shared" si="143"/>
        <v>1.0682447123141398E-12</v>
      </c>
      <c r="AL141" s="22">
        <f t="shared" si="112"/>
        <v>1.978932943548152E-12</v>
      </c>
      <c r="AM141" s="62">
        <f t="shared" si="113"/>
        <v>293.3333333333353</v>
      </c>
      <c r="AN141" s="62">
        <f ca="1">AVERAGE(OFFSET($AM$3,0,0,'Données projet'!$E$10+1,1))-AVERAGE(OFFSET($H$3,0,0,'Données projet'!$E$10+1,1))</f>
        <v>182.84082525184493</v>
      </c>
      <c r="AO141" s="62">
        <f t="shared" si="144"/>
        <v>430.83336115516937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6.2805968419239733</v>
      </c>
      <c r="AV141" s="23">
        <f>EXP(-LN(2)/25)*AV140+(1-EXP(-LN(2)/25))/(LN(2)/25)*Calculateur!AQ141*Calculateur!AS141*VLOOKUP('Données projet'!$B$10,Paramètres!$A$1:$I$89,3,0)*0.475*44/12</f>
        <v>2.2003794766040552</v>
      </c>
      <c r="AW141" s="23">
        <f>EXP(-LN(2)/2)*AW140+(1-EXP(-LN(2)/2))/(LN(2)/2)*AQ141*AT141*VLOOKUP('Données projet'!$B$10,Paramètres!$A$1:$I$89,3,0)*0.475*44/12</f>
        <v>2.4184756862116014E-15</v>
      </c>
      <c r="AX141" s="23">
        <f t="shared" si="114"/>
        <v>8.4809763185280307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>
        <f>BD141*VLOOKUP('Données projet'!$B$11,Paramètres!$A$1:$I$89,3,0)*VLOOKUP('Données projet'!$B$11,Paramètres!$A$1:$I$89,5,0)</f>
        <v>0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74.52152468677042</v>
      </c>
      <c r="BJ141" s="62">
        <f t="shared" si="146"/>
        <v>344.26747505795851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6.8573803399090982</v>
      </c>
      <c r="BQ141" s="23">
        <f>EXP(-LN(2)/25)*BQ140+(1-EXP(-LN(2)/25))/(LN(2)/25)*Calculateur!BL141*Calculateur!BN141*VLOOKUP('Données projet'!$B$11,Paramètres!$A$1:$I$89,3,0)*0.475*44/12</f>
        <v>0.70868236671303297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7.5660627066221311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16.067844000000001</v>
      </c>
      <c r="D142" s="12">
        <f t="shared" si="140"/>
        <v>5.3596472364105585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21.50267541618744</v>
      </c>
      <c r="H142" s="70">
        <f t="shared" si="110"/>
        <v>293.98621390341509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182.84082525184493</v>
      </c>
      <c r="T142" s="62">
        <f t="shared" si="142"/>
        <v>430.83336115516937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1.1368683772161603E-13</v>
      </c>
      <c r="AJ142" s="14">
        <f>AI142*VLOOKUP('Données projet'!$B$10,Paramètres!$A$1:$I$89,3,0)*VLOOKUP('Données projet'!$B$10,Paramètres!$A$1:$I$89,5,0)</f>
        <v>6.7984728957526396E-14</v>
      </c>
      <c r="AK142" s="14">
        <f t="shared" si="143"/>
        <v>1.0682447123141398E-12</v>
      </c>
      <c r="AL142" s="22">
        <f t="shared" si="112"/>
        <v>1.978932943548152E-12</v>
      </c>
      <c r="AM142" s="62">
        <f t="shared" si="113"/>
        <v>293.3333333333353</v>
      </c>
      <c r="AN142" s="62">
        <f ca="1">AVERAGE(OFFSET($AM$3,0,0,'Données projet'!$E$10+1,1))-AVERAGE(OFFSET($H$3,0,0,'Données projet'!$E$10+1,1))</f>
        <v>182.84082525184493</v>
      </c>
      <c r="AO142" s="62">
        <f t="shared" si="144"/>
        <v>430.83336115516937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6.1574381686396586</v>
      </c>
      <c r="AV142" s="23">
        <f>EXP(-LN(2)/25)*AV141+(1-EXP(-LN(2)/25))/(LN(2)/25)*Calculateur!AQ142*Calculateur!AS142*VLOOKUP('Données projet'!$B$10,Paramètres!$A$1:$I$89,3,0)*0.475*44/12</f>
        <v>2.1402099841033895</v>
      </c>
      <c r="AW142" s="23">
        <f>EXP(-LN(2)/2)*AW141+(1-EXP(-LN(2)/2))/(LN(2)/2)*AQ142*AT142*VLOOKUP('Données projet'!$B$10,Paramètres!$A$1:$I$89,3,0)*0.475*44/12</f>
        <v>1.7101205578550122E-15</v>
      </c>
      <c r="AX142" s="23">
        <f t="shared" si="114"/>
        <v>8.297648152743049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>
        <f>BD142*VLOOKUP('Données projet'!$B$11,Paramètres!$A$1:$I$89,3,0)*VLOOKUP('Données projet'!$B$11,Paramètres!$A$1:$I$89,5,0)</f>
        <v>0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74.52152468677042</v>
      </c>
      <c r="BJ142" s="62">
        <f t="shared" si="146"/>
        <v>344.26747505795851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6.7229112940324915</v>
      </c>
      <c r="BQ142" s="23">
        <f>EXP(-LN(2)/25)*BQ141+(1-EXP(-LN(2)/25))/(LN(2)/25)*Calculateur!BL142*Calculateur!BN142*VLOOKUP('Données projet'!$B$11,Paramètres!$A$1:$I$89,3,0)*0.475*44/12</f>
        <v>0.68930341012727914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7.412214704159771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16.183440000000001</v>
      </c>
      <c r="D143" s="12">
        <f t="shared" si="140"/>
        <v>5.3937033996471619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21.652852674733648</v>
      </c>
      <c r="H143" s="70">
        <f t="shared" si="110"/>
        <v>294.24685808771881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182.84082525184493</v>
      </c>
      <c r="T143" s="62">
        <f t="shared" si="142"/>
        <v>430.83336115516937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1.1368683772161603E-13</v>
      </c>
      <c r="AJ143" s="14">
        <f>AI143*VLOOKUP('Données projet'!$B$10,Paramètres!$A$1:$I$89,3,0)*VLOOKUP('Données projet'!$B$10,Paramètres!$A$1:$I$89,5,0)</f>
        <v>6.7984728957526396E-14</v>
      </c>
      <c r="AK143" s="14">
        <f t="shared" si="143"/>
        <v>1.0682447123141398E-12</v>
      </c>
      <c r="AL143" s="22">
        <f t="shared" si="112"/>
        <v>1.978932943548152E-12</v>
      </c>
      <c r="AM143" s="62">
        <f t="shared" si="113"/>
        <v>293.3333333333353</v>
      </c>
      <c r="AN143" s="62">
        <f ca="1">AVERAGE(OFFSET($AM$3,0,0,'Données projet'!$E$10+1,1))-AVERAGE(OFFSET($H$3,0,0,'Données projet'!$E$10+1,1))</f>
        <v>182.84082525184493</v>
      </c>
      <c r="AO143" s="62">
        <f t="shared" si="144"/>
        <v>430.83336115516937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6.0366945618190764</v>
      </c>
      <c r="AV143" s="23">
        <f>EXP(-LN(2)/25)*AV142+(1-EXP(-LN(2)/25))/(LN(2)/25)*Calculateur!AQ143*Calculateur!AS143*VLOOKUP('Données projet'!$B$10,Paramètres!$A$1:$I$89,3,0)*0.475*44/12</f>
        <v>2.0816858295393308</v>
      </c>
      <c r="AW143" s="23">
        <f>EXP(-LN(2)/2)*AW142+(1-EXP(-LN(2)/2))/(LN(2)/2)*AQ143*AT143*VLOOKUP('Données projet'!$B$10,Paramètres!$A$1:$I$89,3,0)*0.475*44/12</f>
        <v>1.2092378431058007E-15</v>
      </c>
      <c r="AX143" s="23">
        <f t="shared" si="114"/>
        <v>8.1183803913584089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>
        <f>BD143*VLOOKUP('Données projet'!$B$11,Paramètres!$A$1:$I$89,3,0)*VLOOKUP('Données projet'!$B$11,Paramètres!$A$1:$I$89,5,0)</f>
        <v>0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74.52152468677042</v>
      </c>
      <c r="BJ143" s="62">
        <f t="shared" si="146"/>
        <v>344.26747505795851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6.5910791041275063</v>
      </c>
      <c r="BQ143" s="23">
        <f>EXP(-LN(2)/25)*BQ142+(1-EXP(-LN(2)/25))/(LN(2)/25)*Calculateur!BL143*Calculateur!BN143*VLOOKUP('Données projet'!$B$11,Paramètres!$A$1:$I$89,3,0)*0.475*44/12</f>
        <v>0.67045437212845782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7.2615334762559645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16.299036000000001</v>
      </c>
      <c r="D144" s="12">
        <f t="shared" si="140"/>
        <v>5.4277312591298328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21.803001530214502</v>
      </c>
      <c r="H144" s="70">
        <f t="shared" si="110"/>
        <v>294.50745297631784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182.84082525184493</v>
      </c>
      <c r="T144" s="62">
        <f t="shared" si="142"/>
        <v>430.83336115516937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1.1368683772161603E-13</v>
      </c>
      <c r="AJ144" s="14">
        <f>AI144*VLOOKUP('Données projet'!$B$10,Paramètres!$A$1:$I$89,3,0)*VLOOKUP('Données projet'!$B$10,Paramètres!$A$1:$I$89,5,0)</f>
        <v>6.7984728957526396E-14</v>
      </c>
      <c r="AK144" s="14">
        <f t="shared" si="143"/>
        <v>1.0682447123141398E-12</v>
      </c>
      <c r="AL144" s="22">
        <f t="shared" si="112"/>
        <v>1.978932943548152E-12</v>
      </c>
      <c r="AM144" s="62">
        <f t="shared" si="113"/>
        <v>293.3333333333353</v>
      </c>
      <c r="AN144" s="62">
        <f ca="1">AVERAGE(OFFSET($AM$3,0,0,'Données projet'!$E$10+1,1))-AVERAGE(OFFSET($H$3,0,0,'Données projet'!$E$10+1,1))</f>
        <v>182.84082525184493</v>
      </c>
      <c r="AO144" s="62">
        <f t="shared" si="144"/>
        <v>430.83336115516937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5.9183186634819176</v>
      </c>
      <c r="AV144" s="23">
        <f>EXP(-LN(2)/25)*AV143+(1-EXP(-LN(2)/25))/(LN(2)/25)*Calculateur!AQ144*Calculateur!AS144*VLOOKUP('Données projet'!$B$10,Paramètres!$A$1:$I$89,3,0)*0.475*44/12</f>
        <v>2.0247620210594777</v>
      </c>
      <c r="AW144" s="23">
        <f>EXP(-LN(2)/2)*AW143+(1-EXP(-LN(2)/2))/(LN(2)/2)*AQ144*AT144*VLOOKUP('Données projet'!$B$10,Paramètres!$A$1:$I$89,3,0)*0.475*44/12</f>
        <v>8.5506027892750611E-16</v>
      </c>
      <c r="AX144" s="23">
        <f t="shared" si="114"/>
        <v>7.9430806845413962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>
        <f>BD144*VLOOKUP('Données projet'!$B$11,Paramètres!$A$1:$I$89,3,0)*VLOOKUP('Données projet'!$B$11,Paramètres!$A$1:$I$89,5,0)</f>
        <v>0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74.52152468677042</v>
      </c>
      <c r="BJ144" s="62">
        <f t="shared" si="146"/>
        <v>344.26747505795851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6.4618320630568613</v>
      </c>
      <c r="BQ144" s="23">
        <f>EXP(-LN(2)/25)*BQ143+(1-EXP(-LN(2)/25))/(LN(2)/25)*Calculateur!BL144*Calculateur!BN144*VLOOKUP('Données projet'!$B$11,Paramètres!$A$1:$I$89,3,0)*0.475*44/12</f>
        <v>0.65212076206494207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7.1139528251218032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16.414632000000001</v>
      </c>
      <c r="D145" s="12">
        <f t="shared" si="140"/>
        <v>5.461731038871358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21.953122207428805</v>
      </c>
      <c r="H145" s="70">
        <f t="shared" si="110"/>
        <v>294.76799895936762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182.84082525184493</v>
      </c>
      <c r="T145" s="62">
        <f t="shared" si="142"/>
        <v>430.83336115516937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1.1368683772161603E-13</v>
      </c>
      <c r="AJ145" s="14">
        <f>AI145*VLOOKUP('Données projet'!$B$10,Paramètres!$A$1:$I$89,3,0)*VLOOKUP('Données projet'!$B$10,Paramètres!$A$1:$I$89,5,0)</f>
        <v>6.7984728957526396E-14</v>
      </c>
      <c r="AK145" s="14">
        <f t="shared" si="143"/>
        <v>1.0682447123141398E-12</v>
      </c>
      <c r="AL145" s="22">
        <f t="shared" si="112"/>
        <v>1.978932943548152E-12</v>
      </c>
      <c r="AM145" s="62">
        <f t="shared" si="113"/>
        <v>293.3333333333353</v>
      </c>
      <c r="AN145" s="62">
        <f ca="1">AVERAGE(OFFSET($AM$3,0,0,'Données projet'!$E$10+1,1))-AVERAGE(OFFSET($H$3,0,0,'Données projet'!$E$10+1,1))</f>
        <v>182.84082525184493</v>
      </c>
      <c r="AO145" s="62">
        <f t="shared" si="144"/>
        <v>430.83336115516937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5.8022640443089823</v>
      </c>
      <c r="AV145" s="23">
        <f>EXP(-LN(2)/25)*AV144+(1-EXP(-LN(2)/25))/(LN(2)/25)*Calculateur!AQ145*Calculateur!AS145*VLOOKUP('Données projet'!$B$10,Paramètres!$A$1:$I$89,3,0)*0.475*44/12</f>
        <v>1.9693947971159993</v>
      </c>
      <c r="AW145" s="23">
        <f>EXP(-LN(2)/2)*AW144+(1-EXP(-LN(2)/2))/(LN(2)/2)*AQ145*AT145*VLOOKUP('Données projet'!$B$10,Paramètres!$A$1:$I$89,3,0)*0.475*44/12</f>
        <v>6.0461892155290035E-16</v>
      </c>
      <c r="AX145" s="23">
        <f t="shared" si="114"/>
        <v>7.7716588414249825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>
        <f>BD145*VLOOKUP('Données projet'!$B$11,Paramètres!$A$1:$I$89,3,0)*VLOOKUP('Données projet'!$B$11,Paramètres!$A$1:$I$89,5,0)</f>
        <v>0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74.52152468677042</v>
      </c>
      <c r="BJ145" s="62">
        <f t="shared" si="146"/>
        <v>344.26747505795851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6.3351194776287008</v>
      </c>
      <c r="BQ145" s="23">
        <f>EXP(-LN(2)/25)*BQ144+(1-EXP(-LN(2)/25))/(LN(2)/25)*Calculateur!BL145*Calculateur!BN145*VLOOKUP('Données projet'!$B$11,Paramètres!$A$1:$I$89,3,0)*0.475*44/12</f>
        <v>0.63428848553273576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6.9694079631614363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16.530228000000001</v>
      </c>
      <c r="D146" s="12">
        <f t="shared" si="140"/>
        <v>5.4957029595470779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22.10321492782619</v>
      </c>
      <c r="H146" s="70">
        <f t="shared" si="110"/>
        <v>295.02849642121117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182.84082525184493</v>
      </c>
      <c r="T146" s="62">
        <f t="shared" si="142"/>
        <v>430.83336115516937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1.1368683772161603E-13</v>
      </c>
      <c r="AJ146" s="14">
        <f>AI146*VLOOKUP('Données projet'!$B$10,Paramètres!$A$1:$I$89,3,0)*VLOOKUP('Données projet'!$B$10,Paramètres!$A$1:$I$89,5,0)</f>
        <v>6.7984728957526396E-14</v>
      </c>
      <c r="AK146" s="14">
        <f t="shared" si="143"/>
        <v>1.0682447123141398E-12</v>
      </c>
      <c r="AL146" s="22">
        <f t="shared" si="112"/>
        <v>1.978932943548152E-12</v>
      </c>
      <c r="AM146" s="62">
        <f t="shared" si="113"/>
        <v>293.3333333333353</v>
      </c>
      <c r="AN146" s="62">
        <f ca="1">AVERAGE(OFFSET($AM$3,0,0,'Données projet'!$E$10+1,1))-AVERAGE(OFFSET($H$3,0,0,'Données projet'!$E$10+1,1))</f>
        <v>182.84082525184493</v>
      </c>
      <c r="AO146" s="62">
        <f t="shared" si="144"/>
        <v>430.83336115516937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5.6884851854317002</v>
      </c>
      <c r="AV146" s="23">
        <f>EXP(-LN(2)/25)*AV145+(1-EXP(-LN(2)/25))/(LN(2)/25)*Calculateur!AQ146*Calculateur!AS146*VLOOKUP('Données projet'!$B$10,Paramètres!$A$1:$I$89,3,0)*0.475*44/12</f>
        <v>1.9155415928228909</v>
      </c>
      <c r="AW146" s="23">
        <f>EXP(-LN(2)/2)*AW145+(1-EXP(-LN(2)/2))/(LN(2)/2)*AQ146*AT146*VLOOKUP('Données projet'!$B$10,Paramètres!$A$1:$I$89,3,0)*0.475*44/12</f>
        <v>4.2753013946375306E-16</v>
      </c>
      <c r="AX146" s="23">
        <f t="shared" si="114"/>
        <v>7.6040267782545907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>
        <f>BD146*VLOOKUP('Données projet'!$B$11,Paramètres!$A$1:$I$89,3,0)*VLOOKUP('Données projet'!$B$11,Paramètres!$A$1:$I$89,5,0)</f>
        <v>0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74.52152468677042</v>
      </c>
      <c r="BJ146" s="62">
        <f t="shared" si="146"/>
        <v>344.26747505795851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6.2108916487137407</v>
      </c>
      <c r="BQ146" s="23">
        <f>EXP(-LN(2)/25)*BQ145+(1-EXP(-LN(2)/25))/(LN(2)/25)*Calculateur!BL146*Calculateur!BN146*VLOOKUP('Données projet'!$B$11,Paramètres!$A$1:$I$89,3,0)*0.475*44/12</f>
        <v>0.61694383354006133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6.8278354822538017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16.645824000000001</v>
      </c>
      <c r="D147" s="12">
        <f t="shared" si="140"/>
        <v>5.5296472385675814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22.253279909580101</v>
      </c>
      <c r="H147" s="70">
        <f t="shared" si="110"/>
        <v>295.2889457405052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182.84082525184493</v>
      </c>
      <c r="T147" s="62">
        <f t="shared" si="142"/>
        <v>430.83336115516937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1.1368683772161603E-13</v>
      </c>
      <c r="AJ147" s="14">
        <f>AI147*VLOOKUP('Données projet'!$B$10,Paramètres!$A$1:$I$89,3,0)*VLOOKUP('Données projet'!$B$10,Paramètres!$A$1:$I$89,5,0)</f>
        <v>6.7984728957526396E-14</v>
      </c>
      <c r="AK147" s="14">
        <f t="shared" si="143"/>
        <v>1.0682447123141398E-12</v>
      </c>
      <c r="AL147" s="22">
        <f t="shared" si="112"/>
        <v>1.978932943548152E-12</v>
      </c>
      <c r="AM147" s="62">
        <f t="shared" si="113"/>
        <v>293.3333333333353</v>
      </c>
      <c r="AN147" s="62">
        <f ca="1">AVERAGE(OFFSET($AM$3,0,0,'Données projet'!$E$10+1,1))-AVERAGE(OFFSET($H$3,0,0,'Données projet'!$E$10+1,1))</f>
        <v>182.84082525184493</v>
      </c>
      <c r="AO147" s="62">
        <f t="shared" si="144"/>
        <v>430.83336115516937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5.5769374605787503</v>
      </c>
      <c r="AV147" s="23">
        <f>EXP(-LN(2)/25)*AV146+(1-EXP(-LN(2)/25))/(LN(2)/25)*Calculateur!AQ147*Calculateur!AS147*VLOOKUP('Données projet'!$B$10,Paramètres!$A$1:$I$89,3,0)*0.475*44/12</f>
        <v>1.8631610072331946</v>
      </c>
      <c r="AW147" s="23">
        <f>EXP(-LN(2)/2)*AW146+(1-EXP(-LN(2)/2))/(LN(2)/2)*AQ147*AT147*VLOOKUP('Données projet'!$B$10,Paramètres!$A$1:$I$89,3,0)*0.475*44/12</f>
        <v>3.0230946077645017E-16</v>
      </c>
      <c r="AX147" s="23">
        <f t="shared" si="114"/>
        <v>7.4400984678119446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>
        <f>BD147*VLOOKUP('Données projet'!$B$11,Paramètres!$A$1:$I$89,3,0)*VLOOKUP('Données projet'!$B$11,Paramètres!$A$1:$I$89,5,0)</f>
        <v>0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74.52152468677042</v>
      </c>
      <c r="BJ147" s="62">
        <f t="shared" si="146"/>
        <v>344.26747505795851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6.0890998517523096</v>
      </c>
      <c r="BQ147" s="23">
        <f>EXP(-LN(2)/25)*BQ146+(1-EXP(-LN(2)/25))/(LN(2)/25)*Calculateur!BL147*Calculateur!BN147*VLOOKUP('Données projet'!$B$11,Paramètres!$A$1:$I$89,3,0)*0.475*44/12</f>
        <v>0.60007347196824223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6.689173323720552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16.761420000000001</v>
      </c>
      <c r="D148" s="12">
        <f t="shared" si="140"/>
        <v>5.5635640901493444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22.403317367658644</v>
      </c>
      <c r="H148" s="70">
        <f t="shared" si="110"/>
        <v>295.54934729034346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182.84082525184493</v>
      </c>
      <c r="T148" s="62">
        <f t="shared" si="142"/>
        <v>430.83336115516937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1.1368683772161603E-13</v>
      </c>
      <c r="AJ148" s="14">
        <f>AI148*VLOOKUP('Données projet'!$B$10,Paramètres!$A$1:$I$89,3,0)*VLOOKUP('Données projet'!$B$10,Paramètres!$A$1:$I$89,5,0)</f>
        <v>6.7984728957526396E-14</v>
      </c>
      <c r="AK148" s="14">
        <f t="shared" si="143"/>
        <v>1.0682447123141398E-12</v>
      </c>
      <c r="AL148" s="22">
        <f t="shared" si="112"/>
        <v>1.978932943548152E-12</v>
      </c>
      <c r="AM148" s="62">
        <f t="shared" si="113"/>
        <v>293.3333333333353</v>
      </c>
      <c r="AN148" s="62">
        <f ca="1">AVERAGE(OFFSET($AM$3,0,0,'Données projet'!$E$10+1,1))-AVERAGE(OFFSET($H$3,0,0,'Données projet'!$E$10+1,1))</f>
        <v>182.84082525184493</v>
      </c>
      <c r="AO148" s="62">
        <f t="shared" si="144"/>
        <v>430.83336115516937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5.4675771185727724</v>
      </c>
      <c r="AV148" s="23">
        <f>EXP(-LN(2)/25)*AV147+(1-EXP(-LN(2)/25))/(LN(2)/25)*Calculateur!AQ148*Calculateur!AS148*VLOOKUP('Données projet'!$B$10,Paramètres!$A$1:$I$89,3,0)*0.475*44/12</f>
        <v>1.8122127715110239</v>
      </c>
      <c r="AW148" s="23">
        <f>EXP(-LN(2)/2)*AW147+(1-EXP(-LN(2)/2))/(LN(2)/2)*AQ148*AT148*VLOOKUP('Données projet'!$B$10,Paramètres!$A$1:$I$89,3,0)*0.475*44/12</f>
        <v>2.1376506973187653E-16</v>
      </c>
      <c r="AX148" s="23">
        <f t="shared" si="114"/>
        <v>7.2797898900837961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>
        <f>BD148*VLOOKUP('Données projet'!$B$11,Paramètres!$A$1:$I$89,3,0)*VLOOKUP('Données projet'!$B$11,Paramètres!$A$1:$I$89,5,0)</f>
        <v>0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74.52152468677042</v>
      </c>
      <c r="BJ148" s="62">
        <f t="shared" si="146"/>
        <v>344.26747505795851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5.9696963176436313</v>
      </c>
      <c r="BQ148" s="23">
        <f>EXP(-LN(2)/25)*BQ147+(1-EXP(-LN(2)/25))/(LN(2)/25)*Calculateur!BL148*Calculateur!BN148*VLOOKUP('Données projet'!$B$11,Paramètres!$A$1:$I$89,3,0)*0.475*44/12</f>
        <v>0.58366443132077828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6.5533607489644092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16.877016000000001</v>
      </c>
      <c r="D149" s="12">
        <f t="shared" si="140"/>
        <v>5.5974537253833487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22.553327513893468</v>
      </c>
      <c r="H149" s="70">
        <f t="shared" si="110"/>
        <v>295.80970143837601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182.84082525184493</v>
      </c>
      <c r="T149" s="62">
        <f t="shared" si="142"/>
        <v>430.83336115516937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1.1368683772161603E-13</v>
      </c>
      <c r="AJ149" s="14">
        <f>AI149*VLOOKUP('Données projet'!$B$10,Paramètres!$A$1:$I$89,3,0)*VLOOKUP('Données projet'!$B$10,Paramètres!$A$1:$I$89,5,0)</f>
        <v>6.7984728957526396E-14</v>
      </c>
      <c r="AK149" s="14">
        <f t="shared" si="143"/>
        <v>1.0682447123141398E-12</v>
      </c>
      <c r="AL149" s="22">
        <f t="shared" si="112"/>
        <v>1.978932943548152E-12</v>
      </c>
      <c r="AM149" s="62">
        <f t="shared" si="113"/>
        <v>293.3333333333353</v>
      </c>
      <c r="AN149" s="62">
        <f ca="1">AVERAGE(OFFSET($AM$3,0,0,'Données projet'!$E$10+1,1))-AVERAGE(OFFSET($H$3,0,0,'Données projet'!$E$10+1,1))</f>
        <v>182.84082525184493</v>
      </c>
      <c r="AO149" s="62">
        <f t="shared" si="144"/>
        <v>430.83336115516937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5.3603612661703091</v>
      </c>
      <c r="AV149" s="23">
        <f>EXP(-LN(2)/25)*AV148+(1-EXP(-LN(2)/25))/(LN(2)/25)*Calculateur!AQ149*Calculateur!AS149*VLOOKUP('Données projet'!$B$10,Paramètres!$A$1:$I$89,3,0)*0.475*44/12</f>
        <v>1.7626577179739271</v>
      </c>
      <c r="AW149" s="23">
        <f>EXP(-LN(2)/2)*AW148+(1-EXP(-LN(2)/2))/(LN(2)/2)*AQ149*AT149*VLOOKUP('Données projet'!$B$10,Paramètres!$A$1:$I$89,3,0)*0.475*44/12</f>
        <v>1.5115473038822509E-16</v>
      </c>
      <c r="AX149" s="23">
        <f t="shared" si="114"/>
        <v>7.1230189841442364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>
        <f>BD149*VLOOKUP('Données projet'!$B$11,Paramètres!$A$1:$I$89,3,0)*VLOOKUP('Données projet'!$B$11,Paramètres!$A$1:$I$89,5,0)</f>
        <v>0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74.52152468677042</v>
      </c>
      <c r="BJ149" s="62">
        <f t="shared" si="146"/>
        <v>344.26747505795851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5.8526342140098588</v>
      </c>
      <c r="BQ149" s="23">
        <f>EXP(-LN(2)/25)*BQ148+(1-EXP(-LN(2)/25))/(LN(2)/25)*Calculateur!BL149*Calculateur!BN149*VLOOKUP('Données projet'!$B$11,Paramètres!$A$1:$I$89,3,0)*0.475*44/12</f>
        <v>0.56770409675273314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6.4203383107625918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16.992612000000001</v>
      </c>
      <c r="D150" s="12">
        <f t="shared" si="140"/>
        <v>5.6313163523017726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22.703310557046695</v>
      </c>
      <c r="H150" s="70">
        <f t="shared" si="110"/>
        <v>296.07000854692558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182.84082525184493</v>
      </c>
      <c r="T150" s="62">
        <f t="shared" si="142"/>
        <v>430.83336115516937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1.1368683772161603E-13</v>
      </c>
      <c r="AJ150" s="14">
        <f>AI150*VLOOKUP('Données projet'!$B$10,Paramètres!$A$1:$I$89,3,0)*VLOOKUP('Données projet'!$B$10,Paramètres!$A$1:$I$89,5,0)</f>
        <v>6.7984728957526396E-14</v>
      </c>
      <c r="AK150" s="14">
        <f t="shared" si="143"/>
        <v>1.0682447123141398E-12</v>
      </c>
      <c r="AL150" s="22">
        <f t="shared" si="112"/>
        <v>1.978932943548152E-12</v>
      </c>
      <c r="AM150" s="62">
        <f t="shared" si="113"/>
        <v>293.3333333333353</v>
      </c>
      <c r="AN150" s="62">
        <f ca="1">AVERAGE(OFFSET($AM$3,0,0,'Données projet'!$E$10+1,1))-AVERAGE(OFFSET($H$3,0,0,'Données projet'!$E$10+1,1))</f>
        <v>182.84082525184493</v>
      </c>
      <c r="AO150" s="62">
        <f t="shared" si="144"/>
        <v>430.83336115516937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5.2552478512382459</v>
      </c>
      <c r="AV150" s="23">
        <f>EXP(-LN(2)/25)*AV149+(1-EXP(-LN(2)/25))/(LN(2)/25)*Calculateur!AQ150*Calculateur!AS150*VLOOKUP('Données projet'!$B$10,Paramètres!$A$1:$I$89,3,0)*0.475*44/12</f>
        <v>1.7144577499817892</v>
      </c>
      <c r="AW150" s="23">
        <f>EXP(-LN(2)/2)*AW149+(1-EXP(-LN(2)/2))/(LN(2)/2)*AQ150*AT150*VLOOKUP('Données projet'!$B$10,Paramètres!$A$1:$I$89,3,0)*0.475*44/12</f>
        <v>1.0688253486593826E-16</v>
      </c>
      <c r="AX150" s="23">
        <f t="shared" si="114"/>
        <v>6.9697056012200349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>
        <f>BD150*VLOOKUP('Données projet'!$B$11,Paramètres!$A$1:$I$89,3,0)*VLOOKUP('Données projet'!$B$11,Paramètres!$A$1:$I$89,5,0)</f>
        <v>0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74.52152468677042</v>
      </c>
      <c r="BJ150" s="62">
        <f t="shared" si="146"/>
        <v>344.26747505795851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5.7378676268275122</v>
      </c>
      <c r="BQ150" s="23">
        <f>EXP(-LN(2)/25)*BQ149+(1-EXP(-LN(2)/25))/(LN(2)/25)*Calculateur!BL150*Calculateur!BN150*VLOOKUP('Données projet'!$B$11,Paramètres!$A$1:$I$89,3,0)*0.475*44/12</f>
        <v>0.55218019837276866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6.2900478252002809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17.108208000000001</v>
      </c>
      <c r="D151" s="12">
        <f t="shared" si="140"/>
        <v>5.6651521759428185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22.853266702875956</v>
      </c>
      <c r="H151" s="70">
        <f t="shared" si="110"/>
        <v>296.33026897310043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182.84082525184493</v>
      </c>
      <c r="T151" s="62">
        <f t="shared" si="142"/>
        <v>430.83336115516937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1.1368683772161603E-13</v>
      </c>
      <c r="AJ151" s="14">
        <f>AI151*VLOOKUP('Données projet'!$B$10,Paramètres!$A$1:$I$89,3,0)*VLOOKUP('Données projet'!$B$10,Paramètres!$A$1:$I$89,5,0)</f>
        <v>6.7984728957526396E-14</v>
      </c>
      <c r="AK151" s="14">
        <f t="shared" si="143"/>
        <v>1.0682447123141398E-12</v>
      </c>
      <c r="AL151" s="22">
        <f t="shared" si="112"/>
        <v>1.978932943548152E-12</v>
      </c>
      <c r="AM151" s="62">
        <f t="shared" si="113"/>
        <v>293.3333333333353</v>
      </c>
      <c r="AN151" s="62">
        <f ca="1">AVERAGE(OFFSET($AM$3,0,0,'Données projet'!$E$10+1,1))-AVERAGE(OFFSET($H$3,0,0,'Données projet'!$E$10+1,1))</f>
        <v>182.84082525184493</v>
      </c>
      <c r="AO151" s="62">
        <f t="shared" si="144"/>
        <v>430.83336115516937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5.1521956462601475</v>
      </c>
      <c r="AV151" s="23">
        <f>EXP(-LN(2)/25)*AV150+(1-EXP(-LN(2)/25))/(LN(2)/25)*Calculateur!AQ151*Calculateur!AS151*VLOOKUP('Données projet'!$B$10,Paramètres!$A$1:$I$89,3,0)*0.475*44/12</f>
        <v>1.6675758126491227</v>
      </c>
      <c r="AW151" s="23">
        <f>EXP(-LN(2)/2)*AW150+(1-EXP(-LN(2)/2))/(LN(2)/2)*AQ151*AT151*VLOOKUP('Données projet'!$B$10,Paramètres!$A$1:$I$89,3,0)*0.475*44/12</f>
        <v>7.5577365194112544E-17</v>
      </c>
      <c r="AX151" s="23">
        <f t="shared" si="114"/>
        <v>6.8197714589092699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>
        <f>BD151*VLOOKUP('Données projet'!$B$11,Paramètres!$A$1:$I$89,3,0)*VLOOKUP('Données projet'!$B$11,Paramètres!$A$1:$I$89,5,0)</f>
        <v>0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74.52152468677042</v>
      </c>
      <c r="BJ151" s="62">
        <f t="shared" si="146"/>
        <v>344.26747505795851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5.6253515424191054</v>
      </c>
      <c r="BQ151" s="23">
        <f>EXP(-LN(2)/25)*BQ150+(1-EXP(-LN(2)/25))/(LN(2)/25)*Calculateur!BL151*Calculateur!BN151*VLOOKUP('Données projet'!$B$11,Paramètres!$A$1:$I$89,3,0)*0.475*44/12</f>
        <v>0.53708080181037066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6.1624323442294759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17.223804000000001</v>
      </c>
      <c r="D152" s="12">
        <f t="shared" si="140"/>
        <v>5.6989613984137231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23.003196154197635</v>
      </c>
      <c r="H152" s="70">
        <f t="shared" si="110"/>
        <v>296.59048306890389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182.84082525184493</v>
      </c>
      <c r="T152" s="62">
        <f t="shared" si="142"/>
        <v>430.83336115516937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1.1368683772161603E-13</v>
      </c>
      <c r="AJ152" s="14">
        <f>AI152*VLOOKUP('Données projet'!$B$10,Paramètres!$A$1:$I$89,3,0)*VLOOKUP('Données projet'!$B$10,Paramètres!$A$1:$I$89,5,0)</f>
        <v>6.7984728957526396E-14</v>
      </c>
      <c r="AK152" s="14">
        <f t="shared" si="143"/>
        <v>1.0682447123141398E-12</v>
      </c>
      <c r="AL152" s="22">
        <f t="shared" si="112"/>
        <v>1.978932943548152E-12</v>
      </c>
      <c r="AM152" s="62">
        <f t="shared" si="113"/>
        <v>293.3333333333353</v>
      </c>
      <c r="AN152" s="62">
        <f ca="1">AVERAGE(OFFSET($AM$3,0,0,'Données projet'!$E$10+1,1))-AVERAGE(OFFSET($H$3,0,0,'Données projet'!$E$10+1,1))</f>
        <v>182.84082525184493</v>
      </c>
      <c r="AO152" s="62">
        <f t="shared" si="144"/>
        <v>430.83336115516937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5.0511642321660313</v>
      </c>
      <c r="AV152" s="23">
        <f>EXP(-LN(2)/25)*AV151+(1-EXP(-LN(2)/25))/(LN(2)/25)*Calculateur!AQ152*Calculateur!AS152*VLOOKUP('Données projet'!$B$10,Paramètres!$A$1:$I$89,3,0)*0.475*44/12</f>
        <v>1.6219758643582318</v>
      </c>
      <c r="AW152" s="23">
        <f>EXP(-LN(2)/2)*AW151+(1-EXP(-LN(2)/2))/(LN(2)/2)*AQ152*AT152*VLOOKUP('Données projet'!$B$10,Paramètres!$A$1:$I$89,3,0)*0.475*44/12</f>
        <v>5.3441267432969132E-17</v>
      </c>
      <c r="AX152" s="23">
        <f t="shared" si="114"/>
        <v>6.6731400965242633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>
        <f>BD152*VLOOKUP('Données projet'!$B$11,Paramètres!$A$1:$I$89,3,0)*VLOOKUP('Données projet'!$B$11,Paramètres!$A$1:$I$89,5,0)</f>
        <v>0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74.52152468677042</v>
      </c>
      <c r="BJ152" s="62">
        <f t="shared" si="146"/>
        <v>344.26747505795851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5.5150418297979122</v>
      </c>
      <c r="BQ152" s="23">
        <f>EXP(-LN(2)/25)*BQ151+(1-EXP(-LN(2)/25))/(LN(2)/25)*Calculateur!BL152*Calculateur!BN152*VLOOKUP('Données projet'!$B$11,Paramètres!$A$1:$I$89,3,0)*0.475*44/12</f>
        <v>0.5223942990410142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6.0374361288389267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17.339400000000001</v>
      </c>
      <c r="D153" s="12">
        <f t="shared" si="140"/>
        <v>5.7327442189520434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23.153099110948371</v>
      </c>
      <c r="H153" s="70">
        <f t="shared" si="110"/>
        <v>296.8506511813415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182.84082525184493</v>
      </c>
      <c r="T153" s="62">
        <f t="shared" si="142"/>
        <v>430.83336115516937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1.1368683772161603E-13</v>
      </c>
      <c r="AJ153" s="14">
        <f>AI153*VLOOKUP('Données projet'!$B$10,Paramètres!$A$1:$I$89,3,0)*VLOOKUP('Données projet'!$B$10,Paramètres!$A$1:$I$89,5,0)</f>
        <v>6.7984728957526396E-14</v>
      </c>
      <c r="AK153" s="14">
        <f t="shared" si="143"/>
        <v>1.0682447123141398E-12</v>
      </c>
      <c r="AL153" s="22">
        <f t="shared" si="112"/>
        <v>1.978932943548152E-12</v>
      </c>
      <c r="AM153" s="62">
        <f t="shared" si="113"/>
        <v>293.3333333333353</v>
      </c>
      <c r="AN153" s="62">
        <f ca="1">AVERAGE(OFFSET($AM$3,0,0,'Données projet'!$E$10+1,1))-AVERAGE(OFFSET($H$3,0,0,'Données projet'!$E$10+1,1))</f>
        <v>182.84082525184493</v>
      </c>
      <c r="AO153" s="62">
        <f t="shared" si="144"/>
        <v>430.83336115516937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4.9521139824792231</v>
      </c>
      <c r="AV153" s="23">
        <f>EXP(-LN(2)/25)*AV152+(1-EXP(-LN(2)/25))/(LN(2)/25)*Calculateur!AQ153*Calculateur!AS153*VLOOKUP('Données projet'!$B$10,Paramètres!$A$1:$I$89,3,0)*0.475*44/12</f>
        <v>1.5776228490513524</v>
      </c>
      <c r="AW153" s="23">
        <f>EXP(-LN(2)/2)*AW152+(1-EXP(-LN(2)/2))/(LN(2)/2)*AQ153*AT153*VLOOKUP('Données projet'!$B$10,Paramètres!$A$1:$I$89,3,0)*0.475*44/12</f>
        <v>3.7788682597056272E-17</v>
      </c>
      <c r="AX153" s="23">
        <f t="shared" si="114"/>
        <v>6.5297368315305757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>
        <f>BD153*VLOOKUP('Données projet'!$B$11,Paramètres!$A$1:$I$89,3,0)*VLOOKUP('Données projet'!$B$11,Paramètres!$A$1:$I$89,5,0)</f>
        <v>0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74.52152468677042</v>
      </c>
      <c r="BJ153" s="62">
        <f t="shared" si="146"/>
        <v>344.26747505795851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5.4068952233589398</v>
      </c>
      <c r="BQ153" s="23">
        <f>EXP(-LN(2)/25)*BQ152+(1-EXP(-LN(2)/25))/(LN(2)/25)*Calculateur!BL153*Calculateur!BN153*VLOOKUP('Données projet'!$B$11,Paramètres!$A$1:$I$89,3,0)*0.475*44/12</f>
        <v>0.50810939946221545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5.9150046228211552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17.454996000000001</v>
      </c>
      <c r="D154" s="12">
        <f t="shared" si="140"/>
        <v>5.7665008339852664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23.302975770244867</v>
      </c>
      <c r="H154" s="70">
        <f t="shared" si="110"/>
        <v>297.11077365252436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182.84082525184493</v>
      </c>
      <c r="T154" s="62">
        <f t="shared" si="142"/>
        <v>430.83336115516937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1.1368683772161603E-13</v>
      </c>
      <c r="AJ154" s="14">
        <f>AI154*VLOOKUP('Données projet'!$B$10,Paramètres!$A$1:$I$89,3,0)*VLOOKUP('Données projet'!$B$10,Paramètres!$A$1:$I$89,5,0)</f>
        <v>6.7984728957526396E-14</v>
      </c>
      <c r="AK154" s="14">
        <f t="shared" ref="AK154:AK203" si="164">EXP(-1.0587+0.8836*LN(AJ154)+0.284)</f>
        <v>1.0682447123141398E-12</v>
      </c>
      <c r="AL154" s="22">
        <f t="shared" ref="AL154:AL203" si="165">(AJ154+AK154)*0.475*44/12</f>
        <v>1.978932943548152E-12</v>
      </c>
      <c r="AM154" s="62">
        <f t="shared" si="113"/>
        <v>293.3333333333353</v>
      </c>
      <c r="AN154" s="62">
        <f ca="1">AVERAGE(OFFSET($AM$3,0,0,'Données projet'!$E$10+1,1))-AVERAGE(OFFSET($H$3,0,0,'Données projet'!$E$10+1,1))</f>
        <v>182.84082525184493</v>
      </c>
      <c r="AO154" s="62">
        <f t="shared" si="144"/>
        <v>430.83336115516937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4.8550060477740864</v>
      </c>
      <c r="AV154" s="23">
        <f>EXP(-LN(2)/25)*AV153+(1-EXP(-LN(2)/25))/(LN(2)/25)*Calculateur!AQ154*Calculateur!AS154*VLOOKUP('Données projet'!$B$10,Paramètres!$A$1:$I$89,3,0)*0.475*44/12</f>
        <v>1.5344826692804632</v>
      </c>
      <c r="AW154" s="23">
        <f>EXP(-LN(2)/2)*AW153+(1-EXP(-LN(2)/2))/(LN(2)/2)*AQ154*AT154*VLOOKUP('Données projet'!$B$10,Paramètres!$A$1:$I$89,3,0)*0.475*44/12</f>
        <v>2.6720633716484566E-17</v>
      </c>
      <c r="AX154" s="23">
        <f t="shared" ref="AX154:AX203" si="166">SUM(AU154:AW154)</f>
        <v>6.3894887170545491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>
        <f>BD154*VLOOKUP('Données projet'!$B$11,Paramètres!$A$1:$I$89,3,0)*VLOOKUP('Données projet'!$B$11,Paramètres!$A$1:$I$89,5,0)</f>
        <v>0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74.52152468677042</v>
      </c>
      <c r="BJ154" s="62">
        <f t="shared" si="146"/>
        <v>344.26747505795851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5.3008693059093188</v>
      </c>
      <c r="BQ154" s="23">
        <f>EXP(-LN(2)/25)*BQ153+(1-EXP(-LN(2)/25))/(LN(2)/25)*Calculateur!BL154*Calculateur!BN154*VLOOKUP('Données projet'!$B$11,Paramètres!$A$1:$I$89,3,0)*0.475*44/12</f>
        <v>0.49421512121360917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5.7950844271229283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17.570592000000001</v>
      </c>
      <c r="D155" s="12">
        <f t="shared" si="140"/>
        <v>5.8002314371887618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23.452826326442061</v>
      </c>
      <c r="H155" s="70">
        <f t="shared" si="110"/>
        <v>297.37085081977045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182.84082525184493</v>
      </c>
      <c r="T155" s="62">
        <f t="shared" si="142"/>
        <v>430.83336115516937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1.1368683772161603E-13</v>
      </c>
      <c r="AJ155" s="14">
        <f>AI155*VLOOKUP('Données projet'!$B$10,Paramètres!$A$1:$I$89,3,0)*VLOOKUP('Données projet'!$B$10,Paramètres!$A$1:$I$89,5,0)</f>
        <v>6.7984728957526396E-14</v>
      </c>
      <c r="AK155" s="14">
        <f t="shared" si="164"/>
        <v>1.0682447123141398E-12</v>
      </c>
      <c r="AL155" s="22">
        <f t="shared" si="165"/>
        <v>1.978932943548152E-12</v>
      </c>
      <c r="AM155" s="62">
        <f t="shared" si="113"/>
        <v>293.3333333333353</v>
      </c>
      <c r="AN155" s="62">
        <f ca="1">AVERAGE(OFFSET($AM$3,0,0,'Données projet'!$E$10+1,1))-AVERAGE(OFFSET($H$3,0,0,'Données projet'!$E$10+1,1))</f>
        <v>182.84082525184493</v>
      </c>
      <c r="AO155" s="62">
        <f t="shared" si="144"/>
        <v>430.83336115516937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4.759802340438525</v>
      </c>
      <c r="AV155" s="23">
        <f>EXP(-LN(2)/25)*AV154+(1-EXP(-LN(2)/25))/(LN(2)/25)*Calculateur!AQ155*Calculateur!AS155*VLOOKUP('Données projet'!$B$10,Paramètres!$A$1:$I$89,3,0)*0.475*44/12</f>
        <v>1.4925221599940524</v>
      </c>
      <c r="AW155" s="23">
        <f>EXP(-LN(2)/2)*AW154+(1-EXP(-LN(2)/2))/(LN(2)/2)*AQ155*AT155*VLOOKUP('Données projet'!$B$10,Paramètres!$A$1:$I$89,3,0)*0.475*44/12</f>
        <v>1.8894341298528136E-17</v>
      </c>
      <c r="AX155" s="23">
        <f t="shared" si="166"/>
        <v>6.2523245004325769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>
        <f>BD155*VLOOKUP('Données projet'!$B$11,Paramètres!$A$1:$I$89,3,0)*VLOOKUP('Données projet'!$B$11,Paramètres!$A$1:$I$89,5,0)</f>
        <v>0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74.52152468677042</v>
      </c>
      <c r="BJ155" s="62">
        <f t="shared" si="146"/>
        <v>344.26747505795851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5.1969224920314607</v>
      </c>
      <c r="BQ155" s="23">
        <f>EXP(-LN(2)/25)*BQ154+(1-EXP(-LN(2)/25))/(LN(2)/25)*Calculateur!BL155*Calculateur!BN155*VLOOKUP('Données projet'!$B$11,Paramètres!$A$1:$I$89,3,0)*0.475*44/12</f>
        <v>0.48070078273437933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5.6776232747658399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17.686188000000001</v>
      </c>
      <c r="D156" s="12">
        <f t="shared" si="140"/>
        <v>5.8339362195422009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23.602650971189721</v>
      </c>
      <c r="H156" s="70">
        <f t="shared" si="110"/>
        <v>297.63088301570269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182.84082525184493</v>
      </c>
      <c r="T156" s="62">
        <f t="shared" si="142"/>
        <v>430.83336115516937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1.1368683772161603E-13</v>
      </c>
      <c r="AJ156" s="14">
        <f>AI156*VLOOKUP('Données projet'!$B$10,Paramètres!$A$1:$I$89,3,0)*VLOOKUP('Données projet'!$B$10,Paramètres!$A$1:$I$89,5,0)</f>
        <v>6.7984728957526396E-14</v>
      </c>
      <c r="AK156" s="14">
        <f t="shared" si="164"/>
        <v>1.0682447123141398E-12</v>
      </c>
      <c r="AL156" s="22">
        <f t="shared" si="165"/>
        <v>1.978932943548152E-12</v>
      </c>
      <c r="AM156" s="62">
        <f t="shared" si="113"/>
        <v>293.3333333333353</v>
      </c>
      <c r="AN156" s="62">
        <f ca="1">AVERAGE(OFFSET($AM$3,0,0,'Données projet'!$E$10+1,1))-AVERAGE(OFFSET($H$3,0,0,'Données projet'!$E$10+1,1))</f>
        <v>182.84082525184493</v>
      </c>
      <c r="AO156" s="62">
        <f t="shared" si="144"/>
        <v>430.83336115516937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4.6664655197352864</v>
      </c>
      <c r="AV156" s="23">
        <f>EXP(-LN(2)/25)*AV155+(1-EXP(-LN(2)/25))/(LN(2)/25)*Calculateur!AQ156*Calculateur!AS156*VLOOKUP('Données projet'!$B$10,Paramètres!$A$1:$I$89,3,0)*0.475*44/12</f>
        <v>1.4517090630406857</v>
      </c>
      <c r="AW156" s="23">
        <f>EXP(-LN(2)/2)*AW155+(1-EXP(-LN(2)/2))/(LN(2)/2)*AQ156*AT156*VLOOKUP('Données projet'!$B$10,Paramètres!$A$1:$I$89,3,0)*0.475*44/12</f>
        <v>1.3360316858242283E-17</v>
      </c>
      <c r="AX156" s="23">
        <f t="shared" si="166"/>
        <v>6.1181745827759721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>
        <f>BD156*VLOOKUP('Données projet'!$B$11,Paramètres!$A$1:$I$89,3,0)*VLOOKUP('Données projet'!$B$11,Paramètres!$A$1:$I$89,5,0)</f>
        <v>0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74.52152468677042</v>
      </c>
      <c r="BJ156" s="62">
        <f t="shared" si="146"/>
        <v>344.26747505795851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5.0950140117724514</v>
      </c>
      <c r="BQ156" s="23">
        <f>EXP(-LN(2)/25)*BQ155+(1-EXP(-LN(2)/25))/(LN(2)/25)*Calculateur!BL156*Calculateur!BN156*VLOOKUP('Données projet'!$B$11,Paramètres!$A$1:$I$89,3,0)*0.475*44/12</f>
        <v>0.46755599455155222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5.5625700063240036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17.801784000000001</v>
      </c>
      <c r="D157" s="12">
        <f t="shared" si="140"/>
        <v>5.8676153693844535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23.752449893487555</v>
      </c>
      <c r="H157" s="70">
        <f t="shared" si="110"/>
        <v>297.89087056834461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182.84082525184493</v>
      </c>
      <c r="T157" s="62">
        <f t="shared" si="142"/>
        <v>430.83336115516937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1.1368683772161603E-13</v>
      </c>
      <c r="AJ157" s="14">
        <f>AI157*VLOOKUP('Données projet'!$B$10,Paramètres!$A$1:$I$89,3,0)*VLOOKUP('Données projet'!$B$10,Paramètres!$A$1:$I$89,5,0)</f>
        <v>6.7984728957526396E-14</v>
      </c>
      <c r="AK157" s="14">
        <f t="shared" si="164"/>
        <v>1.0682447123141398E-12</v>
      </c>
      <c r="AL157" s="22">
        <f t="shared" si="165"/>
        <v>1.978932943548152E-12</v>
      </c>
      <c r="AM157" s="62">
        <f t="shared" si="113"/>
        <v>293.3333333333353</v>
      </c>
      <c r="AN157" s="62">
        <f ca="1">AVERAGE(OFFSET($AM$3,0,0,'Données projet'!$E$10+1,1))-AVERAGE(OFFSET($H$3,0,0,'Données projet'!$E$10+1,1))</f>
        <v>182.84082525184493</v>
      </c>
      <c r="AO157" s="62">
        <f t="shared" si="144"/>
        <v>430.83336115516937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4.5749589771561991</v>
      </c>
      <c r="AV157" s="23">
        <f>EXP(-LN(2)/25)*AV156+(1-EXP(-LN(2)/25))/(LN(2)/25)*Calculateur!AQ157*Calculateur!AS157*VLOOKUP('Données projet'!$B$10,Paramètres!$A$1:$I$89,3,0)*0.475*44/12</f>
        <v>1.4120120023697764</v>
      </c>
      <c r="AW157" s="23">
        <f>EXP(-LN(2)/2)*AW156+(1-EXP(-LN(2)/2))/(LN(2)/2)*AQ157*AT157*VLOOKUP('Données projet'!$B$10,Paramètres!$A$1:$I$89,3,0)*0.475*44/12</f>
        <v>9.447170649264068E-18</v>
      </c>
      <c r="AX157" s="23">
        <f t="shared" si="166"/>
        <v>5.9869709795259753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>
        <f>BD157*VLOOKUP('Données projet'!$B$11,Paramètres!$A$1:$I$89,3,0)*VLOOKUP('Données projet'!$B$11,Paramètres!$A$1:$I$89,5,0)</f>
        <v>0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74.52152468677042</v>
      </c>
      <c r="BJ157" s="62">
        <f t="shared" si="146"/>
        <v>344.26747505795851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4.995103894653286</v>
      </c>
      <c r="BQ157" s="23">
        <f>EXP(-LN(2)/25)*BQ156+(1-EXP(-LN(2)/25))/(LN(2)/25)*Calculateur!BL157*Calculateur!BN157*VLOOKUP('Données projet'!$B$11,Paramètres!$A$1:$I$89,3,0)*0.475*44/12</f>
        <v>0.45477065129283889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5.4498745459461251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17.917380000000001</v>
      </c>
      <c r="D158" s="12">
        <f t="shared" si="140"/>
        <v>5.9012690724669845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23.902223279738802</v>
      </c>
      <c r="H158" s="70">
        <f t="shared" si="110"/>
        <v>298.15081380121336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182.84082525184493</v>
      </c>
      <c r="T158" s="62">
        <f t="shared" si="142"/>
        <v>430.83336115516937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1.1368683772161603E-13</v>
      </c>
      <c r="AJ158" s="14">
        <f>AI158*VLOOKUP('Données projet'!$B$10,Paramètres!$A$1:$I$89,3,0)*VLOOKUP('Données projet'!$B$10,Paramètres!$A$1:$I$89,5,0)</f>
        <v>6.7984728957526396E-14</v>
      </c>
      <c r="AK158" s="14">
        <f t="shared" si="164"/>
        <v>1.0682447123141398E-12</v>
      </c>
      <c r="AL158" s="22">
        <f t="shared" si="165"/>
        <v>1.978932943548152E-12</v>
      </c>
      <c r="AM158" s="62">
        <f t="shared" si="113"/>
        <v>293.3333333333353</v>
      </c>
      <c r="AN158" s="62">
        <f ca="1">AVERAGE(OFFSET($AM$3,0,0,'Données projet'!$E$10+1,1))-AVERAGE(OFFSET($H$3,0,0,'Données projet'!$E$10+1,1))</f>
        <v>182.84082525184493</v>
      </c>
      <c r="AO158" s="62">
        <f t="shared" si="144"/>
        <v>430.83336115516937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4.4852468220636084</v>
      </c>
      <c r="AV158" s="23">
        <f>EXP(-LN(2)/25)*AV157+(1-EXP(-LN(2)/25))/(LN(2)/25)*Calculateur!AQ158*Calculateur!AS158*VLOOKUP('Données projet'!$B$10,Paramètres!$A$1:$I$89,3,0)*0.475*44/12</f>
        <v>1.373400459910491</v>
      </c>
      <c r="AW158" s="23">
        <f>EXP(-LN(2)/2)*AW157+(1-EXP(-LN(2)/2))/(LN(2)/2)*AQ158*AT158*VLOOKUP('Données projet'!$B$10,Paramètres!$A$1:$I$89,3,0)*0.475*44/12</f>
        <v>6.6801584291211415E-18</v>
      </c>
      <c r="AX158" s="23">
        <f t="shared" si="166"/>
        <v>5.8586472819740996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>
        <f>BD158*VLOOKUP('Données projet'!$B$11,Paramètres!$A$1:$I$89,3,0)*VLOOKUP('Données projet'!$B$11,Paramètres!$A$1:$I$89,5,0)</f>
        <v>0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74.52152468677042</v>
      </c>
      <c r="BJ158" s="62">
        <f t="shared" si="146"/>
        <v>344.26747505795851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4.8971529539916725</v>
      </c>
      <c r="BQ158" s="23">
        <f>EXP(-LN(2)/25)*BQ157+(1-EXP(-LN(2)/25))/(LN(2)/25)*Calculateur!BL158*Calculateur!BN158*VLOOKUP('Données projet'!$B$11,Paramètres!$A$1:$I$89,3,0)*0.475*44/12</f>
        <v>0.44233492391788704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5.3394878779095594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18.032976000000001</v>
      </c>
      <c r="D159" s="12">
        <f t="shared" si="140"/>
        <v>5.9348975120058878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24.051971313802401</v>
      </c>
      <c r="H159" s="70">
        <f t="shared" si="110"/>
        <v>298.41071303341027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182.84082525184493</v>
      </c>
      <c r="T159" s="62">
        <f t="shared" si="142"/>
        <v>430.83336115516937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1.1368683772161603E-13</v>
      </c>
      <c r="AJ159" s="14">
        <f>AI159*VLOOKUP('Données projet'!$B$10,Paramètres!$A$1:$I$89,3,0)*VLOOKUP('Données projet'!$B$10,Paramètres!$A$1:$I$89,5,0)</f>
        <v>6.7984728957526396E-14</v>
      </c>
      <c r="AK159" s="14">
        <f t="shared" si="164"/>
        <v>1.0682447123141398E-12</v>
      </c>
      <c r="AL159" s="22">
        <f t="shared" si="165"/>
        <v>1.978932943548152E-12</v>
      </c>
      <c r="AM159" s="62">
        <f t="shared" si="113"/>
        <v>293.3333333333353</v>
      </c>
      <c r="AN159" s="62">
        <f ca="1">AVERAGE(OFFSET($AM$3,0,0,'Données projet'!$E$10+1,1))-AVERAGE(OFFSET($H$3,0,0,'Données projet'!$E$10+1,1))</f>
        <v>182.84082525184493</v>
      </c>
      <c r="AO159" s="62">
        <f t="shared" si="144"/>
        <v>430.83336115516937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4.3972938676133717</v>
      </c>
      <c r="AV159" s="23">
        <f>EXP(-LN(2)/25)*AV158+(1-EXP(-LN(2)/25))/(LN(2)/25)*Calculateur!AQ159*Calculateur!AS159*VLOOKUP('Données projet'!$B$10,Paramètres!$A$1:$I$89,3,0)*0.475*44/12</f>
        <v>1.3358447521102474</v>
      </c>
      <c r="AW159" s="23">
        <f>EXP(-LN(2)/2)*AW158+(1-EXP(-LN(2)/2))/(LN(2)/2)*AQ159*AT159*VLOOKUP('Données projet'!$B$10,Paramètres!$A$1:$I$89,3,0)*0.475*44/12</f>
        <v>4.723585324632034E-18</v>
      </c>
      <c r="AX159" s="23">
        <f t="shared" si="166"/>
        <v>5.7331386197236194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>
        <f>BD159*VLOOKUP('Données projet'!$B$11,Paramètres!$A$1:$I$89,3,0)*VLOOKUP('Données projet'!$B$11,Paramètres!$A$1:$I$89,5,0)</f>
        <v>0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74.52152468677042</v>
      </c>
      <c r="BJ159" s="62">
        <f t="shared" si="146"/>
        <v>344.26747505795851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4.8011227715322589</v>
      </c>
      <c r="BQ159" s="23">
        <f>EXP(-LN(2)/25)*BQ158+(1-EXP(-LN(2)/25))/(LN(2)/25)*Calculateur!BL159*Calculateur!BN159*VLOOKUP('Données projet'!$B$11,Paramètres!$A$1:$I$89,3,0)*0.475*44/12</f>
        <v>0.43023925216196973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5.2313620236942286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18.148572000000001</v>
      </c>
      <c r="D160" s="12">
        <f t="shared" si="140"/>
        <v>5.9685008687324892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24.201694177043834</v>
      </c>
      <c r="H160" s="70">
        <f t="shared" si="110"/>
        <v>298.67056857970908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182.84082525184493</v>
      </c>
      <c r="T160" s="62">
        <f t="shared" si="142"/>
        <v>430.83336115516937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1.1368683772161603E-13</v>
      </c>
      <c r="AJ160" s="14">
        <f>AI160*VLOOKUP('Données projet'!$B$10,Paramètres!$A$1:$I$89,3,0)*VLOOKUP('Données projet'!$B$10,Paramètres!$A$1:$I$89,5,0)</f>
        <v>6.7984728957526396E-14</v>
      </c>
      <c r="AK160" s="14">
        <f t="shared" si="164"/>
        <v>1.0682447123141398E-12</v>
      </c>
      <c r="AL160" s="22">
        <f t="shared" si="165"/>
        <v>1.978932943548152E-12</v>
      </c>
      <c r="AM160" s="62">
        <f t="shared" si="113"/>
        <v>293.3333333333353</v>
      </c>
      <c r="AN160" s="62">
        <f ca="1">AVERAGE(OFFSET($AM$3,0,0,'Données projet'!$E$10+1,1))-AVERAGE(OFFSET($H$3,0,0,'Données projet'!$E$10+1,1))</f>
        <v>182.84082525184493</v>
      </c>
      <c r="AO160" s="62">
        <f t="shared" si="144"/>
        <v>430.83336115516937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4.3110656169538988</v>
      </c>
      <c r="AV160" s="23">
        <f>EXP(-LN(2)/25)*AV159+(1-EXP(-LN(2)/25))/(LN(2)/25)*Calculateur!AQ160*Calculateur!AS160*VLOOKUP('Données projet'!$B$10,Paramètres!$A$1:$I$89,3,0)*0.475*44/12</f>
        <v>1.2993160071147702</v>
      </c>
      <c r="AW160" s="23">
        <f>EXP(-LN(2)/2)*AW159+(1-EXP(-LN(2)/2))/(LN(2)/2)*AQ160*AT160*VLOOKUP('Données projet'!$B$10,Paramètres!$A$1:$I$89,3,0)*0.475*44/12</f>
        <v>3.3400792145605707E-18</v>
      </c>
      <c r="AX160" s="23">
        <f t="shared" si="166"/>
        <v>5.610381624068669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>
        <f>BD160*VLOOKUP('Données projet'!$B$11,Paramètres!$A$1:$I$89,3,0)*VLOOKUP('Données projet'!$B$11,Paramètres!$A$1:$I$89,5,0)</f>
        <v>0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74.52152468677042</v>
      </c>
      <c r="BJ160" s="62">
        <f t="shared" si="146"/>
        <v>344.26747505795851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4.7069756823782471</v>
      </c>
      <c r="BQ160" s="23">
        <f>EXP(-LN(2)/25)*BQ159+(1-EXP(-LN(2)/25))/(LN(2)/25)*Calculateur!BL160*Calculateur!BN160*VLOOKUP('Données projet'!$B$11,Paramètres!$A$1:$I$89,3,0)*0.475*44/12</f>
        <v>0.41847433718630173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5.1254500195645489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18.264168000000002</v>
      </c>
      <c r="D161" s="12">
        <f t="shared" si="140"/>
        <v>6.0020793209426699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24.351392048384579</v>
      </c>
      <c r="H161" s="70">
        <f t="shared" si="110"/>
        <v>298.93038075064186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182.84082525184493</v>
      </c>
      <c r="T161" s="62">
        <f t="shared" si="142"/>
        <v>430.83336115516937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1.1368683772161603E-13</v>
      </c>
      <c r="AJ161" s="14">
        <f>AI161*VLOOKUP('Données projet'!$B$10,Paramètres!$A$1:$I$89,3,0)*VLOOKUP('Données projet'!$B$10,Paramètres!$A$1:$I$89,5,0)</f>
        <v>6.7984728957526396E-14</v>
      </c>
      <c r="AK161" s="14">
        <f t="shared" si="164"/>
        <v>1.0682447123141398E-12</v>
      </c>
      <c r="AL161" s="22">
        <f t="shared" si="165"/>
        <v>1.978932943548152E-12</v>
      </c>
      <c r="AM161" s="62">
        <f t="shared" si="113"/>
        <v>293.3333333333353</v>
      </c>
      <c r="AN161" s="62">
        <f ca="1">AVERAGE(OFFSET($AM$3,0,0,'Données projet'!$E$10+1,1))-AVERAGE(OFFSET($H$3,0,0,'Données projet'!$E$10+1,1))</f>
        <v>182.84082525184493</v>
      </c>
      <c r="AO161" s="62">
        <f t="shared" si="144"/>
        <v>430.83336115516937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4.2265282496958188</v>
      </c>
      <c r="AV161" s="23">
        <f>EXP(-LN(2)/25)*AV160+(1-EXP(-LN(2)/25))/(LN(2)/25)*Calculateur!AQ161*Calculateur!AS161*VLOOKUP('Données projet'!$B$10,Paramètres!$A$1:$I$89,3,0)*0.475*44/12</f>
        <v>1.2637861425721577</v>
      </c>
      <c r="AW161" s="23">
        <f>EXP(-LN(2)/2)*AW160+(1-EXP(-LN(2)/2))/(LN(2)/2)*AQ161*AT161*VLOOKUP('Données projet'!$B$10,Paramètres!$A$1:$I$89,3,0)*0.475*44/12</f>
        <v>2.361792662316017E-18</v>
      </c>
      <c r="AX161" s="23">
        <f t="shared" si="166"/>
        <v>5.490314392267976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>
        <f>BD161*VLOOKUP('Données projet'!$B$11,Paramètres!$A$1:$I$89,3,0)*VLOOKUP('Données projet'!$B$11,Paramètres!$A$1:$I$89,5,0)</f>
        <v>0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74.52152468677042</v>
      </c>
      <c r="BJ161" s="62">
        <f t="shared" si="146"/>
        <v>344.26747505795851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4.6146747602184908</v>
      </c>
      <c r="BQ161" s="23">
        <f>EXP(-LN(2)/25)*BQ160+(1-EXP(-LN(2)/25))/(LN(2)/25)*Calculateur!BL161*Calculateur!BN161*VLOOKUP('Données projet'!$B$11,Paramètres!$A$1:$I$89,3,0)*0.475*44/12</f>
        <v>0.40703113442933336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5.0217058946478241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18.379764000000002</v>
      </c>
      <c r="D162" s="12">
        <f t="shared" si="140"/>
        <v>6.0356330445448831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24.501065104350307</v>
      </c>
      <c r="H162" s="70">
        <f t="shared" si="110"/>
        <v>299.19014985258235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182.84082525184493</v>
      </c>
      <c r="T162" s="62">
        <f t="shared" si="142"/>
        <v>430.83336115516937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1.1368683772161603E-13</v>
      </c>
      <c r="AJ162" s="14">
        <f>AI162*VLOOKUP('Données projet'!$B$10,Paramètres!$A$1:$I$89,3,0)*VLOOKUP('Données projet'!$B$10,Paramètres!$A$1:$I$89,5,0)</f>
        <v>6.7984728957526396E-14</v>
      </c>
      <c r="AK162" s="14">
        <f t="shared" si="164"/>
        <v>1.0682447123141398E-12</v>
      </c>
      <c r="AL162" s="22">
        <f t="shared" si="165"/>
        <v>1.978932943548152E-12</v>
      </c>
      <c r="AM162" s="62">
        <f t="shared" si="113"/>
        <v>293.3333333333353</v>
      </c>
      <c r="AN162" s="62">
        <f ca="1">AVERAGE(OFFSET($AM$3,0,0,'Données projet'!$E$10+1,1))-AVERAGE(OFFSET($H$3,0,0,'Données projet'!$E$10+1,1))</f>
        <v>182.84082525184493</v>
      </c>
      <c r="AO162" s="62">
        <f t="shared" si="144"/>
        <v>430.83336115516937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4.1436486086469673</v>
      </c>
      <c r="AV162" s="23">
        <f>EXP(-LN(2)/25)*AV161+(1-EXP(-LN(2)/25))/(LN(2)/25)*Calculateur!AQ162*Calculateur!AS162*VLOOKUP('Données projet'!$B$10,Paramètres!$A$1:$I$89,3,0)*0.475*44/12</f>
        <v>1.2292278440438973</v>
      </c>
      <c r="AW162" s="23">
        <f>EXP(-LN(2)/2)*AW161+(1-EXP(-LN(2)/2))/(LN(2)/2)*AQ162*AT162*VLOOKUP('Données projet'!$B$10,Paramètres!$A$1:$I$89,3,0)*0.475*44/12</f>
        <v>1.6700396072802854E-18</v>
      </c>
      <c r="AX162" s="23">
        <f t="shared" si="166"/>
        <v>5.3728764526908641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>
        <f>BD162*VLOOKUP('Données projet'!$B$11,Paramètres!$A$1:$I$89,3,0)*VLOOKUP('Données projet'!$B$11,Paramètres!$A$1:$I$89,5,0)</f>
        <v>0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74.52152468677042</v>
      </c>
      <c r="BJ162" s="62">
        <f t="shared" si="146"/>
        <v>344.26747505795851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4.5241838028442842</v>
      </c>
      <c r="BQ162" s="23">
        <f>EXP(-LN(2)/25)*BQ161+(1-EXP(-LN(2)/25))/(LN(2)/25)*Calculateur!BL162*Calculateur!BN162*VLOOKUP('Données projet'!$B$11,Paramètres!$A$1:$I$89,3,0)*0.475*44/12</f>
        <v>0.39590084665352615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4.9200846494978103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18.495360000000002</v>
      </c>
      <c r="D163" s="12">
        <f t="shared" si="140"/>
        <v>6.0691622131069236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24.650713519117829</v>
      </c>
      <c r="H163" s="70">
        <f t="shared" si="110"/>
        <v>299.4498761878279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182.84082525184493</v>
      </c>
      <c r="T163" s="62">
        <f t="shared" si="142"/>
        <v>430.83336115516937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1.1368683772161603E-13</v>
      </c>
      <c r="AJ163" s="14">
        <f>AI163*VLOOKUP('Données projet'!$B$10,Paramètres!$A$1:$I$89,3,0)*VLOOKUP('Données projet'!$B$10,Paramètres!$A$1:$I$89,5,0)</f>
        <v>6.7984728957526396E-14</v>
      </c>
      <c r="AK163" s="14">
        <f t="shared" si="164"/>
        <v>1.0682447123141398E-12</v>
      </c>
      <c r="AL163" s="22">
        <f t="shared" si="165"/>
        <v>1.978932943548152E-12</v>
      </c>
      <c r="AM163" s="62">
        <f t="shared" si="113"/>
        <v>293.3333333333353</v>
      </c>
      <c r="AN163" s="62">
        <f ca="1">AVERAGE(OFFSET($AM$3,0,0,'Données projet'!$E$10+1,1))-AVERAGE(OFFSET($H$3,0,0,'Données projet'!$E$10+1,1))</f>
        <v>182.84082525184493</v>
      </c>
      <c r="AO163" s="62">
        <f t="shared" si="144"/>
        <v>430.83336115516937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4.0623941868074942</v>
      </c>
      <c r="AV163" s="23">
        <f>EXP(-LN(2)/25)*AV162+(1-EXP(-LN(2)/25))/(LN(2)/25)*Calculateur!AQ163*Calculateur!AS163*VLOOKUP('Données projet'!$B$10,Paramètres!$A$1:$I$89,3,0)*0.475*44/12</f>
        <v>1.195614544006234</v>
      </c>
      <c r="AW163" s="23">
        <f>EXP(-LN(2)/2)*AW162+(1-EXP(-LN(2)/2))/(LN(2)/2)*AQ163*AT163*VLOOKUP('Données projet'!$B$10,Paramètres!$A$1:$I$89,3,0)*0.475*44/12</f>
        <v>1.1808963311580085E-18</v>
      </c>
      <c r="AX163" s="23">
        <f t="shared" si="166"/>
        <v>5.258008730813728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>
        <f>BD163*VLOOKUP('Données projet'!$B$11,Paramètres!$A$1:$I$89,3,0)*VLOOKUP('Données projet'!$B$11,Paramètres!$A$1:$I$89,5,0)</f>
        <v>0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74.52152468677042</v>
      </c>
      <c r="BJ163" s="62">
        <f t="shared" si="146"/>
        <v>344.26747505795851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4.4354673179501516</v>
      </c>
      <c r="BQ163" s="23">
        <f>EXP(-LN(2)/25)*BQ162+(1-EXP(-LN(2)/25))/(LN(2)/25)*Calculateur!BL163*Calculateur!BN163*VLOOKUP('Données projet'!$B$11,Paramètres!$A$1:$I$89,3,0)*0.475*44/12</f>
        <v>0.38507491718226478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4.8205422351324163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18.610956000000002</v>
      </c>
      <c r="D164" s="12">
        <f t="shared" si="140"/>
        <v>6.1026669979015207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24.80033746456083</v>
      </c>
      <c r="H164" s="70">
        <f t="shared" si="110"/>
        <v>299.70956005467849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182.84082525184493</v>
      </c>
      <c r="T164" s="62">
        <f t="shared" si="142"/>
        <v>430.83336115516937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1.1368683772161603E-13</v>
      </c>
      <c r="AJ164" s="14">
        <f>AI164*VLOOKUP('Données projet'!$B$10,Paramètres!$A$1:$I$89,3,0)*VLOOKUP('Données projet'!$B$10,Paramètres!$A$1:$I$89,5,0)</f>
        <v>6.7984728957526396E-14</v>
      </c>
      <c r="AK164" s="14">
        <f t="shared" si="164"/>
        <v>1.0682447123141398E-12</v>
      </c>
      <c r="AL164" s="22">
        <f t="shared" si="165"/>
        <v>1.978932943548152E-12</v>
      </c>
      <c r="AM164" s="62">
        <f t="shared" si="113"/>
        <v>293.3333333333353</v>
      </c>
      <c r="AN164" s="62">
        <f ca="1">AVERAGE(OFFSET($AM$3,0,0,'Données projet'!$E$10+1,1))-AVERAGE(OFFSET($H$3,0,0,'Données projet'!$E$10+1,1))</f>
        <v>182.84082525184493</v>
      </c>
      <c r="AO164" s="62">
        <f t="shared" si="144"/>
        <v>430.83336115516937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3.9827331146199891</v>
      </c>
      <c r="AV164" s="23">
        <f>EXP(-LN(2)/25)*AV163+(1-EXP(-LN(2)/25))/(LN(2)/25)*Calculateur!AQ164*Calculateur!AS164*VLOOKUP('Données projet'!$B$10,Paramètres!$A$1:$I$89,3,0)*0.475*44/12</f>
        <v>1.1629204014257473</v>
      </c>
      <c r="AW164" s="23">
        <f>EXP(-LN(2)/2)*AW163+(1-EXP(-LN(2)/2))/(LN(2)/2)*AQ164*AT164*VLOOKUP('Données projet'!$B$10,Paramètres!$A$1:$I$89,3,0)*0.475*44/12</f>
        <v>8.3501980364014269E-19</v>
      </c>
      <c r="AX164" s="23">
        <f t="shared" si="166"/>
        <v>5.1456535160457362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>
        <f>BD164*VLOOKUP('Données projet'!$B$11,Paramètres!$A$1:$I$89,3,0)*VLOOKUP('Données projet'!$B$11,Paramètres!$A$1:$I$89,5,0)</f>
        <v>0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74.52152468677042</v>
      </c>
      <c r="BJ164" s="62">
        <f t="shared" si="146"/>
        <v>344.26747505795851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4.3484905092130806</v>
      </c>
      <c r="BQ164" s="23">
        <f>EXP(-LN(2)/25)*BQ163+(1-EXP(-LN(2)/25))/(LN(2)/25)*Calculateur!BL164*Calculateur!BN164*VLOOKUP('Données projet'!$B$11,Paramètres!$A$1:$I$89,3,0)*0.475*44/12</f>
        <v>0.37454502332170597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4.7230355325347864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18.726552000000002</v>
      </c>
      <c r="D165" s="12">
        <f t="shared" si="140"/>
        <v>6.136147567950724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24.949937110294414</v>
      </c>
      <c r="H165" s="70">
        <f t="shared" si="110"/>
        <v>299.96920174751421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182.84082525184493</v>
      </c>
      <c r="T165" s="62">
        <f t="shared" si="142"/>
        <v>430.83336115516937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1.1368683772161603E-13</v>
      </c>
      <c r="AJ165" s="14">
        <f>AI165*VLOOKUP('Données projet'!$B$10,Paramètres!$A$1:$I$89,3,0)*VLOOKUP('Données projet'!$B$10,Paramètres!$A$1:$I$89,5,0)</f>
        <v>6.7984728957526396E-14</v>
      </c>
      <c r="AK165" s="14">
        <f t="shared" si="164"/>
        <v>1.0682447123141398E-12</v>
      </c>
      <c r="AL165" s="22">
        <f t="shared" si="165"/>
        <v>1.978932943548152E-12</v>
      </c>
      <c r="AM165" s="62">
        <f t="shared" si="113"/>
        <v>293.3333333333353</v>
      </c>
      <c r="AN165" s="62">
        <f ca="1">AVERAGE(OFFSET($AM$3,0,0,'Données projet'!$E$10+1,1))-AVERAGE(OFFSET($H$3,0,0,'Données projet'!$E$10+1,1))</f>
        <v>182.84082525184493</v>
      </c>
      <c r="AO165" s="62">
        <f t="shared" si="144"/>
        <v>430.83336115516937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3.9046341474696247</v>
      </c>
      <c r="AV165" s="23">
        <f>EXP(-LN(2)/25)*AV164+(1-EXP(-LN(2)/25))/(LN(2)/25)*Calculateur!AQ165*Calculateur!AS165*VLOOKUP('Données projet'!$B$10,Paramètres!$A$1:$I$89,3,0)*0.475*44/12</f>
        <v>1.1311202818934343</v>
      </c>
      <c r="AW165" s="23">
        <f>EXP(-LN(2)/2)*AW164+(1-EXP(-LN(2)/2))/(LN(2)/2)*AQ165*AT165*VLOOKUP('Données projet'!$B$10,Paramètres!$A$1:$I$89,3,0)*0.475*44/12</f>
        <v>5.9044816557900425E-19</v>
      </c>
      <c r="AX165" s="23">
        <f t="shared" si="166"/>
        <v>5.0357544293630587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>
        <f>BD165*VLOOKUP('Données projet'!$B$11,Paramètres!$A$1:$I$89,3,0)*VLOOKUP('Données projet'!$B$11,Paramètres!$A$1:$I$89,5,0)</f>
        <v>0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74.52152468677042</v>
      </c>
      <c r="BJ165" s="62">
        <f t="shared" si="146"/>
        <v>344.26747505795851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4.2632192626447285</v>
      </c>
      <c r="BQ165" s="23">
        <f>EXP(-LN(2)/25)*BQ164+(1-EXP(-LN(2)/25))/(LN(2)/25)*Calculateur!BL165*Calculateur!BN165*VLOOKUP('Données projet'!$B$11,Paramètres!$A$1:$I$89,3,0)*0.475*44/12</f>
        <v>0.36430306996250716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4.6275223326072359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18.842148000000002</v>
      </c>
      <c r="D166" s="12">
        <f t="shared" si="140"/>
        <v>6.1696040900692015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25.099512623718567</v>
      </c>
      <c r="H166" s="70">
        <f t="shared" si="110"/>
        <v>300.22880155687056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182.84082525184493</v>
      </c>
      <c r="T166" s="62">
        <f t="shared" si="142"/>
        <v>430.83336115516937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1.1368683772161603E-13</v>
      </c>
      <c r="AJ166" s="14">
        <f>AI166*VLOOKUP('Données projet'!$B$10,Paramètres!$A$1:$I$89,3,0)*VLOOKUP('Données projet'!$B$10,Paramètres!$A$1:$I$89,5,0)</f>
        <v>6.7984728957526396E-14</v>
      </c>
      <c r="AK166" s="14">
        <f t="shared" si="164"/>
        <v>1.0682447123141398E-12</v>
      </c>
      <c r="AL166" s="22">
        <f t="shared" si="165"/>
        <v>1.978932943548152E-12</v>
      </c>
      <c r="AM166" s="62">
        <f t="shared" si="113"/>
        <v>293.3333333333353</v>
      </c>
      <c r="AN166" s="62">
        <f ca="1">AVERAGE(OFFSET($AM$3,0,0,'Données projet'!$E$10+1,1))-AVERAGE(OFFSET($H$3,0,0,'Données projet'!$E$10+1,1))</f>
        <v>182.84082525184493</v>
      </c>
      <c r="AO166" s="62">
        <f t="shared" si="144"/>
        <v>430.83336115516937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3.8280666534294125</v>
      </c>
      <c r="AV166" s="23">
        <f>EXP(-LN(2)/25)*AV165+(1-EXP(-LN(2)/25))/(LN(2)/25)*Calculateur!AQ166*Calculateur!AS166*VLOOKUP('Données projet'!$B$10,Paramètres!$A$1:$I$89,3,0)*0.475*44/12</f>
        <v>1.1001897383020278</v>
      </c>
      <c r="AW166" s="23">
        <f>EXP(-LN(2)/2)*AW165+(1-EXP(-LN(2)/2))/(LN(2)/2)*AQ166*AT166*VLOOKUP('Données projet'!$B$10,Paramètres!$A$1:$I$89,3,0)*0.475*44/12</f>
        <v>4.1750990182007134E-19</v>
      </c>
      <c r="AX166" s="23">
        <f t="shared" si="166"/>
        <v>4.9282563917314404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>
        <f>BD166*VLOOKUP('Données projet'!$B$11,Paramètres!$A$1:$I$89,3,0)*VLOOKUP('Données projet'!$B$11,Paramètres!$A$1:$I$89,5,0)</f>
        <v>0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74.52152468677042</v>
      </c>
      <c r="BJ166" s="62">
        <f t="shared" si="146"/>
        <v>344.26747505795851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4.179620133211257</v>
      </c>
      <c r="BQ166" s="23">
        <f>EXP(-LN(2)/25)*BQ165+(1-EXP(-LN(2)/25))/(LN(2)/25)*Calculateur!BL166*Calculateur!BN166*VLOOKUP('Données projet'!$B$11,Paramètres!$A$1:$I$89,3,0)*0.475*44/12</f>
        <v>0.3543411833565166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4.5339613165677735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18.957744000000002</v>
      </c>
      <c r="D167" s="12">
        <f t="shared" si="140"/>
        <v>6.2030367289064277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25.249064170060493</v>
      </c>
      <c r="H167" s="70">
        <f t="shared" si="110"/>
        <v>300.48835976951204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182.84082525184493</v>
      </c>
      <c r="T167" s="62">
        <f t="shared" si="142"/>
        <v>430.83336115516937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1.1368683772161603E-13</v>
      </c>
      <c r="AJ167" s="14">
        <f>AI167*VLOOKUP('Données projet'!$B$10,Paramètres!$A$1:$I$89,3,0)*VLOOKUP('Données projet'!$B$10,Paramètres!$A$1:$I$89,5,0)</f>
        <v>6.7984728957526396E-14</v>
      </c>
      <c r="AK167" s="14">
        <f t="shared" si="164"/>
        <v>1.0682447123141398E-12</v>
      </c>
      <c r="AL167" s="22">
        <f t="shared" si="165"/>
        <v>1.978932943548152E-12</v>
      </c>
      <c r="AM167" s="62">
        <f t="shared" si="113"/>
        <v>293.3333333333353</v>
      </c>
      <c r="AN167" s="62">
        <f ca="1">AVERAGE(OFFSET($AM$3,0,0,'Données projet'!$E$10+1,1))-AVERAGE(OFFSET($H$3,0,0,'Données projet'!$E$10+1,1))</f>
        <v>182.84082525184493</v>
      </c>
      <c r="AO167" s="62">
        <f t="shared" si="144"/>
        <v>430.83336115516937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3.7530006012457693</v>
      </c>
      <c r="AV167" s="23">
        <f>EXP(-LN(2)/25)*AV166+(1-EXP(-LN(2)/25))/(LN(2)/25)*Calculateur!AQ167*Calculateur!AS167*VLOOKUP('Données projet'!$B$10,Paramètres!$A$1:$I$89,3,0)*0.475*44/12</f>
        <v>1.070104992051695</v>
      </c>
      <c r="AW167" s="23">
        <f>EXP(-LN(2)/2)*AW166+(1-EXP(-LN(2)/2))/(LN(2)/2)*AQ167*AT167*VLOOKUP('Données projet'!$B$10,Paramètres!$A$1:$I$89,3,0)*0.475*44/12</f>
        <v>2.9522408278950212E-19</v>
      </c>
      <c r="AX167" s="23">
        <f t="shared" si="166"/>
        <v>4.8231055932974645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>
        <f>BD167*VLOOKUP('Données projet'!$B$11,Paramètres!$A$1:$I$89,3,0)*VLOOKUP('Données projet'!$B$11,Paramètres!$A$1:$I$89,5,0)</f>
        <v>0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74.52152468677042</v>
      </c>
      <c r="BJ167" s="62">
        <f t="shared" si="146"/>
        <v>344.26747505795851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4.0976603317155416</v>
      </c>
      <c r="BQ167" s="23">
        <f>EXP(-LN(2)/25)*BQ166+(1-EXP(-LN(2)/25))/(LN(2)/25)*Calculateur!BL167*Calculateur!BN167*VLOOKUP('Données projet'!$B$11,Paramètres!$A$1:$I$89,3,0)*0.475*44/12</f>
        <v>0.34465170506363968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4.4423120367791809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19.073340000000002</v>
      </c>
      <c r="D168" s="12">
        <f t="shared" si="140"/>
        <v>6.2364456469878045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25.398591912415835</v>
      </c>
      <c r="H168" s="70">
        <f t="shared" si="110"/>
        <v>300.74787666850375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182.84082525184493</v>
      </c>
      <c r="T168" s="62">
        <f t="shared" si="142"/>
        <v>430.83336115516937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1.1368683772161603E-13</v>
      </c>
      <c r="AJ168" s="14">
        <f>AI168*VLOOKUP('Données projet'!$B$10,Paramètres!$A$1:$I$89,3,0)*VLOOKUP('Données projet'!$B$10,Paramètres!$A$1:$I$89,5,0)</f>
        <v>6.7984728957526396E-14</v>
      </c>
      <c r="AK168" s="14">
        <f t="shared" si="164"/>
        <v>1.0682447123141398E-12</v>
      </c>
      <c r="AL168" s="22">
        <f t="shared" si="165"/>
        <v>1.978932943548152E-12</v>
      </c>
      <c r="AM168" s="62">
        <f t="shared" si="113"/>
        <v>293.3333333333353</v>
      </c>
      <c r="AN168" s="62">
        <f ca="1">AVERAGE(OFFSET($AM$3,0,0,'Données projet'!$E$10+1,1))-AVERAGE(OFFSET($H$3,0,0,'Données projet'!$E$10+1,1))</f>
        <v>182.84082525184493</v>
      </c>
      <c r="AO168" s="62">
        <f t="shared" si="144"/>
        <v>430.83336115516937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3.6794065485596761</v>
      </c>
      <c r="AV168" s="23">
        <f>EXP(-LN(2)/25)*AV167+(1-EXP(-LN(2)/25))/(LN(2)/25)*Calculateur!AQ168*Calculateur!AS168*VLOOKUP('Données projet'!$B$10,Paramètres!$A$1:$I$89,3,0)*0.475*44/12</f>
        <v>1.0408429147696656</v>
      </c>
      <c r="AW168" s="23">
        <f>EXP(-LN(2)/2)*AW167+(1-EXP(-LN(2)/2))/(LN(2)/2)*AQ168*AT168*VLOOKUP('Données projet'!$B$10,Paramètres!$A$1:$I$89,3,0)*0.475*44/12</f>
        <v>2.0875495091003567E-19</v>
      </c>
      <c r="AX168" s="23">
        <f t="shared" si="166"/>
        <v>4.7202494633293419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>
        <f>BD168*VLOOKUP('Données projet'!$B$11,Paramètres!$A$1:$I$89,3,0)*VLOOKUP('Données projet'!$B$11,Paramètres!$A$1:$I$89,5,0)</f>
        <v>0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74.52152468677042</v>
      </c>
      <c r="BJ168" s="62">
        <f t="shared" si="146"/>
        <v>344.26747505795851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4.0173077119366143</v>
      </c>
      <c r="BQ168" s="23">
        <f>EXP(-LN(2)/25)*BQ167+(1-EXP(-LN(2)/25))/(LN(2)/25)*Calculateur!BL168*Calculateur!BN168*VLOOKUP('Données projet'!$B$11,Paramètres!$A$1:$I$89,3,0)*0.475*44/12</f>
        <v>0.33522718606422902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4.3525348980008429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19.188936000000002</v>
      </c>
      <c r="D169" s="12">
        <f t="shared" si="140"/>
        <v>6.2698310047547814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25.548096011789013</v>
      </c>
      <c r="H169" s="70">
        <f t="shared" si="110"/>
        <v>301.00735253328128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182.84082525184493</v>
      </c>
      <c r="T169" s="62">
        <f t="shared" si="142"/>
        <v>430.83336115516937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1.1368683772161603E-13</v>
      </c>
      <c r="AJ169" s="14">
        <f>AI169*VLOOKUP('Données projet'!$B$10,Paramètres!$A$1:$I$89,3,0)*VLOOKUP('Données projet'!$B$10,Paramètres!$A$1:$I$89,5,0)</f>
        <v>6.7984728957526396E-14</v>
      </c>
      <c r="AK169" s="14">
        <f t="shared" si="164"/>
        <v>1.0682447123141398E-12</v>
      </c>
      <c r="AL169" s="22">
        <f t="shared" si="165"/>
        <v>1.978932943548152E-12</v>
      </c>
      <c r="AM169" s="62">
        <f t="shared" si="113"/>
        <v>293.3333333333353</v>
      </c>
      <c r="AN169" s="62">
        <f ca="1">AVERAGE(OFFSET($AM$3,0,0,'Données projet'!$E$10+1,1))-AVERAGE(OFFSET($H$3,0,0,'Données projet'!$E$10+1,1))</f>
        <v>182.84082525184493</v>
      </c>
      <c r="AO169" s="62">
        <f t="shared" si="144"/>
        <v>430.83336115516937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3.6072556303588175</v>
      </c>
      <c r="AV169" s="23">
        <f>EXP(-LN(2)/25)*AV168+(1-EXP(-LN(2)/25))/(LN(2)/25)*Calculateur!AQ169*Calculateur!AS169*VLOOKUP('Données projet'!$B$10,Paramètres!$A$1:$I$89,3,0)*0.475*44/12</f>
        <v>1.0123810105297391</v>
      </c>
      <c r="AW169" s="23">
        <f>EXP(-LN(2)/2)*AW168+(1-EXP(-LN(2)/2))/(LN(2)/2)*AQ169*AT169*VLOOKUP('Données projet'!$B$10,Paramètres!$A$1:$I$89,3,0)*0.475*44/12</f>
        <v>1.4761204139475106E-19</v>
      </c>
      <c r="AX169" s="23">
        <f t="shared" si="166"/>
        <v>4.6196366408885563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>
        <f>BD169*VLOOKUP('Données projet'!$B$11,Paramètres!$A$1:$I$89,3,0)*VLOOKUP('Données projet'!$B$11,Paramètres!$A$1:$I$89,5,0)</f>
        <v>0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74.52152468677042</v>
      </c>
      <c r="BJ169" s="62">
        <f t="shared" si="146"/>
        <v>344.26747505795851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3.9385307580212929</v>
      </c>
      <c r="BQ169" s="23">
        <f>EXP(-LN(2)/25)*BQ168+(1-EXP(-LN(2)/25))/(LN(2)/25)*Calculateur!BL169*Calculateur!BN169*VLOOKUP('Données projet'!$B$11,Paramètres!$A$1:$I$89,3,0)*0.475*44/12</f>
        <v>0.32606038103247115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4.2645911390537643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19.304532000000002</v>
      </c>
      <c r="D170" s="12">
        <f t="shared" si="140"/>
        <v>6.3031929606039405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25.697576627132378</v>
      </c>
      <c r="H170" s="70">
        <f t="shared" si="110"/>
        <v>301.26678763971853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182.84082525184493</v>
      </c>
      <c r="T170" s="62">
        <f t="shared" si="142"/>
        <v>430.83336115516937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1.1368683772161603E-13</v>
      </c>
      <c r="AJ170" s="14">
        <f>AI170*VLOOKUP('Données projet'!$B$10,Paramètres!$A$1:$I$89,3,0)*VLOOKUP('Données projet'!$B$10,Paramètres!$A$1:$I$89,5,0)</f>
        <v>6.7984728957526396E-14</v>
      </c>
      <c r="AK170" s="14">
        <f t="shared" si="164"/>
        <v>1.0682447123141398E-12</v>
      </c>
      <c r="AL170" s="22">
        <f t="shared" si="165"/>
        <v>1.978932943548152E-12</v>
      </c>
      <c r="AM170" s="62">
        <f t="shared" si="113"/>
        <v>293.3333333333353</v>
      </c>
      <c r="AN170" s="62">
        <f ca="1">AVERAGE(OFFSET($AM$3,0,0,'Données projet'!$E$10+1,1))-AVERAGE(OFFSET($H$3,0,0,'Données projet'!$E$10+1,1))</f>
        <v>182.84082525184493</v>
      </c>
      <c r="AO170" s="62">
        <f t="shared" si="144"/>
        <v>430.83336115516937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3.5365195476561628</v>
      </c>
      <c r="AV170" s="23">
        <f>EXP(-LN(2)/25)*AV169+(1-EXP(-LN(2)/25))/(LN(2)/25)*Calculateur!AQ170*Calculateur!AS170*VLOOKUP('Données projet'!$B$10,Paramètres!$A$1:$I$89,3,0)*0.475*44/12</f>
        <v>0.98469739855799987</v>
      </c>
      <c r="AW170" s="23">
        <f>EXP(-LN(2)/2)*AW169+(1-EXP(-LN(2)/2))/(LN(2)/2)*AQ170*AT170*VLOOKUP('Données projet'!$B$10,Paramètres!$A$1:$I$89,3,0)*0.475*44/12</f>
        <v>1.0437747545501784E-19</v>
      </c>
      <c r="AX170" s="23">
        <f t="shared" si="166"/>
        <v>4.5212169462141629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>
        <f>BD170*VLOOKUP('Données projet'!$B$11,Paramètres!$A$1:$I$89,3,0)*VLOOKUP('Données projet'!$B$11,Paramètres!$A$1:$I$89,5,0)</f>
        <v>0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74.52152468677042</v>
      </c>
      <c r="BJ170" s="62">
        <f t="shared" si="146"/>
        <v>344.26747505795851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3.8612985721230535</v>
      </c>
      <c r="BQ170" s="23">
        <f>EXP(-LN(2)/25)*BQ169+(1-EXP(-LN(2)/25))/(LN(2)/25)*Calculateur!BL170*Calculateur!BN170*VLOOKUP('Données projet'!$B$11,Paramètres!$A$1:$I$89,3,0)*0.475*44/12</f>
        <v>0.31714424276636799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4.1784428148894213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19.420128000000002</v>
      </c>
      <c r="D171" s="12">
        <f t="shared" si="140"/>
        <v>6.3365316709251767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25.847033915384568</v>
      </c>
      <c r="H171" s="70">
        <f t="shared" si="110"/>
        <v>301.52618226019467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182.84082525184493</v>
      </c>
      <c r="T171" s="62">
        <f t="shared" si="142"/>
        <v>430.83336115516937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1.1368683772161603E-13</v>
      </c>
      <c r="AJ171" s="14">
        <f>AI171*VLOOKUP('Données projet'!$B$10,Paramètres!$A$1:$I$89,3,0)*VLOOKUP('Données projet'!$B$10,Paramètres!$A$1:$I$89,5,0)</f>
        <v>6.7984728957526396E-14</v>
      </c>
      <c r="AK171" s="14">
        <f t="shared" si="164"/>
        <v>1.0682447123141398E-12</v>
      </c>
      <c r="AL171" s="22">
        <f t="shared" si="165"/>
        <v>1.978932943548152E-12</v>
      </c>
      <c r="AM171" s="62">
        <f t="shared" si="113"/>
        <v>293.3333333333353</v>
      </c>
      <c r="AN171" s="62">
        <f ca="1">AVERAGE(OFFSET($AM$3,0,0,'Données projet'!$E$10+1,1))-AVERAGE(OFFSET($H$3,0,0,'Données projet'!$E$10+1,1))</f>
        <v>182.84082525184493</v>
      </c>
      <c r="AO171" s="62">
        <f t="shared" si="144"/>
        <v>430.83336115516937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3.467170556390557</v>
      </c>
      <c r="AV171" s="23">
        <f>EXP(-LN(2)/25)*AV170+(1-EXP(-LN(2)/25))/(LN(2)/25)*Calculateur!AQ171*Calculateur!AS171*VLOOKUP('Données projet'!$B$10,Paramètres!$A$1:$I$89,3,0)*0.475*44/12</f>
        <v>0.95777079641144569</v>
      </c>
      <c r="AW171" s="23">
        <f>EXP(-LN(2)/2)*AW170+(1-EXP(-LN(2)/2))/(LN(2)/2)*AQ171*AT171*VLOOKUP('Données projet'!$B$10,Paramètres!$A$1:$I$89,3,0)*0.475*44/12</f>
        <v>7.3806020697375531E-20</v>
      </c>
      <c r="AX171" s="23">
        <f t="shared" si="166"/>
        <v>4.4249413528020032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>
        <f>BD171*VLOOKUP('Données projet'!$B$11,Paramètres!$A$1:$I$89,3,0)*VLOOKUP('Données projet'!$B$11,Paramètres!$A$1:$I$89,5,0)</f>
        <v>0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74.52152468677042</v>
      </c>
      <c r="BJ171" s="62">
        <f t="shared" si="146"/>
        <v>344.26747505795851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3.7855808622832967</v>
      </c>
      <c r="BQ171" s="23">
        <f>EXP(-LN(2)/25)*BQ170+(1-EXP(-LN(2)/25))/(LN(2)/25)*Calculateur!BL171*Calculateur!BN171*VLOOKUP('Données projet'!$B$11,Paramètres!$A$1:$I$89,3,0)*0.475*44/12</f>
        <v>0.30847191677003077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4.0940527790533272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19.535724000000002</v>
      </c>
      <c r="D172" s="12">
        <f t="shared" si="140"/>
        <v>6.3698472901388827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25.996468031507792</v>
      </c>
      <c r="H172" s="70">
        <f t="shared" si="110"/>
        <v>301.7855366636586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182.84082525184493</v>
      </c>
      <c r="T172" s="62">
        <f t="shared" si="142"/>
        <v>430.83336115516937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1.1368683772161603E-13</v>
      </c>
      <c r="AJ172" s="14">
        <f>AI172*VLOOKUP('Données projet'!$B$10,Paramètres!$A$1:$I$89,3,0)*VLOOKUP('Données projet'!$B$10,Paramètres!$A$1:$I$89,5,0)</f>
        <v>6.7984728957526396E-14</v>
      </c>
      <c r="AK172" s="14">
        <f t="shared" si="164"/>
        <v>1.0682447123141398E-12</v>
      </c>
      <c r="AL172" s="22">
        <f t="shared" si="165"/>
        <v>1.978932943548152E-12</v>
      </c>
      <c r="AM172" s="62">
        <f t="shared" si="113"/>
        <v>293.3333333333353</v>
      </c>
      <c r="AN172" s="62">
        <f ca="1">AVERAGE(OFFSET($AM$3,0,0,'Données projet'!$E$10+1,1))-AVERAGE(OFFSET($H$3,0,0,'Données projet'!$E$10+1,1))</f>
        <v>182.84082525184493</v>
      </c>
      <c r="AO172" s="62">
        <f t="shared" si="144"/>
        <v>430.83336115516937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3.3991814565449618</v>
      </c>
      <c r="AV172" s="23">
        <f>EXP(-LN(2)/25)*AV171+(1-EXP(-LN(2)/25))/(LN(2)/25)*Calculateur!AQ172*Calculateur!AS172*VLOOKUP('Données projet'!$B$10,Paramètres!$A$1:$I$89,3,0)*0.475*44/12</f>
        <v>0.9315805036165975</v>
      </c>
      <c r="AW172" s="23">
        <f>EXP(-LN(2)/2)*AW171+(1-EXP(-LN(2)/2))/(LN(2)/2)*AQ172*AT172*VLOOKUP('Données projet'!$B$10,Paramètres!$A$1:$I$89,3,0)*0.475*44/12</f>
        <v>5.2188737727508918E-20</v>
      </c>
      <c r="AX172" s="23">
        <f t="shared" si="166"/>
        <v>4.330761960161559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>
        <f>BD172*VLOOKUP('Données projet'!$B$11,Paramètres!$A$1:$I$89,3,0)*VLOOKUP('Données projet'!$B$11,Paramètres!$A$1:$I$89,5,0)</f>
        <v>0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74.52152468677042</v>
      </c>
      <c r="BJ172" s="62">
        <f t="shared" si="146"/>
        <v>344.26747505795851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3.7113479305502546</v>
      </c>
      <c r="BQ172" s="23">
        <f>EXP(-LN(2)/25)*BQ171+(1-EXP(-LN(2)/25))/(LN(2)/25)*Calculateur!BL172*Calculateur!BN172*VLOOKUP('Données projet'!$B$11,Paramètres!$A$1:$I$89,3,0)*0.475*44/12</f>
        <v>0.30003673598412123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4.0113846665343758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19.651320000000002</v>
      </c>
      <c r="D173" s="12">
        <f t="shared" si="140"/>
        <v>6.4031399707322674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26.145879128524314</v>
      </c>
      <c r="H173" s="70">
        <f t="shared" si="110"/>
        <v>302.04485111569204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182.84082525184493</v>
      </c>
      <c r="T173" s="62">
        <f t="shared" si="142"/>
        <v>430.83336115516937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1.1368683772161603E-13</v>
      </c>
      <c r="AJ173" s="14">
        <f>AI173*VLOOKUP('Données projet'!$B$10,Paramètres!$A$1:$I$89,3,0)*VLOOKUP('Données projet'!$B$10,Paramètres!$A$1:$I$89,5,0)</f>
        <v>6.7984728957526396E-14</v>
      </c>
      <c r="AK173" s="14">
        <f t="shared" si="164"/>
        <v>1.0682447123141398E-12</v>
      </c>
      <c r="AL173" s="22">
        <f t="shared" si="165"/>
        <v>1.978932943548152E-12</v>
      </c>
      <c r="AM173" s="62">
        <f t="shared" si="113"/>
        <v>293.3333333333353</v>
      </c>
      <c r="AN173" s="62">
        <f ca="1">AVERAGE(OFFSET($AM$3,0,0,'Données projet'!$E$10+1,1))-AVERAGE(OFFSET($H$3,0,0,'Données projet'!$E$10+1,1))</f>
        <v>182.84082525184493</v>
      </c>
      <c r="AO173" s="62">
        <f t="shared" si="144"/>
        <v>430.83336115516937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3.3325255814780825</v>
      </c>
      <c r="AV173" s="23">
        <f>EXP(-LN(2)/25)*AV172+(1-EXP(-LN(2)/25))/(LN(2)/25)*Calculateur!AQ173*Calculateur!AS173*VLOOKUP('Données projet'!$B$10,Paramètres!$A$1:$I$89,3,0)*0.475*44/12</f>
        <v>0.90610638575551217</v>
      </c>
      <c r="AW173" s="23">
        <f>EXP(-LN(2)/2)*AW172+(1-EXP(-LN(2)/2))/(LN(2)/2)*AQ173*AT173*VLOOKUP('Données projet'!$B$10,Paramètres!$A$1:$I$89,3,0)*0.475*44/12</f>
        <v>3.6903010348687766E-20</v>
      </c>
      <c r="AX173" s="23">
        <f t="shared" si="166"/>
        <v>4.2386319672335944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>
        <f>BD173*VLOOKUP('Données projet'!$B$11,Paramètres!$A$1:$I$89,3,0)*VLOOKUP('Données projet'!$B$11,Paramètres!$A$1:$I$89,5,0)</f>
        <v>0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74.52152468677042</v>
      </c>
      <c r="BJ173" s="62">
        <f t="shared" si="146"/>
        <v>344.26747505795851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3.6385706613308799</v>
      </c>
      <c r="BQ173" s="23">
        <f>EXP(-LN(2)/25)*BQ172+(1-EXP(-LN(2)/25))/(LN(2)/25)*Calculateur!BL173*Calculateur!BN173*VLOOKUP('Données projet'!$B$11,Paramètres!$A$1:$I$89,3,0)*0.475*44/12</f>
        <v>0.29183221566038925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3.9304028769912693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19.766916000000002</v>
      </c>
      <c r="D174" s="12">
        <f t="shared" si="140"/>
        <v>6.4364098632947817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26.29526735755196</v>
      </c>
      <c r="H174" s="70">
        <f t="shared" si="110"/>
        <v>302.30412587857177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182.84082525184493</v>
      </c>
      <c r="T174" s="62">
        <f t="shared" si="142"/>
        <v>430.83336115516937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1.1368683772161603E-13</v>
      </c>
      <c r="AJ174" s="14">
        <f>AI174*VLOOKUP('Données projet'!$B$10,Paramètres!$A$1:$I$89,3,0)*VLOOKUP('Données projet'!$B$10,Paramètres!$A$1:$I$89,5,0)</f>
        <v>6.7984728957526396E-14</v>
      </c>
      <c r="AK174" s="14">
        <f t="shared" si="164"/>
        <v>1.0682447123141398E-12</v>
      </c>
      <c r="AL174" s="22">
        <f t="shared" si="165"/>
        <v>1.978932943548152E-12</v>
      </c>
      <c r="AM174" s="62">
        <f t="shared" si="113"/>
        <v>293.3333333333353</v>
      </c>
      <c r="AN174" s="62">
        <f ca="1">AVERAGE(OFFSET($AM$3,0,0,'Données projet'!$E$10+1,1))-AVERAGE(OFFSET($H$3,0,0,'Données projet'!$E$10+1,1))</f>
        <v>182.84082525184493</v>
      </c>
      <c r="AO174" s="62">
        <f t="shared" si="144"/>
        <v>430.83336115516937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3.2671767874651954</v>
      </c>
      <c r="AV174" s="23">
        <f>EXP(-LN(2)/25)*AV173+(1-EXP(-LN(2)/25))/(LN(2)/25)*Calculateur!AQ174*Calculateur!AS174*VLOOKUP('Données projet'!$B$10,Paramètres!$A$1:$I$89,3,0)*0.475*44/12</f>
        <v>0.88132885898696378</v>
      </c>
      <c r="AW174" s="23">
        <f>EXP(-LN(2)/2)*AW173+(1-EXP(-LN(2)/2))/(LN(2)/2)*AQ174*AT174*VLOOKUP('Données projet'!$B$10,Paramètres!$A$1:$I$89,3,0)*0.475*44/12</f>
        <v>2.6094368863754459E-20</v>
      </c>
      <c r="AX174" s="23">
        <f t="shared" si="166"/>
        <v>4.1485056464521595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>
        <f>BD174*VLOOKUP('Données projet'!$B$11,Paramètres!$A$1:$I$89,3,0)*VLOOKUP('Données projet'!$B$11,Paramètres!$A$1:$I$89,5,0)</f>
        <v>0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74.52152468677042</v>
      </c>
      <c r="BJ174" s="62">
        <f t="shared" si="146"/>
        <v>344.26747505795851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3.567220509971146</v>
      </c>
      <c r="BQ174" s="23">
        <f>EXP(-LN(2)/25)*BQ173+(1-EXP(-LN(2)/25))/(LN(2)/25)*Calculateur!BL174*Calculateur!BN174*VLOOKUP('Données projet'!$B$11,Paramètres!$A$1:$I$89,3,0)*0.475*44/12</f>
        <v>0.28385204837636668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3.8510725583475125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19.882512000000002</v>
      </c>
      <c r="D175" s="12">
        <f t="shared" si="140"/>
        <v>6.4696571165526908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26.444632867838848</v>
      </c>
      <c r="H175" s="70">
        <f t="shared" si="110"/>
        <v>302.56336121132927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182.84082525184493</v>
      </c>
      <c r="T175" s="62">
        <f t="shared" si="142"/>
        <v>430.83336115516937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1.1368683772161603E-13</v>
      </c>
      <c r="AJ175" s="14">
        <f>AI175*VLOOKUP('Données projet'!$B$10,Paramètres!$A$1:$I$89,3,0)*VLOOKUP('Données projet'!$B$10,Paramètres!$A$1:$I$89,5,0)</f>
        <v>6.7984728957526396E-14</v>
      </c>
      <c r="AK175" s="14">
        <f t="shared" si="164"/>
        <v>1.0682447123141398E-12</v>
      </c>
      <c r="AL175" s="22">
        <f t="shared" si="165"/>
        <v>1.978932943548152E-12</v>
      </c>
      <c r="AM175" s="62">
        <f t="shared" si="113"/>
        <v>293.3333333333353</v>
      </c>
      <c r="AN175" s="62">
        <f ca="1">AVERAGE(OFFSET($AM$3,0,0,'Données projet'!$E$10+1,1))-AVERAGE(OFFSET($H$3,0,0,'Données projet'!$E$10+1,1))</f>
        <v>182.84082525184493</v>
      </c>
      <c r="AO175" s="62">
        <f t="shared" si="144"/>
        <v>430.83336115516937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3.2031094434440726</v>
      </c>
      <c r="AV175" s="23">
        <f>EXP(-LN(2)/25)*AV174+(1-EXP(-LN(2)/25))/(LN(2)/25)*Calculateur!AQ175*Calculateur!AS175*VLOOKUP('Données projet'!$B$10,Paramètres!$A$1:$I$89,3,0)*0.475*44/12</f>
        <v>0.85722887499089484</v>
      </c>
      <c r="AW175" s="23">
        <f>EXP(-LN(2)/2)*AW174+(1-EXP(-LN(2)/2))/(LN(2)/2)*AQ175*AT175*VLOOKUP('Données projet'!$B$10,Paramètres!$A$1:$I$89,3,0)*0.475*44/12</f>
        <v>1.8451505174343883E-20</v>
      </c>
      <c r="AX175" s="23">
        <f t="shared" si="166"/>
        <v>4.0603383184349671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>
        <f>BD175*VLOOKUP('Données projet'!$B$11,Paramètres!$A$1:$I$89,3,0)*VLOOKUP('Données projet'!$B$11,Paramètres!$A$1:$I$89,5,0)</f>
        <v>0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74.52152468677042</v>
      </c>
      <c r="BJ175" s="62">
        <f t="shared" si="146"/>
        <v>344.26747505795851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3.4972694915602816</v>
      </c>
      <c r="BQ175" s="23">
        <f>EXP(-LN(2)/25)*BQ174+(1-EXP(-LN(2)/25))/(LN(2)/25)*Calculateur!BL175*Calculateur!BN175*VLOOKUP('Données projet'!$B$11,Paramètres!$A$1:$I$89,3,0)*0.475*44/12</f>
        <v>0.27609009918638444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3.7733595907466659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19.998108000000002</v>
      </c>
      <c r="D176" s="12">
        <f t="shared" si="140"/>
        <v>6.5028818774028281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26.593975806797229</v>
      </c>
      <c r="H176" s="70">
        <f t="shared" si="110"/>
        <v>302.82255736980994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182.84082525184493</v>
      </c>
      <c r="T176" s="62">
        <f t="shared" si="142"/>
        <v>430.83336115516937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1.1368683772161603E-13</v>
      </c>
      <c r="AJ176" s="14">
        <f>AI176*VLOOKUP('Données projet'!$B$10,Paramètres!$A$1:$I$89,3,0)*VLOOKUP('Données projet'!$B$10,Paramètres!$A$1:$I$89,5,0)</f>
        <v>6.7984728957526396E-14</v>
      </c>
      <c r="AK176" s="14">
        <f t="shared" si="164"/>
        <v>1.0682447123141398E-12</v>
      </c>
      <c r="AL176" s="22">
        <f t="shared" si="165"/>
        <v>1.978932943548152E-12</v>
      </c>
      <c r="AM176" s="62">
        <f t="shared" si="113"/>
        <v>293.3333333333353</v>
      </c>
      <c r="AN176" s="62">
        <f ca="1">AVERAGE(OFFSET($AM$3,0,0,'Données projet'!$E$10+1,1))-AVERAGE(OFFSET($H$3,0,0,'Données projet'!$E$10+1,1))</f>
        <v>182.84082525184493</v>
      </c>
      <c r="AO176" s="62">
        <f t="shared" si="144"/>
        <v>430.83336115516937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3.1402984209619826</v>
      </c>
      <c r="AV176" s="23">
        <f>EXP(-LN(2)/25)*AV175+(1-EXP(-LN(2)/25))/(LN(2)/25)*Calculateur!AQ176*Calculateur!AS176*VLOOKUP('Données projet'!$B$10,Paramètres!$A$1:$I$89,3,0)*0.475*44/12</f>
        <v>0.83378790632456146</v>
      </c>
      <c r="AW176" s="23">
        <f>EXP(-LN(2)/2)*AW175+(1-EXP(-LN(2)/2))/(LN(2)/2)*AQ176*AT176*VLOOKUP('Données projet'!$B$10,Paramètres!$A$1:$I$89,3,0)*0.475*44/12</f>
        <v>1.3047184431877229E-20</v>
      </c>
      <c r="AX176" s="23">
        <f t="shared" si="166"/>
        <v>3.9740863272865443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>
        <f>BD176*VLOOKUP('Données projet'!$B$11,Paramètres!$A$1:$I$89,3,0)*VLOOKUP('Données projet'!$B$11,Paramètres!$A$1:$I$89,5,0)</f>
        <v>0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74.52152468677042</v>
      </c>
      <c r="BJ176" s="62">
        <f t="shared" si="146"/>
        <v>344.26747505795851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3.428690169954546</v>
      </c>
      <c r="BQ176" s="23">
        <f>EXP(-LN(2)/25)*BQ175+(1-EXP(-LN(2)/25))/(LN(2)/25)*Calculateur!BL176*Calculateur!BN176*VLOOKUP('Données projet'!$B$11,Paramètres!$A$1:$I$89,3,0)*0.475*44/12</f>
        <v>0.26854040090518544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3.6972305708597313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20.113704000000002</v>
      </c>
      <c r="D177" s="12">
        <f t="shared" si="140"/>
        <v>6.5360842909455332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26.743296320036578</v>
      </c>
      <c r="H177" s="70">
        <f t="shared" si="110"/>
        <v>303.08171460673015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182.84082525184493</v>
      </c>
      <c r="T177" s="62">
        <f t="shared" si="142"/>
        <v>430.83336115516937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1.1368683772161603E-13</v>
      </c>
      <c r="AJ177" s="14">
        <f>AI177*VLOOKUP('Données projet'!$B$10,Paramètres!$A$1:$I$89,3,0)*VLOOKUP('Données projet'!$B$10,Paramètres!$A$1:$I$89,5,0)</f>
        <v>6.7984728957526396E-14</v>
      </c>
      <c r="AK177" s="14">
        <f t="shared" si="164"/>
        <v>1.0682447123141398E-12</v>
      </c>
      <c r="AL177" s="22">
        <f t="shared" si="165"/>
        <v>1.978932943548152E-12</v>
      </c>
      <c r="AM177" s="62">
        <f t="shared" si="113"/>
        <v>293.3333333333353</v>
      </c>
      <c r="AN177" s="62">
        <f ca="1">AVERAGE(OFFSET($AM$3,0,0,'Données projet'!$E$10+1,1))-AVERAGE(OFFSET($H$3,0,0,'Données projet'!$E$10+1,1))</f>
        <v>182.84082525184493</v>
      </c>
      <c r="AO177" s="62">
        <f t="shared" si="144"/>
        <v>430.83336115516937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3.0787190843198258</v>
      </c>
      <c r="AV177" s="23">
        <f>EXP(-LN(2)/25)*AV176+(1-EXP(-LN(2)/25))/(LN(2)/25)*Calculateur!AQ177*Calculateur!AS177*VLOOKUP('Données projet'!$B$10,Paramètres!$A$1:$I$89,3,0)*0.475*44/12</f>
        <v>0.81098793217911602</v>
      </c>
      <c r="AW177" s="23">
        <f>EXP(-LN(2)/2)*AW176+(1-EXP(-LN(2)/2))/(LN(2)/2)*AQ177*AT177*VLOOKUP('Données projet'!$B$10,Paramètres!$A$1:$I$89,3,0)*0.475*44/12</f>
        <v>9.2257525871719414E-21</v>
      </c>
      <c r="AX177" s="23">
        <f t="shared" si="166"/>
        <v>3.8897070164989418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>
        <f>BD177*VLOOKUP('Données projet'!$B$11,Paramètres!$A$1:$I$89,3,0)*VLOOKUP('Données projet'!$B$11,Paramètres!$A$1:$I$89,5,0)</f>
        <v>0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74.52152468677042</v>
      </c>
      <c r="BJ177" s="62">
        <f t="shared" si="146"/>
        <v>344.26747505795851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3.3614556470162427</v>
      </c>
      <c r="BQ177" s="23">
        <f>EXP(-LN(2)/25)*BQ176+(1-EXP(-LN(2)/25))/(LN(2)/25)*Calculateur!BL177*Calculateur!BN177*VLOOKUP('Données projet'!$B$11,Paramètres!$A$1:$I$89,3,0)*0.475*44/12</f>
        <v>0.26119714952050721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3.6226527965367499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20.229300000000002</v>
      </c>
      <c r="D178" s="12">
        <f t="shared" si="140"/>
        <v>6.5692645005168133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26.89259455139582</v>
      </c>
      <c r="H178" s="70">
        <f t="shared" si="110"/>
        <v>303.34083317173349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182.84082525184493</v>
      </c>
      <c r="T178" s="62">
        <f t="shared" si="142"/>
        <v>430.83336115516937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1.1368683772161603E-13</v>
      </c>
      <c r="AJ178" s="14">
        <f>AI178*VLOOKUP('Données projet'!$B$10,Paramètres!$A$1:$I$89,3,0)*VLOOKUP('Données projet'!$B$10,Paramètres!$A$1:$I$89,5,0)</f>
        <v>6.7984728957526396E-14</v>
      </c>
      <c r="AK178" s="14">
        <f t="shared" si="164"/>
        <v>1.0682447123141398E-12</v>
      </c>
      <c r="AL178" s="22">
        <f t="shared" si="165"/>
        <v>1.978932943548152E-12</v>
      </c>
      <c r="AM178" s="62">
        <f t="shared" si="113"/>
        <v>293.3333333333353</v>
      </c>
      <c r="AN178" s="62">
        <f ca="1">AVERAGE(OFFSET($AM$3,0,0,'Données projet'!$E$10+1,1))-AVERAGE(OFFSET($H$3,0,0,'Données projet'!$E$10+1,1))</f>
        <v>182.84082525184493</v>
      </c>
      <c r="AO178" s="62">
        <f t="shared" si="144"/>
        <v>430.83336115516937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3.0183472809095346</v>
      </c>
      <c r="AV178" s="23">
        <f>EXP(-LN(2)/25)*AV177+(1-EXP(-LN(2)/25))/(LN(2)/25)*Calculateur!AQ178*Calculateur!AS178*VLOOKUP('Données projet'!$B$10,Paramètres!$A$1:$I$89,3,0)*0.475*44/12</f>
        <v>0.78881142452567632</v>
      </c>
      <c r="AW178" s="23">
        <f>EXP(-LN(2)/2)*AW177+(1-EXP(-LN(2)/2))/(LN(2)/2)*AQ178*AT178*VLOOKUP('Données projet'!$B$10,Paramètres!$A$1:$I$89,3,0)*0.475*44/12</f>
        <v>6.5235922159386147E-21</v>
      </c>
      <c r="AX178" s="23">
        <f t="shared" si="166"/>
        <v>3.807158705435211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>
        <f>BD178*VLOOKUP('Données projet'!$B$11,Paramètres!$A$1:$I$89,3,0)*VLOOKUP('Données projet'!$B$11,Paramètres!$A$1:$I$89,5,0)</f>
        <v>0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74.52152468677042</v>
      </c>
      <c r="BJ178" s="62">
        <f t="shared" si="146"/>
        <v>344.26747505795851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3.29553955206375</v>
      </c>
      <c r="BQ178" s="23">
        <f>EXP(-LN(2)/25)*BQ177+(1-EXP(-LN(2)/25))/(LN(2)/25)*Calculateur!BL178*Calculateur!BN178*VLOOKUP('Données projet'!$B$11,Paramètres!$A$1:$I$89,3,0)*0.475*44/12</f>
        <v>0.25405469973110784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3.5495942517948578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20.344896000000002</v>
      </c>
      <c r="D179" s="12">
        <f t="shared" si="140"/>
        <v>6.6024226477197709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27.041870642974928</v>
      </c>
      <c r="H179" s="70">
        <f t="shared" si="110"/>
        <v>303.59991331144528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182.84082525184493</v>
      </c>
      <c r="T179" s="62">
        <f t="shared" si="142"/>
        <v>430.83336115516937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1.1368683772161603E-13</v>
      </c>
      <c r="AJ179" s="14">
        <f>AI179*VLOOKUP('Données projet'!$B$10,Paramètres!$A$1:$I$89,3,0)*VLOOKUP('Données projet'!$B$10,Paramètres!$A$1:$I$89,5,0)</f>
        <v>6.7984728957526396E-14</v>
      </c>
      <c r="AK179" s="14">
        <f t="shared" si="164"/>
        <v>1.0682447123141398E-12</v>
      </c>
      <c r="AL179" s="22">
        <f t="shared" si="165"/>
        <v>1.978932943548152E-12</v>
      </c>
      <c r="AM179" s="62">
        <f t="shared" si="113"/>
        <v>293.3333333333353</v>
      </c>
      <c r="AN179" s="62">
        <f ca="1">AVERAGE(OFFSET($AM$3,0,0,'Données projet'!$E$10+1,1))-AVERAGE(OFFSET($H$3,0,0,'Données projet'!$E$10+1,1))</f>
        <v>182.84082525184493</v>
      </c>
      <c r="AO179" s="62">
        <f t="shared" si="144"/>
        <v>430.83336115516937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2.9591593317409552</v>
      </c>
      <c r="AV179" s="23">
        <f>EXP(-LN(2)/25)*AV178+(1-EXP(-LN(2)/25))/(LN(2)/25)*Calculateur!AQ179*Calculateur!AS179*VLOOKUP('Données projet'!$B$10,Paramètres!$A$1:$I$89,3,0)*0.475*44/12</f>
        <v>0.7672413346402317</v>
      </c>
      <c r="AW179" s="23">
        <f>EXP(-LN(2)/2)*AW178+(1-EXP(-LN(2)/2))/(LN(2)/2)*AQ179*AT179*VLOOKUP('Données projet'!$B$10,Paramètres!$A$1:$I$89,3,0)*0.475*44/12</f>
        <v>4.6128762935859707E-21</v>
      </c>
      <c r="AX179" s="23">
        <f t="shared" si="166"/>
        <v>3.7264006663811871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>
        <f>BD179*VLOOKUP('Données projet'!$B$11,Paramètres!$A$1:$I$89,3,0)*VLOOKUP('Données projet'!$B$11,Paramètres!$A$1:$I$89,5,0)</f>
        <v>0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74.52152468677042</v>
      </c>
      <c r="BJ179" s="62">
        <f t="shared" si="146"/>
        <v>344.26747505795851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3.2309160315284275</v>
      </c>
      <c r="BQ179" s="23">
        <f>EXP(-LN(2)/25)*BQ178+(1-EXP(-LN(2)/25))/(LN(2)/25)*Calculateur!BL179*Calculateur!BN179*VLOOKUP('Données projet'!$B$11,Paramètres!$A$1:$I$89,3,0)*0.475*44/12</f>
        <v>0.24710756060680469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3.4780235921352323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20.460492000000002</v>
      </c>
      <c r="D180" s="12">
        <f t="shared" si="140"/>
        <v>6.6355588724552579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27.19112473516563</v>
      </c>
      <c r="H180" s="70">
        <f t="shared" si="110"/>
        <v>303.85895526952629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182.84082525184493</v>
      </c>
      <c r="T180" s="62">
        <f t="shared" si="142"/>
        <v>430.83336115516937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1.1368683772161603E-13</v>
      </c>
      <c r="AJ180" s="14">
        <f>AI180*VLOOKUP('Données projet'!$B$10,Paramètres!$A$1:$I$89,3,0)*VLOOKUP('Données projet'!$B$10,Paramètres!$A$1:$I$89,5,0)</f>
        <v>6.7984728957526396E-14</v>
      </c>
      <c r="AK180" s="14">
        <f t="shared" si="164"/>
        <v>1.0682447123141398E-12</v>
      </c>
      <c r="AL180" s="22">
        <f t="shared" si="165"/>
        <v>1.978932943548152E-12</v>
      </c>
      <c r="AM180" s="62">
        <f t="shared" si="113"/>
        <v>293.3333333333353</v>
      </c>
      <c r="AN180" s="62">
        <f ca="1">AVERAGE(OFFSET($AM$3,0,0,'Données projet'!$E$10+1,1))-AVERAGE(OFFSET($H$3,0,0,'Données projet'!$E$10+1,1))</f>
        <v>182.84082525184493</v>
      </c>
      <c r="AO180" s="62">
        <f t="shared" si="144"/>
        <v>430.83336115516937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2.9011320221544876</v>
      </c>
      <c r="AV180" s="23">
        <f>EXP(-LN(2)/25)*AV179+(1-EXP(-LN(2)/25))/(LN(2)/25)*Calculateur!AQ180*Calculateur!AS180*VLOOKUP('Données projet'!$B$10,Paramètres!$A$1:$I$89,3,0)*0.475*44/12</f>
        <v>0.74626107999702629</v>
      </c>
      <c r="AW180" s="23">
        <f>EXP(-LN(2)/2)*AW179+(1-EXP(-LN(2)/2))/(LN(2)/2)*AQ180*AT180*VLOOKUP('Données projet'!$B$10,Paramètres!$A$1:$I$89,3,0)*0.475*44/12</f>
        <v>3.2617961079693074E-21</v>
      </c>
      <c r="AX180" s="23">
        <f t="shared" si="166"/>
        <v>3.647393102151514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>
        <f>BD180*VLOOKUP('Données projet'!$B$11,Paramètres!$A$1:$I$89,3,0)*VLOOKUP('Données projet'!$B$11,Paramètres!$A$1:$I$89,5,0)</f>
        <v>0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74.52152468677042</v>
      </c>
      <c r="BJ180" s="62">
        <f t="shared" si="146"/>
        <v>344.26747505795851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3.1675597388143473</v>
      </c>
      <c r="BQ180" s="23">
        <f>EXP(-LN(2)/25)*BQ179+(1-EXP(-LN(2)/25))/(LN(2)/25)*Calculateur!BL180*Calculateur!BN180*VLOOKUP('Données projet'!$B$11,Paramètres!$A$1:$I$89,3,0)*0.475*44/12</f>
        <v>0.24035039136718978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3.4079101301815369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20.576088000000002</v>
      </c>
      <c r="D181" s="12">
        <f t="shared" si="140"/>
        <v>6.6686733129518538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27.340356966681512</v>
      </c>
      <c r="H181" s="70">
        <f t="shared" si="110"/>
        <v>304.1179592867245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182.84082525184493</v>
      </c>
      <c r="T181" s="62">
        <f t="shared" si="142"/>
        <v>430.83336115516937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1.1368683772161603E-13</v>
      </c>
      <c r="AJ181" s="14">
        <f>AI181*VLOOKUP('Données projet'!$B$10,Paramètres!$A$1:$I$89,3,0)*VLOOKUP('Données projet'!$B$10,Paramètres!$A$1:$I$89,5,0)</f>
        <v>6.7984728957526396E-14</v>
      </c>
      <c r="AK181" s="14">
        <f t="shared" si="164"/>
        <v>1.0682447123141398E-12</v>
      </c>
      <c r="AL181" s="22">
        <f t="shared" si="165"/>
        <v>1.978932943548152E-12</v>
      </c>
      <c r="AM181" s="62">
        <f t="shared" si="113"/>
        <v>293.3333333333353</v>
      </c>
      <c r="AN181" s="62">
        <f ca="1">AVERAGE(OFFSET($AM$3,0,0,'Données projet'!$E$10+1,1))-AVERAGE(OFFSET($H$3,0,0,'Données projet'!$E$10+1,1))</f>
        <v>182.84082525184493</v>
      </c>
      <c r="AO181" s="62">
        <f t="shared" si="144"/>
        <v>430.83336115516937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2.8442425927158466</v>
      </c>
      <c r="AV181" s="23">
        <f>EXP(-LN(2)/25)*AV180+(1-EXP(-LN(2)/25))/(LN(2)/25)*Calculateur!AQ181*Calculateur!AS181*VLOOKUP('Données projet'!$B$10,Paramètres!$A$1:$I$89,3,0)*0.475*44/12</f>
        <v>0.72585453152034296</v>
      </c>
      <c r="AW181" s="23">
        <f>EXP(-LN(2)/2)*AW180+(1-EXP(-LN(2)/2))/(LN(2)/2)*AQ181*AT181*VLOOKUP('Données projet'!$B$10,Paramètres!$A$1:$I$89,3,0)*0.475*44/12</f>
        <v>2.3064381467929853E-21</v>
      </c>
      <c r="AX181" s="23">
        <f t="shared" si="166"/>
        <v>3.5700971242361894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>
        <f>BD181*VLOOKUP('Données projet'!$B$11,Paramètres!$A$1:$I$89,3,0)*VLOOKUP('Données projet'!$B$11,Paramètres!$A$1:$I$89,5,0)</f>
        <v>0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74.52152468677042</v>
      </c>
      <c r="BJ181" s="62">
        <f t="shared" si="146"/>
        <v>344.26747505795851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3.1054458243568672</v>
      </c>
      <c r="BQ181" s="23">
        <f>EXP(-LN(2)/25)*BQ180+(1-EXP(-LN(2)/25))/(LN(2)/25)*Calculateur!BL181*Calculateur!BN181*VLOOKUP('Données projet'!$B$11,Paramètres!$A$1:$I$89,3,0)*0.475*44/12</f>
        <v>0.23377799727577622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3.3392238216326433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20.691684000000002</v>
      </c>
      <c r="D182" s="12">
        <f t="shared" si="140"/>
        <v>6.7017661057951221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27.489567474587389</v>
      </c>
      <c r="H182" s="70">
        <f t="shared" si="110"/>
        <v>304.37692560092654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182.84082525184493</v>
      </c>
      <c r="T182" s="62">
        <f t="shared" si="142"/>
        <v>430.83336115516937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1.1368683772161603E-13</v>
      </c>
      <c r="AJ182" s="14">
        <f>AI182*VLOOKUP('Données projet'!$B$10,Paramètres!$A$1:$I$89,3,0)*VLOOKUP('Données projet'!$B$10,Paramètres!$A$1:$I$89,5,0)</f>
        <v>6.7984728957526396E-14</v>
      </c>
      <c r="AK182" s="14">
        <f t="shared" si="164"/>
        <v>1.0682447123141398E-12</v>
      </c>
      <c r="AL182" s="22">
        <f t="shared" si="165"/>
        <v>1.978932943548152E-12</v>
      </c>
      <c r="AM182" s="62">
        <f t="shared" si="113"/>
        <v>293.3333333333353</v>
      </c>
      <c r="AN182" s="62">
        <f ca="1">AVERAGE(OFFSET($AM$3,0,0,'Données projet'!$E$10+1,1))-AVERAGE(OFFSET($H$3,0,0,'Données projet'!$E$10+1,1))</f>
        <v>182.84082525184493</v>
      </c>
      <c r="AO182" s="62">
        <f t="shared" si="144"/>
        <v>430.83336115516937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2.7884687302893716</v>
      </c>
      <c r="AV182" s="23">
        <f>EXP(-LN(2)/25)*AV181+(1-EXP(-LN(2)/25))/(LN(2)/25)*Calculateur!AQ182*Calculateur!AS182*VLOOKUP('Données projet'!$B$10,Paramètres!$A$1:$I$89,3,0)*0.475*44/12</f>
        <v>0.70600600118488832</v>
      </c>
      <c r="AW182" s="23">
        <f>EXP(-LN(2)/2)*AW181+(1-EXP(-LN(2)/2))/(LN(2)/2)*AQ182*AT182*VLOOKUP('Données projet'!$B$10,Paramètres!$A$1:$I$89,3,0)*0.475*44/12</f>
        <v>1.6308980539846537E-21</v>
      </c>
      <c r="AX182" s="23">
        <f t="shared" si="166"/>
        <v>3.4944747314742601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>
        <f>BD182*VLOOKUP('Données projet'!$B$11,Paramètres!$A$1:$I$89,3,0)*VLOOKUP('Données projet'!$B$11,Paramètres!$A$1:$I$89,5,0)</f>
        <v>0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74.52152468677042</v>
      </c>
      <c r="BJ182" s="62">
        <f t="shared" si="146"/>
        <v>344.26747505795851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3.0445499258761517</v>
      </c>
      <c r="BQ182" s="23">
        <f>EXP(-LN(2)/25)*BQ181+(1-EXP(-LN(2)/25))/(LN(2)/25)*Calculateur!BL182*Calculateur!BN182*VLOOKUP('Données projet'!$B$11,Paramètres!$A$1:$I$89,3,0)*0.475*44/12</f>
        <v>0.22738532564641956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3.2719352515225713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20.807280000000002</v>
      </c>
      <c r="D183" s="12">
        <f t="shared" si="140"/>
        <v>6.7348373859562134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27.638756394327995</v>
      </c>
      <c r="H183" s="70">
        <f t="shared" si="110"/>
        <v>304.63585444720707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182.84082525184493</v>
      </c>
      <c r="T183" s="62">
        <f t="shared" si="142"/>
        <v>430.83336115516937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1.1368683772161603E-13</v>
      </c>
      <c r="AJ183" s="14">
        <f>AI183*VLOOKUP('Données projet'!$B$10,Paramètres!$A$1:$I$89,3,0)*VLOOKUP('Données projet'!$B$10,Paramètres!$A$1:$I$89,5,0)</f>
        <v>6.7984728957526396E-14</v>
      </c>
      <c r="AK183" s="14">
        <f t="shared" si="164"/>
        <v>1.0682447123141398E-12</v>
      </c>
      <c r="AL183" s="22">
        <f t="shared" si="165"/>
        <v>1.978932943548152E-12</v>
      </c>
      <c r="AM183" s="62">
        <f t="shared" si="113"/>
        <v>293.3333333333353</v>
      </c>
      <c r="AN183" s="62">
        <f ca="1">AVERAGE(OFFSET($AM$3,0,0,'Données projet'!$E$10+1,1))-AVERAGE(OFFSET($H$3,0,0,'Données projet'!$E$10+1,1))</f>
        <v>182.84082525184493</v>
      </c>
      <c r="AO183" s="62">
        <f t="shared" si="144"/>
        <v>430.83336115516937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2.7337885592863826</v>
      </c>
      <c r="AV183" s="23">
        <f>EXP(-LN(2)/25)*AV182+(1-EXP(-LN(2)/25))/(LN(2)/25)*Calculateur!AQ183*Calculateur!AS183*VLOOKUP('Données projet'!$B$10,Paramètres!$A$1:$I$89,3,0)*0.475*44/12</f>
        <v>0.6867002299552456</v>
      </c>
      <c r="AW183" s="23">
        <f>EXP(-LN(2)/2)*AW182+(1-EXP(-LN(2)/2))/(LN(2)/2)*AQ183*AT183*VLOOKUP('Données projet'!$B$10,Paramètres!$A$1:$I$89,3,0)*0.475*44/12</f>
        <v>1.1532190733964927E-21</v>
      </c>
      <c r="AX183" s="23">
        <f t="shared" si="166"/>
        <v>3.4204887892416282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>
        <f>BD183*VLOOKUP('Données projet'!$B$11,Paramètres!$A$1:$I$89,3,0)*VLOOKUP('Données projet'!$B$11,Paramètres!$A$1:$I$89,5,0)</f>
        <v>0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74.52152468677042</v>
      </c>
      <c r="BJ183" s="62">
        <f t="shared" si="146"/>
        <v>344.26747505795851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2.9848481588218125</v>
      </c>
      <c r="BQ183" s="23">
        <f>EXP(-LN(2)/25)*BQ182+(1-EXP(-LN(2)/25))/(LN(2)/25)*Calculateur!BL183*Calculateur!BN183*VLOOKUP('Données projet'!$B$11,Paramètres!$A$1:$I$89,3,0)*0.475*44/12</f>
        <v>0.22116746195894363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3.206015620780756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20.922876000000002</v>
      </c>
      <c r="D184" s="12">
        <f t="shared" si="140"/>
        <v>6.767887286819807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27.787923859756024</v>
      </c>
      <c r="H184" s="70">
        <f t="shared" si="110"/>
        <v>304.89474605787785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182.84082525184493</v>
      </c>
      <c r="T184" s="62">
        <f t="shared" si="142"/>
        <v>430.83336115516937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1.1368683772161603E-13</v>
      </c>
      <c r="AJ184" s="14">
        <f>AI184*VLOOKUP('Données projet'!$B$10,Paramètres!$A$1:$I$89,3,0)*VLOOKUP('Données projet'!$B$10,Paramètres!$A$1:$I$89,5,0)</f>
        <v>6.7984728957526396E-14</v>
      </c>
      <c r="AK184" s="14">
        <f t="shared" si="164"/>
        <v>1.0682447123141398E-12</v>
      </c>
      <c r="AL184" s="22">
        <f t="shared" si="165"/>
        <v>1.978932943548152E-12</v>
      </c>
      <c r="AM184" s="62">
        <f t="shared" si="113"/>
        <v>293.3333333333353</v>
      </c>
      <c r="AN184" s="62">
        <f ca="1">AVERAGE(OFFSET($AM$3,0,0,'Données projet'!$E$10+1,1))-AVERAGE(OFFSET($H$3,0,0,'Données projet'!$E$10+1,1))</f>
        <v>182.84082525184493</v>
      </c>
      <c r="AO184" s="62">
        <f t="shared" si="144"/>
        <v>430.83336115516937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2.680180633085151</v>
      </c>
      <c r="AV184" s="23">
        <f>EXP(-LN(2)/25)*AV183+(1-EXP(-LN(2)/25))/(LN(2)/25)*Calculateur!AQ184*Calculateur!AS184*VLOOKUP('Données projet'!$B$10,Paramètres!$A$1:$I$89,3,0)*0.475*44/12</f>
        <v>0.66792237605512383</v>
      </c>
      <c r="AW184" s="23">
        <f>EXP(-LN(2)/2)*AW183+(1-EXP(-LN(2)/2))/(LN(2)/2)*AQ184*AT184*VLOOKUP('Données projet'!$B$10,Paramètres!$A$1:$I$89,3,0)*0.475*44/12</f>
        <v>8.1544902699232684E-22</v>
      </c>
      <c r="AX184" s="23">
        <f t="shared" si="166"/>
        <v>3.3481030091402748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>
        <f>BD184*VLOOKUP('Données projet'!$B$11,Paramètres!$A$1:$I$89,3,0)*VLOOKUP('Données projet'!$B$11,Paramètres!$A$1:$I$89,5,0)</f>
        <v>0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74.52152468677042</v>
      </c>
      <c r="BJ184" s="62">
        <f t="shared" si="146"/>
        <v>344.26747505795851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2.9263171070049268</v>
      </c>
      <c r="BQ184" s="23">
        <f>EXP(-LN(2)/25)*BQ183+(1-EXP(-LN(2)/25))/(LN(2)/25)*Calculateur!BL184*Calculateur!BN184*VLOOKUP('Données projet'!$B$11,Paramètres!$A$1:$I$89,3,0)*0.475*44/12</f>
        <v>0.21511962608098498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3.1414367330859116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21.038472000000002</v>
      </c>
      <c r="D185" s="12">
        <f t="shared" si="140"/>
        <v>6.8009159402114205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27.937070003159533</v>
      </c>
      <c r="H185" s="70">
        <f t="shared" si="110"/>
        <v>305.15360066253493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182.84082525184493</v>
      </c>
      <c r="T185" s="62">
        <f t="shared" si="142"/>
        <v>430.83336115516937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1.1368683772161603E-13</v>
      </c>
      <c r="AJ185" s="14">
        <f>AI185*VLOOKUP('Données projet'!$B$10,Paramètres!$A$1:$I$89,3,0)*VLOOKUP('Données projet'!$B$10,Paramètres!$A$1:$I$89,5,0)</f>
        <v>6.7984728957526396E-14</v>
      </c>
      <c r="AK185" s="14">
        <f t="shared" si="164"/>
        <v>1.0682447123141398E-12</v>
      </c>
      <c r="AL185" s="22">
        <f t="shared" si="165"/>
        <v>1.978932943548152E-12</v>
      </c>
      <c r="AM185" s="62">
        <f t="shared" si="113"/>
        <v>293.3333333333353</v>
      </c>
      <c r="AN185" s="62">
        <f ca="1">AVERAGE(OFFSET($AM$3,0,0,'Données projet'!$E$10+1,1))-AVERAGE(OFFSET($H$3,0,0,'Données projet'!$E$10+1,1))</f>
        <v>182.84082525184493</v>
      </c>
      <c r="AO185" s="62">
        <f t="shared" si="144"/>
        <v>430.83336115516937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2.6276239256191194</v>
      </c>
      <c r="AV185" s="23">
        <f>EXP(-LN(2)/25)*AV184+(1-EXP(-LN(2)/25))/(LN(2)/25)*Calculateur!AQ185*Calculateur!AS185*VLOOKUP('Données projet'!$B$10,Paramètres!$A$1:$I$89,3,0)*0.475*44/12</f>
        <v>0.64965800355738523</v>
      </c>
      <c r="AW185" s="23">
        <f>EXP(-LN(2)/2)*AW184+(1-EXP(-LN(2)/2))/(LN(2)/2)*AQ185*AT185*VLOOKUP('Données projet'!$B$10,Paramètres!$A$1:$I$89,3,0)*0.475*44/12</f>
        <v>5.7660953669824634E-22</v>
      </c>
      <c r="AX185" s="23">
        <f t="shared" si="166"/>
        <v>3.2772819291765045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>
        <f>BD185*VLOOKUP('Données projet'!$B$11,Paramètres!$A$1:$I$89,3,0)*VLOOKUP('Données projet'!$B$11,Paramètres!$A$1:$I$89,5,0)</f>
        <v>0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74.52152468677042</v>
      </c>
      <c r="BJ185" s="62">
        <f t="shared" si="146"/>
        <v>344.26747505795851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2.8689338134137534</v>
      </c>
      <c r="BQ185" s="23">
        <f>EXP(-LN(2)/25)*BQ184+(1-EXP(-LN(2)/25))/(LN(2)/25)*Calculateur!BL185*Calculateur!BN185*VLOOKUP('Données projet'!$B$11,Paramètres!$A$1:$I$89,3,0)*0.475*44/12</f>
        <v>0.20923716859315097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3.0781709820069043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21.154068000000002</v>
      </c>
      <c r="D186" s="12">
        <f t="shared" si="140"/>
        <v>6.8339234764240908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28.086194955288743</v>
      </c>
      <c r="H186" s="70">
        <f t="shared" si="110"/>
        <v>305.41241848810529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182.84082525184493</v>
      </c>
      <c r="T186" s="62">
        <f t="shared" si="142"/>
        <v>430.83336115516937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1.1368683772161603E-13</v>
      </c>
      <c r="AJ186" s="14">
        <f>AI186*VLOOKUP('Données projet'!$B$10,Paramètres!$A$1:$I$89,3,0)*VLOOKUP('Données projet'!$B$10,Paramètres!$A$1:$I$89,5,0)</f>
        <v>6.7984728957526396E-14</v>
      </c>
      <c r="AK186" s="14">
        <f t="shared" si="164"/>
        <v>1.0682447123141398E-12</v>
      </c>
      <c r="AL186" s="22">
        <f t="shared" si="165"/>
        <v>1.978932943548152E-12</v>
      </c>
      <c r="AM186" s="62">
        <f t="shared" si="113"/>
        <v>293.3333333333353</v>
      </c>
      <c r="AN186" s="62">
        <f ca="1">AVERAGE(OFFSET($AM$3,0,0,'Données projet'!$E$10+1,1))-AVERAGE(OFFSET($H$3,0,0,'Données projet'!$E$10+1,1))</f>
        <v>182.84082525184493</v>
      </c>
      <c r="AO186" s="62">
        <f t="shared" si="144"/>
        <v>430.83336115516937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2.5760978231300702</v>
      </c>
      <c r="AV186" s="23">
        <f>EXP(-LN(2)/25)*AV185+(1-EXP(-LN(2)/25))/(LN(2)/25)*Calculateur!AQ186*Calculateur!AS186*VLOOKUP('Données projet'!$B$10,Paramètres!$A$1:$I$89,3,0)*0.475*44/12</f>
        <v>0.63189307128607897</v>
      </c>
      <c r="AW186" s="23">
        <f>EXP(-LN(2)/2)*AW185+(1-EXP(-LN(2)/2))/(LN(2)/2)*AQ186*AT186*VLOOKUP('Données projet'!$B$10,Paramètres!$A$1:$I$89,3,0)*0.475*44/12</f>
        <v>4.0772451349616342E-22</v>
      </c>
      <c r="AX186" s="23">
        <f t="shared" si="166"/>
        <v>3.2079908944161493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>
        <f>BD186*VLOOKUP('Données projet'!$B$11,Paramètres!$A$1:$I$89,3,0)*VLOOKUP('Données projet'!$B$11,Paramètres!$A$1:$I$89,5,0)</f>
        <v>0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74.52152468677042</v>
      </c>
      <c r="BJ186" s="62">
        <f t="shared" si="146"/>
        <v>344.26747505795851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2.81267577120955</v>
      </c>
      <c r="BQ186" s="23">
        <f>EXP(-LN(2)/25)*BQ185+(1-EXP(-LN(2)/25))/(LN(2)/25)*Calculateur!BL186*Calculateur!BN186*VLOOKUP('Données projet'!$B$11,Paramètres!$A$1:$I$89,3,0)*0.475*44/12</f>
        <v>0.20351556721466679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3.0161913384242167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21.269664000000002</v>
      </c>
      <c r="D187" s="12">
        <f t="shared" si="140"/>
        <v>6.8669100242444712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28.235298845382179</v>
      </c>
      <c r="H187" s="70">
        <f t="shared" si="110"/>
        <v>305.6711997588925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182.84082525184493</v>
      </c>
      <c r="T187" s="62">
        <f t="shared" si="142"/>
        <v>430.83336115516937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1.1368683772161603E-13</v>
      </c>
      <c r="AJ187" s="14">
        <f>AI187*VLOOKUP('Données projet'!$B$10,Paramètres!$A$1:$I$89,3,0)*VLOOKUP('Données projet'!$B$10,Paramètres!$A$1:$I$89,5,0)</f>
        <v>6.7984728957526396E-14</v>
      </c>
      <c r="AK187" s="14">
        <f t="shared" si="164"/>
        <v>1.0682447123141398E-12</v>
      </c>
      <c r="AL187" s="22">
        <f t="shared" si="165"/>
        <v>1.978932943548152E-12</v>
      </c>
      <c r="AM187" s="62">
        <f t="shared" si="113"/>
        <v>293.3333333333353</v>
      </c>
      <c r="AN187" s="62">
        <f ca="1">AVERAGE(OFFSET($AM$3,0,0,'Données projet'!$E$10+1,1))-AVERAGE(OFFSET($H$3,0,0,'Données projet'!$E$10+1,1))</f>
        <v>182.84082525184493</v>
      </c>
      <c r="AO187" s="62">
        <f t="shared" si="144"/>
        <v>430.83336115516937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2.5255821160830121</v>
      </c>
      <c r="AV187" s="23">
        <f>EXP(-LN(2)/25)*AV186+(1-EXP(-LN(2)/25))/(LN(2)/25)*Calculateur!AQ187*Calculateur!AS187*VLOOKUP('Données projet'!$B$10,Paramètres!$A$1:$I$89,3,0)*0.475*44/12</f>
        <v>0.61461392202194876</v>
      </c>
      <c r="AW187" s="23">
        <f>EXP(-LN(2)/2)*AW186+(1-EXP(-LN(2)/2))/(LN(2)/2)*AQ187*AT187*VLOOKUP('Données projet'!$B$10,Paramètres!$A$1:$I$89,3,0)*0.475*44/12</f>
        <v>2.8830476834912317E-22</v>
      </c>
      <c r="AX187" s="23">
        <f t="shared" si="166"/>
        <v>3.140196038104961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>
        <f>BD187*VLOOKUP('Données projet'!$B$11,Paramètres!$A$1:$I$89,3,0)*VLOOKUP('Données projet'!$B$11,Paramètres!$A$1:$I$89,5,0)</f>
        <v>0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74.52152468677042</v>
      </c>
      <c r="BJ187" s="62">
        <f t="shared" si="146"/>
        <v>344.26747505795851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2.7575209148989535</v>
      </c>
      <c r="BQ187" s="23">
        <f>EXP(-LN(2)/25)*BQ186+(1-EXP(-LN(2)/25))/(LN(2)/25)*Calculateur!BL187*Calculateur!BN187*VLOOKUP('Données projet'!$B$11,Paramètres!$A$1:$I$89,3,0)*0.475*44/12</f>
        <v>0.19795042332676319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2.9554713382257165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21.385260000000002</v>
      </c>
      <c r="D188" s="12">
        <f t="shared" si="140"/>
        <v>6.8998757109783364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28.384381801192301</v>
      </c>
      <c r="H188" s="70">
        <f t="shared" si="110"/>
        <v>305.92994469662062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182.84082525184493</v>
      </c>
      <c r="T188" s="62">
        <f t="shared" si="142"/>
        <v>430.83336115516937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1.1368683772161603E-13</v>
      </c>
      <c r="AJ188" s="14">
        <f>AI188*VLOOKUP('Données projet'!$B$10,Paramètres!$A$1:$I$89,3,0)*VLOOKUP('Données projet'!$B$10,Paramètres!$A$1:$I$89,5,0)</f>
        <v>6.7984728957526396E-14</v>
      </c>
      <c r="AK188" s="14">
        <f t="shared" si="164"/>
        <v>1.0682447123141398E-12</v>
      </c>
      <c r="AL188" s="22">
        <f t="shared" si="165"/>
        <v>1.978932943548152E-12</v>
      </c>
      <c r="AM188" s="62">
        <f t="shared" si="113"/>
        <v>293.3333333333353</v>
      </c>
      <c r="AN188" s="62">
        <f ca="1">AVERAGE(OFFSET($AM$3,0,0,'Données projet'!$E$10+1,1))-AVERAGE(OFFSET($H$3,0,0,'Données projet'!$E$10+1,1))</f>
        <v>182.84082525184493</v>
      </c>
      <c r="AO188" s="62">
        <f t="shared" si="144"/>
        <v>430.83336115516937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2.476056991239608</v>
      </c>
      <c r="AV188" s="23">
        <f>EXP(-LN(2)/25)*AV187+(1-EXP(-LN(2)/25))/(LN(2)/25)*Calculateur!AQ188*Calculateur!AS188*VLOOKUP('Données projet'!$B$10,Paramètres!$A$1:$I$89,3,0)*0.475*44/12</f>
        <v>0.59780727200311712</v>
      </c>
      <c r="AW188" s="23">
        <f>EXP(-LN(2)/2)*AW187+(1-EXP(-LN(2)/2))/(LN(2)/2)*AQ188*AT188*VLOOKUP('Données projet'!$B$10,Paramètres!$A$1:$I$89,3,0)*0.475*44/12</f>
        <v>2.0386225674808171E-22</v>
      </c>
      <c r="AX188" s="23">
        <f t="shared" si="166"/>
        <v>3.0738642632427249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>
        <f>BD188*VLOOKUP('Données projet'!$B$11,Paramètres!$A$1:$I$89,3,0)*VLOOKUP('Données projet'!$B$11,Paramètres!$A$1:$I$89,5,0)</f>
        <v>0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74.52152468677042</v>
      </c>
      <c r="BJ188" s="62">
        <f t="shared" si="146"/>
        <v>344.26747505795851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2.7034476116794672</v>
      </c>
      <c r="BQ188" s="23">
        <f>EXP(-LN(2)/25)*BQ187+(1-EXP(-LN(2)/25))/(LN(2)/25)*Calculateur!BL188*Calculateur!BN188*VLOOKUP('Données projet'!$B$11,Paramètres!$A$1:$I$89,3,0)*0.475*44/12</f>
        <v>0.1925374585911325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2.8959850702705996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21.500856000000002</v>
      </c>
      <c r="D189" s="12">
        <f t="shared" si="140"/>
        <v>6.9328206624755175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28.533443949010522</v>
      </c>
      <c r="H189" s="70">
        <f t="shared" si="110"/>
        <v>306.18865352047823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182.84082525184493</v>
      </c>
      <c r="T189" s="62">
        <f t="shared" si="142"/>
        <v>430.83336115516937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1.1368683772161603E-13</v>
      </c>
      <c r="AJ189" s="14">
        <f>AI189*VLOOKUP('Données projet'!$B$10,Paramètres!$A$1:$I$89,3,0)*VLOOKUP('Données projet'!$B$10,Paramètres!$A$1:$I$89,5,0)</f>
        <v>6.7984728957526396E-14</v>
      </c>
      <c r="AK189" s="14">
        <f t="shared" si="164"/>
        <v>1.0682447123141398E-12</v>
      </c>
      <c r="AL189" s="22">
        <f t="shared" si="165"/>
        <v>1.978932943548152E-12</v>
      </c>
      <c r="AM189" s="62">
        <f t="shared" si="113"/>
        <v>293.3333333333353</v>
      </c>
      <c r="AN189" s="62">
        <f ca="1">AVERAGE(OFFSET($AM$3,0,0,'Données projet'!$E$10+1,1))-AVERAGE(OFFSET($H$3,0,0,'Données projet'!$E$10+1,1))</f>
        <v>182.84082525184493</v>
      </c>
      <c r="AO189" s="62">
        <f t="shared" si="144"/>
        <v>430.83336115516937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2.4275030238870396</v>
      </c>
      <c r="AV189" s="23">
        <f>EXP(-LN(2)/25)*AV188+(1-EXP(-LN(2)/25))/(LN(2)/25)*Calculateur!AQ189*Calculateur!AS189*VLOOKUP('Données projet'!$B$10,Paramètres!$A$1:$I$89,3,0)*0.475*44/12</f>
        <v>0.58146020071287374</v>
      </c>
      <c r="AW189" s="23">
        <f>EXP(-LN(2)/2)*AW188+(1-EXP(-LN(2)/2))/(LN(2)/2)*AQ189*AT189*VLOOKUP('Données projet'!$B$10,Paramètres!$A$1:$I$89,3,0)*0.475*44/12</f>
        <v>1.4415238417456158E-22</v>
      </c>
      <c r="AX189" s="23">
        <f t="shared" si="166"/>
        <v>3.0089632245999134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>
        <f>BD189*VLOOKUP('Données projet'!$B$11,Paramètres!$A$1:$I$89,3,0)*VLOOKUP('Données projet'!$B$11,Paramètres!$A$1:$I$89,5,0)</f>
        <v>0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74.52152468677042</v>
      </c>
      <c r="BJ189" s="62">
        <f t="shared" si="146"/>
        <v>344.26747505795851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2.6504346529546567</v>
      </c>
      <c r="BQ189" s="23">
        <f>EXP(-LN(2)/25)*BQ188+(1-EXP(-LN(2)/25))/(LN(2)/25)*Calculateur!BL189*Calculateur!BN189*VLOOKUP('Données projet'!$B$11,Paramètres!$A$1:$I$89,3,0)*0.475*44/12</f>
        <v>0.1872725116608531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2.8377071646155096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21.616452000000002</v>
      </c>
      <c r="D190" s="12">
        <f t="shared" si="140"/>
        <v>6.9657450031542947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28.682485413691683</v>
      </c>
      <c r="H190" s="70">
        <f t="shared" si="110"/>
        <v>306.44732644716044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182.84082525184493</v>
      </c>
      <c r="T190" s="62">
        <f t="shared" si="142"/>
        <v>430.83336115516937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1.1368683772161603E-13</v>
      </c>
      <c r="AJ190" s="14">
        <f>AI190*VLOOKUP('Données projet'!$B$10,Paramètres!$A$1:$I$89,3,0)*VLOOKUP('Données projet'!$B$10,Paramètres!$A$1:$I$89,5,0)</f>
        <v>6.7984728957526396E-14</v>
      </c>
      <c r="AK190" s="14">
        <f t="shared" si="164"/>
        <v>1.0682447123141398E-12</v>
      </c>
      <c r="AL190" s="22">
        <f t="shared" si="165"/>
        <v>1.978932943548152E-12</v>
      </c>
      <c r="AM190" s="62">
        <f t="shared" si="113"/>
        <v>293.3333333333353</v>
      </c>
      <c r="AN190" s="62">
        <f ca="1">AVERAGE(OFFSET($AM$3,0,0,'Données projet'!$E$10+1,1))-AVERAGE(OFFSET($H$3,0,0,'Données projet'!$E$10+1,1))</f>
        <v>182.84082525184493</v>
      </c>
      <c r="AO190" s="62">
        <f t="shared" si="144"/>
        <v>430.83336115516937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2.3799011702192594</v>
      </c>
      <c r="AV190" s="23">
        <f>EXP(-LN(2)/25)*AV189+(1-EXP(-LN(2)/25))/(LN(2)/25)*Calculateur!AQ190*Calculateur!AS190*VLOOKUP('Données projet'!$B$10,Paramètres!$A$1:$I$89,3,0)*0.475*44/12</f>
        <v>0.56556014094671725</v>
      </c>
      <c r="AW190" s="23">
        <f>EXP(-LN(2)/2)*AW189+(1-EXP(-LN(2)/2))/(LN(2)/2)*AQ190*AT190*VLOOKUP('Données projet'!$B$10,Paramètres!$A$1:$I$89,3,0)*0.475*44/12</f>
        <v>1.0193112837404086E-22</v>
      </c>
      <c r="AX190" s="23">
        <f t="shared" si="166"/>
        <v>2.9454613111659764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>
        <f>BD190*VLOOKUP('Données projet'!$B$11,Paramètres!$A$1:$I$89,3,0)*VLOOKUP('Données projet'!$B$11,Paramètres!$A$1:$I$89,5,0)</f>
        <v>0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74.52152468677042</v>
      </c>
      <c r="BJ190" s="62">
        <f t="shared" si="146"/>
        <v>344.26747505795851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2.5984612460157277</v>
      </c>
      <c r="BQ190" s="23">
        <f>EXP(-LN(2)/25)*BQ189+(1-EXP(-LN(2)/25))/(LN(2)/25)*Calculateur!BL190*Calculateur!BN190*VLOOKUP('Données projet'!$B$11,Paramètres!$A$1:$I$89,3,0)*0.475*44/12</f>
        <v>0.18215153498125369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2.7806127809969814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21.732048000000002</v>
      </c>
      <c r="D191" s="12">
        <f t="shared" si="140"/>
        <v>6.9986488560252464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28.83150631867797</v>
      </c>
      <c r="H191" s="70">
        <f t="shared" si="110"/>
        <v>306.70596369091066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182.84082525184493</v>
      </c>
      <c r="T191" s="62">
        <f t="shared" si="142"/>
        <v>430.83336115516937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1.1368683772161603E-13</v>
      </c>
      <c r="AJ191" s="14">
        <f>AI191*VLOOKUP('Données projet'!$B$10,Paramètres!$A$1:$I$89,3,0)*VLOOKUP('Données projet'!$B$10,Paramètres!$A$1:$I$89,5,0)</f>
        <v>6.7984728957526396E-14</v>
      </c>
      <c r="AK191" s="14">
        <f t="shared" si="164"/>
        <v>1.0682447123141398E-12</v>
      </c>
      <c r="AL191" s="22">
        <f t="shared" si="165"/>
        <v>1.978932943548152E-12</v>
      </c>
      <c r="AM191" s="62">
        <f t="shared" si="113"/>
        <v>293.3333333333353</v>
      </c>
      <c r="AN191" s="62">
        <f ca="1">AVERAGE(OFFSET($AM$3,0,0,'Données projet'!$E$10+1,1))-AVERAGE(OFFSET($H$3,0,0,'Données projet'!$E$10+1,1))</f>
        <v>182.84082525184493</v>
      </c>
      <c r="AO191" s="62">
        <f t="shared" si="144"/>
        <v>430.83336115516937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2.3332327598676401</v>
      </c>
      <c r="AV191" s="23">
        <f>EXP(-LN(2)/25)*AV190+(1-EXP(-LN(2)/25))/(LN(2)/25)*Calculateur!AQ191*Calculateur!AS191*VLOOKUP('Données projet'!$B$10,Paramètres!$A$1:$I$89,3,0)*0.475*44/12</f>
        <v>0.55009486915101402</v>
      </c>
      <c r="AW191" s="23">
        <f>EXP(-LN(2)/2)*AW190+(1-EXP(-LN(2)/2))/(LN(2)/2)*AQ191*AT191*VLOOKUP('Données projet'!$B$10,Paramètres!$A$1:$I$89,3,0)*0.475*44/12</f>
        <v>7.2076192087280792E-23</v>
      </c>
      <c r="AX191" s="23">
        <f t="shared" si="166"/>
        <v>2.883327629018654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>
        <f>BD191*VLOOKUP('Données projet'!$B$11,Paramètres!$A$1:$I$89,3,0)*VLOOKUP('Données projet'!$B$11,Paramètres!$A$1:$I$89,5,0)</f>
        <v>0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74.52152468677042</v>
      </c>
      <c r="BJ191" s="62">
        <f t="shared" si="146"/>
        <v>344.26747505795851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2.547507005886223</v>
      </c>
      <c r="BQ191" s="23">
        <f>EXP(-LN(2)/25)*BQ190+(1-EXP(-LN(2)/25))/(LN(2)/25)*Calculateur!BL191*Calculateur!BN191*VLOOKUP('Données projet'!$B$11,Paramètres!$A$1:$I$89,3,0)*0.475*44/12</f>
        <v>0.17717059167825841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2.7246775975644812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21.847644000000003</v>
      </c>
      <c r="D192" s="12">
        <f t="shared" si="140"/>
        <v>7.0315323427145673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28.980506786022342</v>
      </c>
      <c r="H192" s="70">
        <f t="shared" si="110"/>
        <v>306.9645654635612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182.84082525184493</v>
      </c>
      <c r="T192" s="62">
        <f t="shared" si="142"/>
        <v>430.83336115516937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1.1368683772161603E-13</v>
      </c>
      <c r="AJ192" s="14">
        <f>AI192*VLOOKUP('Données projet'!$B$10,Paramètres!$A$1:$I$89,3,0)*VLOOKUP('Données projet'!$B$10,Paramètres!$A$1:$I$89,5,0)</f>
        <v>6.7984728957526396E-14</v>
      </c>
      <c r="AK192" s="14">
        <f t="shared" si="164"/>
        <v>1.0682447123141398E-12</v>
      </c>
      <c r="AL192" s="22">
        <f t="shared" si="165"/>
        <v>1.978932943548152E-12</v>
      </c>
      <c r="AM192" s="62">
        <f t="shared" si="113"/>
        <v>293.3333333333353</v>
      </c>
      <c r="AN192" s="62">
        <f ca="1">AVERAGE(OFFSET($AM$3,0,0,'Données projet'!$E$10+1,1))-AVERAGE(OFFSET($H$3,0,0,'Données projet'!$E$10+1,1))</f>
        <v>182.84082525184493</v>
      </c>
      <c r="AO192" s="62">
        <f t="shared" si="144"/>
        <v>430.83336115516937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2.2874794885780965</v>
      </c>
      <c r="AV192" s="23">
        <f>EXP(-LN(2)/25)*AV191+(1-EXP(-LN(2)/25))/(LN(2)/25)*Calculateur!AQ192*Calculateur!AS192*VLOOKUP('Données projet'!$B$10,Paramètres!$A$1:$I$89,3,0)*0.475*44/12</f>
        <v>0.53505249602584759</v>
      </c>
      <c r="AW192" s="23">
        <f>EXP(-LN(2)/2)*AW191+(1-EXP(-LN(2)/2))/(LN(2)/2)*AQ192*AT192*VLOOKUP('Données projet'!$B$10,Paramètres!$A$1:$I$89,3,0)*0.475*44/12</f>
        <v>5.0965564187020428E-23</v>
      </c>
      <c r="AX192" s="23">
        <f t="shared" si="166"/>
        <v>2.8225319846039438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>
        <f>BD192*VLOOKUP('Données projet'!$B$11,Paramètres!$A$1:$I$89,3,0)*VLOOKUP('Données projet'!$B$11,Paramètres!$A$1:$I$89,5,0)</f>
        <v>0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74.52152468677042</v>
      </c>
      <c r="BJ192" s="62">
        <f t="shared" si="146"/>
        <v>344.26747505795851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2.4975519473266403</v>
      </c>
      <c r="BQ192" s="23">
        <f>EXP(-LN(2)/25)*BQ191+(1-EXP(-LN(2)/25))/(LN(2)/25)*Calculateur!BL192*Calculateur!BN192*VLOOKUP('Données projet'!$B$11,Paramètres!$A$1:$I$89,3,0)*0.475*44/12</f>
        <v>0.17232585253181995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2.6698777998584604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21.963240000000003</v>
      </c>
      <c r="D193" s="12">
        <f t="shared" si="140"/>
        <v>7.064395583486907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29.129486936411425</v>
      </c>
      <c r="H193" s="70">
        <f t="shared" si="110"/>
        <v>307.22313197457305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182.84082525184493</v>
      </c>
      <c r="T193" s="62">
        <f t="shared" si="142"/>
        <v>430.83336115516937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1.1368683772161603E-13</v>
      </c>
      <c r="AJ193" s="14">
        <f>AI193*VLOOKUP('Données projet'!$B$10,Paramètres!$A$1:$I$89,3,0)*VLOOKUP('Données projet'!$B$10,Paramètres!$A$1:$I$89,5,0)</f>
        <v>6.7984728957526396E-14</v>
      </c>
      <c r="AK193" s="14">
        <f t="shared" si="164"/>
        <v>1.0682447123141398E-12</v>
      </c>
      <c r="AL193" s="22">
        <f t="shared" si="165"/>
        <v>1.978932943548152E-12</v>
      </c>
      <c r="AM193" s="62">
        <f t="shared" si="113"/>
        <v>293.3333333333353</v>
      </c>
      <c r="AN193" s="62">
        <f ca="1">AVERAGE(OFFSET($AM$3,0,0,'Données projet'!$E$10+1,1))-AVERAGE(OFFSET($H$3,0,0,'Données projet'!$E$10+1,1))</f>
        <v>182.84082525184493</v>
      </c>
      <c r="AO193" s="62">
        <f t="shared" si="144"/>
        <v>430.83336115516937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2.2426234110318011</v>
      </c>
      <c r="AV193" s="23">
        <f>EXP(-LN(2)/25)*AV192+(1-EXP(-LN(2)/25))/(LN(2)/25)*Calculateur!AQ193*Calculateur!AS193*VLOOKUP('Données projet'!$B$10,Paramètres!$A$1:$I$89,3,0)*0.475*44/12</f>
        <v>0.52042145738483292</v>
      </c>
      <c r="AW193" s="23">
        <f>EXP(-LN(2)/2)*AW192+(1-EXP(-LN(2)/2))/(LN(2)/2)*AQ193*AT193*VLOOKUP('Données projet'!$B$10,Paramètres!$A$1:$I$89,3,0)*0.475*44/12</f>
        <v>3.6038096043640396E-23</v>
      </c>
      <c r="AX193" s="23">
        <f t="shared" si="166"/>
        <v>2.763044868416634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>
        <f>BD193*VLOOKUP('Données projet'!$B$11,Paramètres!$A$1:$I$89,3,0)*VLOOKUP('Données projet'!$B$11,Paramètres!$A$1:$I$89,5,0)</f>
        <v>0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74.52152468677042</v>
      </c>
      <c r="BJ193" s="62">
        <f t="shared" si="146"/>
        <v>344.26747505795851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2.448576476995834</v>
      </c>
      <c r="BQ193" s="23">
        <f>EXP(-LN(2)/25)*BQ192+(1-EXP(-LN(2)/25))/(LN(2)/25)*Calculateur!BL193*Calculateur!BN193*VLOOKUP('Données projet'!$B$11,Paramètres!$A$1:$I$89,3,0)*0.475*44/12</f>
        <v>0.16761359303211459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2.6161900700279488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22.078836000000003</v>
      </c>
      <c r="D194" s="12">
        <f t="shared" si="140"/>
        <v>7.0972386972676755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29.278446889187919</v>
      </c>
      <c r="H194" s="70">
        <f t="shared" si="110"/>
        <v>307.48166343107459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182.84082525184493</v>
      </c>
      <c r="T194" s="62">
        <f t="shared" si="142"/>
        <v>430.83336115516937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1.1368683772161603E-13</v>
      </c>
      <c r="AJ194" s="14">
        <f>AI194*VLOOKUP('Données projet'!$B$10,Paramètres!$A$1:$I$89,3,0)*VLOOKUP('Données projet'!$B$10,Paramètres!$A$1:$I$89,5,0)</f>
        <v>6.7984728957526396E-14</v>
      </c>
      <c r="AK194" s="14">
        <f t="shared" si="164"/>
        <v>1.0682447123141398E-12</v>
      </c>
      <c r="AL194" s="22">
        <f t="shared" si="165"/>
        <v>1.978932943548152E-12</v>
      </c>
      <c r="AM194" s="62">
        <f t="shared" si="113"/>
        <v>293.3333333333353</v>
      </c>
      <c r="AN194" s="62">
        <f ca="1">AVERAGE(OFFSET($AM$3,0,0,'Données projet'!$E$10+1,1))-AVERAGE(OFFSET($H$3,0,0,'Données projet'!$E$10+1,1))</f>
        <v>182.84082525184493</v>
      </c>
      <c r="AO194" s="62">
        <f t="shared" si="144"/>
        <v>430.83336115516937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2.1986469338066827</v>
      </c>
      <c r="AV194" s="23">
        <f>EXP(-LN(2)/25)*AV193+(1-EXP(-LN(2)/25))/(LN(2)/25)*Calculateur!AQ194*Calculateur!AS194*VLOOKUP('Données projet'!$B$10,Paramètres!$A$1:$I$89,3,0)*0.475*44/12</f>
        <v>0.50619050526486964</v>
      </c>
      <c r="AW194" s="23">
        <f>EXP(-LN(2)/2)*AW193+(1-EXP(-LN(2)/2))/(LN(2)/2)*AQ194*AT194*VLOOKUP('Données projet'!$B$10,Paramètres!$A$1:$I$89,3,0)*0.475*44/12</f>
        <v>2.5482782093510214E-23</v>
      </c>
      <c r="AX194" s="23">
        <f t="shared" si="166"/>
        <v>2.7048374390715524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>
        <f>BD194*VLOOKUP('Données projet'!$B$11,Paramètres!$A$1:$I$89,3,0)*VLOOKUP('Données projet'!$B$11,Paramètres!$A$1:$I$89,5,0)</f>
        <v>0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74.52152468677042</v>
      </c>
      <c r="BJ194" s="62">
        <f t="shared" si="146"/>
        <v>344.26747505795851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2.4005613857661272</v>
      </c>
      <c r="BQ194" s="23">
        <f>EXP(-LN(2)/25)*BQ193+(1-EXP(-LN(2)/25))/(LN(2)/25)*Calculateur!BL194*Calculateur!BN194*VLOOKUP('Données projet'!$B$11,Paramètres!$A$1:$I$89,3,0)*0.475*44/12</f>
        <v>0.16303019051623566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2.5635915762823629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22.194432000000003</v>
      </c>
      <c r="D195" s="12">
        <f t="shared" si="140"/>
        <v>7.1300618016649029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29.427386762372507</v>
      </c>
      <c r="H195" s="70">
        <f t="shared" si="110"/>
        <v>307.74016003789973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182.84082525184493</v>
      </c>
      <c r="T195" s="62">
        <f t="shared" si="142"/>
        <v>430.83336115516937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1.1368683772161603E-13</v>
      </c>
      <c r="AJ195" s="14">
        <f>AI195*VLOOKUP('Données projet'!$B$10,Paramètres!$A$1:$I$89,3,0)*VLOOKUP('Données projet'!$B$10,Paramètres!$A$1:$I$89,5,0)</f>
        <v>6.7984728957526396E-14</v>
      </c>
      <c r="AK195" s="14">
        <f t="shared" si="164"/>
        <v>1.0682447123141398E-12</v>
      </c>
      <c r="AL195" s="22">
        <f t="shared" si="165"/>
        <v>1.978932943548152E-12</v>
      </c>
      <c r="AM195" s="62">
        <f t="shared" si="113"/>
        <v>293.3333333333353</v>
      </c>
      <c r="AN195" s="62">
        <f ca="1">AVERAGE(OFFSET($AM$3,0,0,'Données projet'!$E$10+1,1))-AVERAGE(OFFSET($H$3,0,0,'Données projet'!$E$10+1,1))</f>
        <v>182.84082525184493</v>
      </c>
      <c r="AO195" s="62">
        <f t="shared" si="144"/>
        <v>430.83336115516937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2.1555328084769463</v>
      </c>
      <c r="AV195" s="23">
        <f>EXP(-LN(2)/25)*AV194+(1-EXP(-LN(2)/25))/(LN(2)/25)*Calculateur!AQ195*Calculateur!AS195*VLOOKUP('Données projet'!$B$10,Paramètres!$A$1:$I$89,3,0)*0.475*44/12</f>
        <v>0.49234869927900005</v>
      </c>
      <c r="AW195" s="23">
        <f>EXP(-LN(2)/2)*AW194+(1-EXP(-LN(2)/2))/(LN(2)/2)*AQ195*AT195*VLOOKUP('Données projet'!$B$10,Paramètres!$A$1:$I$89,3,0)*0.475*44/12</f>
        <v>1.8019048021820198E-23</v>
      </c>
      <c r="AX195" s="23">
        <f t="shared" si="166"/>
        <v>2.6478815077559466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>
        <f>BD195*VLOOKUP('Données projet'!$B$11,Paramètres!$A$1:$I$89,3,0)*VLOOKUP('Données projet'!$B$11,Paramètres!$A$1:$I$89,5,0)</f>
        <v>0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74.52152468677042</v>
      </c>
      <c r="BJ195" s="62">
        <f t="shared" si="146"/>
        <v>344.26747505795851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2.3534878411891214</v>
      </c>
      <c r="BQ195" s="23">
        <f>EXP(-LN(2)/25)*BQ194+(1-EXP(-LN(2)/25))/(LN(2)/25)*Calculateur!BL195*Calculateur!BN195*VLOOKUP('Données projet'!$B$11,Paramètres!$A$1:$I$89,3,0)*0.475*44/12</f>
        <v>0.15857212138318408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2.5120599625723052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22.310028000000003</v>
      </c>
      <c r="D196" s="12">
        <f t="shared" si="140"/>
        <v>7.1628650129906113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29.576306672685323</v>
      </c>
      <c r="H196" s="70">
        <f t="shared" ref="H196:H203" si="192">(B196+E196+F196)*44/12+(C196+D196)*0.475*44/12</f>
        <v>307.99862199762532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182.84082525184493</v>
      </c>
      <c r="T196" s="62">
        <f t="shared" si="142"/>
        <v>430.83336115516937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1.1368683772161603E-13</v>
      </c>
      <c r="AJ196" s="14">
        <f>AI196*VLOOKUP('Données projet'!$B$10,Paramètres!$A$1:$I$89,3,0)*VLOOKUP('Données projet'!$B$10,Paramètres!$A$1:$I$89,5,0)</f>
        <v>6.7984728957526396E-14</v>
      </c>
      <c r="AK196" s="14">
        <f t="shared" si="164"/>
        <v>1.0682447123141398E-12</v>
      </c>
      <c r="AL196" s="22">
        <f t="shared" si="165"/>
        <v>1.978932943548152E-12</v>
      </c>
      <c r="AM196" s="62">
        <f t="shared" ref="AM196:AM203" si="193">AL196+(AD196+AE196)*44/12</f>
        <v>293.3333333333353</v>
      </c>
      <c r="AN196" s="62">
        <f ca="1">AVERAGE(OFFSET($AM$3,0,0,'Données projet'!$E$10+1,1))-AVERAGE(OFFSET($H$3,0,0,'Données projet'!$E$10+1,1))</f>
        <v>182.84082525184493</v>
      </c>
      <c r="AO196" s="62">
        <f t="shared" si="144"/>
        <v>430.83336115516937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2.1132641248479063</v>
      </c>
      <c r="AV196" s="23">
        <f>EXP(-LN(2)/25)*AV195+(1-EXP(-LN(2)/25))/(LN(2)/25)*Calculateur!AQ196*Calculateur!AS196*VLOOKUP('Données projet'!$B$10,Paramètres!$A$1:$I$89,3,0)*0.475*44/12</f>
        <v>0.47888539820572296</v>
      </c>
      <c r="AW196" s="23">
        <f>EXP(-LN(2)/2)*AW195+(1-EXP(-LN(2)/2))/(LN(2)/2)*AQ196*AT196*VLOOKUP('Données projet'!$B$10,Paramètres!$A$1:$I$89,3,0)*0.475*44/12</f>
        <v>1.2741391046755107E-23</v>
      </c>
      <c r="AX196" s="23">
        <f t="shared" si="166"/>
        <v>2.5921495230536293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>
        <f>BD196*VLOOKUP('Données projet'!$B$11,Paramètres!$A$1:$I$89,3,0)*VLOOKUP('Données projet'!$B$11,Paramètres!$A$1:$I$89,5,0)</f>
        <v>0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74.52152468677042</v>
      </c>
      <c r="BJ196" s="62">
        <f t="shared" si="146"/>
        <v>344.26747505795851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2.3073373801092432</v>
      </c>
      <c r="BQ196" s="23">
        <f>EXP(-LN(2)/25)*BQ195+(1-EXP(-LN(2)/25))/(LN(2)/25)*Calculateur!BL196*Calculateur!BN196*VLOOKUP('Données projet'!$B$11,Paramètres!$A$1:$I$89,3,0)*0.475*44/12</f>
        <v>0.15423595838501547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2.4615733384942589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22.425624000000003</v>
      </c>
      <c r="D197" s="12">
        <f t="shared" ref="D197:D203" si="202">IFERROR(EXP(-1.0587+0.8836*LN(C197)+0.284),0)</f>
        <v>7.1956484462817398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29.725206735566942</v>
      </c>
      <c r="H197" s="70">
        <f t="shared" si="192"/>
        <v>308.25704951060737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182.84082525184493</v>
      </c>
      <c r="T197" s="62">
        <f t="shared" ref="T197:T203" si="204">$T$3</f>
        <v>430.83336115516937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1.1368683772161603E-13</v>
      </c>
      <c r="AJ197" s="14">
        <f>AI197*VLOOKUP('Données projet'!$B$10,Paramètres!$A$1:$I$89,3,0)*VLOOKUP('Données projet'!$B$10,Paramètres!$A$1:$I$89,5,0)</f>
        <v>6.7984728957526396E-14</v>
      </c>
      <c r="AK197" s="14">
        <f t="shared" si="164"/>
        <v>1.0682447123141398E-12</v>
      </c>
      <c r="AL197" s="22">
        <f t="shared" si="165"/>
        <v>1.978932943548152E-12</v>
      </c>
      <c r="AM197" s="62">
        <f t="shared" si="193"/>
        <v>293.3333333333353</v>
      </c>
      <c r="AN197" s="62">
        <f ca="1">AVERAGE(OFFSET($AM$3,0,0,'Données projet'!$E$10+1,1))-AVERAGE(OFFSET($H$3,0,0,'Données projet'!$E$10+1,1))</f>
        <v>182.84082525184493</v>
      </c>
      <c r="AO197" s="62">
        <f t="shared" ref="AO197:AO203" si="205">$AO$3</f>
        <v>430.83336115516937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2.0718243043234805</v>
      </c>
      <c r="AV197" s="23">
        <f>EXP(-LN(2)/25)*AV196+(1-EXP(-LN(2)/25))/(LN(2)/25)*Calculateur!AQ197*Calculateur!AS197*VLOOKUP('Données projet'!$B$10,Paramètres!$A$1:$I$89,3,0)*0.475*44/12</f>
        <v>0.46579025180829886</v>
      </c>
      <c r="AW197" s="23">
        <f>EXP(-LN(2)/2)*AW196+(1-EXP(-LN(2)/2))/(LN(2)/2)*AQ197*AT197*VLOOKUP('Données projet'!$B$10,Paramètres!$A$1:$I$89,3,0)*0.475*44/12</f>
        <v>9.009524010910099E-24</v>
      </c>
      <c r="AX197" s="23">
        <f t="shared" si="166"/>
        <v>2.5376145561317793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>
        <f>BD197*VLOOKUP('Données projet'!$B$11,Paramètres!$A$1:$I$89,3,0)*VLOOKUP('Données projet'!$B$11,Paramètres!$A$1:$I$89,5,0)</f>
        <v>0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74.52152468677042</v>
      </c>
      <c r="BJ197" s="62">
        <f t="shared" ref="BJ197:BJ203" si="206">$BJ$3</f>
        <v>344.26747505795851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2.2620919014221399</v>
      </c>
      <c r="BQ197" s="23">
        <f>EXP(-LN(2)/25)*BQ196+(1-EXP(-LN(2)/25))/(LN(2)/25)*Calculateur!BL197*Calculateur!BN197*VLOOKUP('Données projet'!$B$11,Paramètres!$A$1:$I$89,3,0)*0.475*44/12</f>
        <v>0.15001836799206067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2.4121102694142005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22.541220000000003</v>
      </c>
      <c r="D198" s="12">
        <f t="shared" si="202"/>
        <v>7.2284122153206045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29.874087065198932</v>
      </c>
      <c r="H198" s="70">
        <f t="shared" si="192"/>
        <v>308.51544277501671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182.84082525184493</v>
      </c>
      <c r="T198" s="62">
        <f t="shared" si="204"/>
        <v>430.83336115516937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1.1368683772161603E-13</v>
      </c>
      <c r="AJ198" s="14">
        <f>AI198*VLOOKUP('Données projet'!$B$10,Paramètres!$A$1:$I$89,3,0)*VLOOKUP('Données projet'!$B$10,Paramètres!$A$1:$I$89,5,0)</f>
        <v>6.7984728957526396E-14</v>
      </c>
      <c r="AK198" s="14">
        <f t="shared" si="164"/>
        <v>1.0682447123141398E-12</v>
      </c>
      <c r="AL198" s="22">
        <f t="shared" si="165"/>
        <v>1.978932943548152E-12</v>
      </c>
      <c r="AM198" s="62">
        <f t="shared" si="193"/>
        <v>293.3333333333353</v>
      </c>
      <c r="AN198" s="62">
        <f ca="1">AVERAGE(OFFSET($AM$3,0,0,'Données projet'!$E$10+1,1))-AVERAGE(OFFSET($H$3,0,0,'Données projet'!$E$10+1,1))</f>
        <v>182.84082525184493</v>
      </c>
      <c r="AO198" s="62">
        <f t="shared" si="205"/>
        <v>430.83336115516937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2.031197093403744</v>
      </c>
      <c r="AV198" s="23">
        <f>EXP(-LN(2)/25)*AV197+(1-EXP(-LN(2)/25))/(LN(2)/25)*Calculateur!AQ198*Calculateur!AS198*VLOOKUP('Données projet'!$B$10,Paramètres!$A$1:$I$89,3,0)*0.475*44/12</f>
        <v>0.45305319287775614</v>
      </c>
      <c r="AW198" s="23">
        <f>EXP(-LN(2)/2)*AW197+(1-EXP(-LN(2)/2))/(LN(2)/2)*AQ198*AT198*VLOOKUP('Données projet'!$B$10,Paramètres!$A$1:$I$89,3,0)*0.475*44/12</f>
        <v>6.3706955233775535E-24</v>
      </c>
      <c r="AX198" s="23">
        <f t="shared" si="166"/>
        <v>2.4842502862815001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>
        <f>BD198*VLOOKUP('Données projet'!$B$11,Paramètres!$A$1:$I$89,3,0)*VLOOKUP('Données projet'!$B$11,Paramètres!$A$1:$I$89,5,0)</f>
        <v>0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74.52152468677042</v>
      </c>
      <c r="BJ198" s="62">
        <f t="shared" si="206"/>
        <v>344.26747505795851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2.2177336589750736</v>
      </c>
      <c r="BQ198" s="23">
        <f>EXP(-LN(2)/25)*BQ197+(1-EXP(-LN(2)/25))/(LN(2)/25)*Calculateur!BL198*Calculateur!BN198*VLOOKUP('Données projet'!$B$11,Paramètres!$A$1:$I$89,3,0)*0.475*44/12</f>
        <v>0.14591610783019468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2.3636497668052683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22.656816000000003</v>
      </c>
      <c r="D199" s="12">
        <f t="shared" si="202"/>
        <v>7.2611564326549747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30.022947774523946</v>
      </c>
      <c r="H199" s="70">
        <f t="shared" si="192"/>
        <v>308.7738019868741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182.84082525184493</v>
      </c>
      <c r="T199" s="62">
        <f t="shared" si="204"/>
        <v>430.83336115516937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1.1368683772161603E-13</v>
      </c>
      <c r="AJ199" s="14">
        <f>AI199*VLOOKUP('Données projet'!$B$10,Paramètres!$A$1:$I$89,3,0)*VLOOKUP('Données projet'!$B$10,Paramètres!$A$1:$I$89,5,0)</f>
        <v>6.7984728957526396E-14</v>
      </c>
      <c r="AK199" s="14">
        <f t="shared" si="164"/>
        <v>1.0682447123141398E-12</v>
      </c>
      <c r="AL199" s="22">
        <f t="shared" si="165"/>
        <v>1.978932943548152E-12</v>
      </c>
      <c r="AM199" s="62">
        <f t="shared" si="193"/>
        <v>293.3333333333353</v>
      </c>
      <c r="AN199" s="62">
        <f ca="1">AVERAGE(OFFSET($AM$3,0,0,'Données projet'!$E$10+1,1))-AVERAGE(OFFSET($H$3,0,0,'Données projet'!$E$10+1,1))</f>
        <v>182.84082525184493</v>
      </c>
      <c r="AO199" s="62">
        <f t="shared" si="205"/>
        <v>430.83336115516937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1.9913665573099915</v>
      </c>
      <c r="AV199" s="23">
        <f>EXP(-LN(2)/25)*AV198+(1-EXP(-LN(2)/25))/(LN(2)/25)*Calculateur!AQ199*Calculateur!AS199*VLOOKUP('Données projet'!$B$10,Paramètres!$A$1:$I$89,3,0)*0.475*44/12</f>
        <v>0.44066442949348195</v>
      </c>
      <c r="AW199" s="23">
        <f>EXP(-LN(2)/2)*AW198+(1-EXP(-LN(2)/2))/(LN(2)/2)*AQ199*AT199*VLOOKUP('Données projet'!$B$10,Paramètres!$A$1:$I$89,3,0)*0.475*44/12</f>
        <v>4.5047620054550495E-24</v>
      </c>
      <c r="AX199" s="23">
        <f t="shared" si="166"/>
        <v>2.4320309868034733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>
        <f>BD199*VLOOKUP('Données projet'!$B$11,Paramètres!$A$1:$I$89,3,0)*VLOOKUP('Données projet'!$B$11,Paramètres!$A$1:$I$89,5,0)</f>
        <v>0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74.52152468677042</v>
      </c>
      <c r="BJ199" s="62">
        <f t="shared" si="206"/>
        <v>344.26747505795851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2.1742452546065381</v>
      </c>
      <c r="BQ199" s="23">
        <f>EXP(-LN(2)/25)*BQ198+(1-EXP(-LN(2)/25))/(LN(2)/25)*Calculateur!BL199*Calculateur!BN199*VLOOKUP('Données projet'!$B$11,Paramètres!$A$1:$I$89,3,0)*0.475*44/12</f>
        <v>0.1419260241881834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2.3161712787947213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22.772412000000003</v>
      </c>
      <c r="D200" s="12">
        <f t="shared" si="202"/>
        <v>7.2938812096176635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30.171788975265454</v>
      </c>
      <c r="H200" s="70">
        <f t="shared" si="192"/>
        <v>309.03212734008412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182.84082525184493</v>
      </c>
      <c r="T200" s="62">
        <f t="shared" si="204"/>
        <v>430.83336115516937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1.1368683772161603E-13</v>
      </c>
      <c r="AJ200" s="14">
        <f>AI200*VLOOKUP('Données projet'!$B$10,Paramètres!$A$1:$I$89,3,0)*VLOOKUP('Données projet'!$B$10,Paramètres!$A$1:$I$89,5,0)</f>
        <v>6.7984728957526396E-14</v>
      </c>
      <c r="AK200" s="14">
        <f t="shared" si="164"/>
        <v>1.0682447123141398E-12</v>
      </c>
      <c r="AL200" s="22">
        <f t="shared" si="165"/>
        <v>1.978932943548152E-12</v>
      </c>
      <c r="AM200" s="62">
        <f t="shared" si="193"/>
        <v>293.3333333333353</v>
      </c>
      <c r="AN200" s="62">
        <f ca="1">AVERAGE(OFFSET($AM$3,0,0,'Données projet'!$E$10+1,1))-AVERAGE(OFFSET($H$3,0,0,'Données projet'!$E$10+1,1))</f>
        <v>182.84082525184493</v>
      </c>
      <c r="AO200" s="62">
        <f t="shared" si="205"/>
        <v>430.83336115516937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1.9523170737348094</v>
      </c>
      <c r="AV200" s="23">
        <f>EXP(-LN(2)/25)*AV199+(1-EXP(-LN(2)/25))/(LN(2)/25)*Calculateur!AQ200*Calculateur!AS200*VLOOKUP('Données projet'!$B$10,Paramètres!$A$1:$I$89,3,0)*0.475*44/12</f>
        <v>0.42861443749544748</v>
      </c>
      <c r="AW200" s="23">
        <f>EXP(-LN(2)/2)*AW199+(1-EXP(-LN(2)/2))/(LN(2)/2)*AQ200*AT200*VLOOKUP('Données projet'!$B$10,Paramètres!$A$1:$I$89,3,0)*0.475*44/12</f>
        <v>3.1853477616887767E-24</v>
      </c>
      <c r="AX200" s="23">
        <f t="shared" si="166"/>
        <v>2.3809315112302567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>
        <f>BD200*VLOOKUP('Données projet'!$B$11,Paramètres!$A$1:$I$89,3,0)*VLOOKUP('Données projet'!$B$11,Paramètres!$A$1:$I$89,5,0)</f>
        <v>0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74.52152468677042</v>
      </c>
      <c r="BJ200" s="62">
        <f t="shared" si="206"/>
        <v>344.26747505795851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2.131609631322362</v>
      </c>
      <c r="BQ200" s="23">
        <f>EXP(-LN(2)/25)*BQ199+(1-EXP(-LN(2)/25))/(LN(2)/25)*Calculateur!BL200*Calculateur!BN200*VLOOKUP('Données projet'!$B$11,Paramètres!$A$1:$I$89,3,0)*0.475*44/12</f>
        <v>0.13804504959319228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2.2696546809155542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22.888008000000003</v>
      </c>
      <c r="D201" s="12">
        <f t="shared" si="202"/>
        <v>7.3265866563457624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30.320610777946985</v>
      </c>
      <c r="H201" s="70">
        <f t="shared" si="192"/>
        <v>309.2904190264689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182.84082525184493</v>
      </c>
      <c r="T201" s="62">
        <f t="shared" si="204"/>
        <v>430.83336115516937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1.1368683772161603E-13</v>
      </c>
      <c r="AJ201" s="14">
        <f>AI201*VLOOKUP('Données projet'!$B$10,Paramètres!$A$1:$I$89,3,0)*VLOOKUP('Données projet'!$B$10,Paramètres!$A$1:$I$89,5,0)</f>
        <v>6.7984728957526396E-14</v>
      </c>
      <c r="AK201" s="14">
        <f t="shared" si="164"/>
        <v>1.0682447123141398E-12</v>
      </c>
      <c r="AL201" s="22">
        <f t="shared" si="165"/>
        <v>1.978932943548152E-12</v>
      </c>
      <c r="AM201" s="62">
        <f t="shared" si="193"/>
        <v>293.3333333333353</v>
      </c>
      <c r="AN201" s="62">
        <f ca="1">AVERAGE(OFFSET($AM$3,0,0,'Données projet'!$E$10+1,1))-AVERAGE(OFFSET($H$3,0,0,'Données projet'!$E$10+1,1))</f>
        <v>182.84082525184493</v>
      </c>
      <c r="AO201" s="62">
        <f t="shared" si="205"/>
        <v>430.83336115516937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1.9140333267147034</v>
      </c>
      <c r="AV201" s="23">
        <f>EXP(-LN(2)/25)*AV200+(1-EXP(-LN(2)/25))/(LN(2)/25)*Calculateur!AQ201*Calculateur!AS201*VLOOKUP('Données projet'!$B$10,Paramètres!$A$1:$I$89,3,0)*0.475*44/12</f>
        <v>0.41689395316228078</v>
      </c>
      <c r="AW201" s="23">
        <f>EXP(-LN(2)/2)*AW200+(1-EXP(-LN(2)/2))/(LN(2)/2)*AQ201*AT201*VLOOKUP('Données projet'!$B$10,Paramètres!$A$1:$I$89,3,0)*0.475*44/12</f>
        <v>2.2523810027275247E-24</v>
      </c>
      <c r="AX201" s="23">
        <f t="shared" si="166"/>
        <v>2.3309272798769842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>
        <f>BD201*VLOOKUP('Données projet'!$B$11,Paramètres!$A$1:$I$89,3,0)*VLOOKUP('Données projet'!$B$11,Paramètres!$A$1:$I$89,5,0)</f>
        <v>0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74.52152468677042</v>
      </c>
      <c r="BJ201" s="62">
        <f t="shared" si="206"/>
        <v>344.26747505795851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2.0898100666056263</v>
      </c>
      <c r="BQ201" s="23">
        <f>EXP(-LN(2)/25)*BQ200+(1-EXP(-LN(2)/25))/(LN(2)/25)*Calculateur!BL201*Calculateur!BN201*VLOOKUP('Données projet'!$B$11,Paramètres!$A$1:$I$89,3,0)*0.475*44/12</f>
        <v>0.13427020045259278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2.2240802670582189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23.003604000000003</v>
      </c>
      <c r="D202" s="12">
        <f t="shared" si="202"/>
        <v>7.3592728817994564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30.469413291911035</v>
      </c>
      <c r="H202" s="70">
        <f t="shared" si="192"/>
        <v>309.54867723580071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182.84082525184493</v>
      </c>
      <c r="T202" s="62">
        <f t="shared" si="204"/>
        <v>430.83336115516937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1.1368683772161603E-13</v>
      </c>
      <c r="AJ202" s="14">
        <f>AI202*VLOOKUP('Données projet'!$B$10,Paramètres!$A$1:$I$89,3,0)*VLOOKUP('Données projet'!$B$10,Paramètres!$A$1:$I$89,5,0)</f>
        <v>6.7984728957526396E-14</v>
      </c>
      <c r="AK202" s="14">
        <f t="shared" si="164"/>
        <v>1.0682447123141398E-12</v>
      </c>
      <c r="AL202" s="22">
        <f t="shared" si="165"/>
        <v>1.978932943548152E-12</v>
      </c>
      <c r="AM202" s="62">
        <f t="shared" si="193"/>
        <v>293.3333333333353</v>
      </c>
      <c r="AN202" s="62">
        <f ca="1">AVERAGE(OFFSET($AM$3,0,0,'Données projet'!$E$10+1,1))-AVERAGE(OFFSET($H$3,0,0,'Données projet'!$E$10+1,1))</f>
        <v>182.84082525184493</v>
      </c>
      <c r="AO202" s="62">
        <f t="shared" si="205"/>
        <v>430.83336115516937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1.8765003006228818</v>
      </c>
      <c r="AV202" s="23">
        <f>EXP(-LN(2)/25)*AV201+(1-EXP(-LN(2)/25))/(LN(2)/25)*Calculateur!AQ202*Calculateur!AS202*VLOOKUP('Données projet'!$B$10,Paramètres!$A$1:$I$89,3,0)*0.475*44/12</f>
        <v>0.40549396608955807</v>
      </c>
      <c r="AW202" s="23">
        <f>EXP(-LN(2)/2)*AW201+(1-EXP(-LN(2)/2))/(LN(2)/2)*AQ202*AT202*VLOOKUP('Données projet'!$B$10,Paramètres!$A$1:$I$89,3,0)*0.475*44/12</f>
        <v>1.5926738808443884E-24</v>
      </c>
      <c r="AX202" s="23">
        <f t="shared" si="166"/>
        <v>2.2819942667124398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>
        <f>BD202*VLOOKUP('Données projet'!$B$11,Paramètres!$A$1:$I$89,3,0)*VLOOKUP('Données projet'!$B$11,Paramètres!$A$1:$I$89,5,0)</f>
        <v>0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74.52152468677042</v>
      </c>
      <c r="BJ202" s="62">
        <f t="shared" si="206"/>
        <v>344.26747505795851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2.0488301658577686</v>
      </c>
      <c r="BQ202" s="23">
        <f>EXP(-LN(2)/25)*BQ201+(1-EXP(-LN(2)/25))/(LN(2)/25)*Calculateur!BL202*Calculateur!BN202*VLOOKUP('Données projet'!$B$11,Paramètres!$A$1:$I$89,3,0)*0.475*44/12</f>
        <v>0.13059857476025366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2.1794287406180222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23.119200000000003</v>
      </c>
      <c r="D203" s="12">
        <f t="shared" si="202"/>
        <v>7.3919399937804364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30.618196625337564</v>
      </c>
      <c r="H203" s="70">
        <f t="shared" si="192"/>
        <v>309.80690215583428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182.84082525184493</v>
      </c>
      <c r="T203" s="62">
        <f t="shared" si="204"/>
        <v>430.83336115516937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1.1368683772161603E-13</v>
      </c>
      <c r="AJ203" s="14">
        <f>AI203*VLOOKUP('Données projet'!$B$10,Paramètres!$A$1:$I$89,3,0)*VLOOKUP('Données projet'!$B$10,Paramètres!$A$1:$I$89,5,0)</f>
        <v>6.7984728957526396E-14</v>
      </c>
      <c r="AK203" s="14">
        <f t="shared" si="164"/>
        <v>1.0682447123141398E-12</v>
      </c>
      <c r="AL203" s="22">
        <f t="shared" si="165"/>
        <v>1.978932943548152E-12</v>
      </c>
      <c r="AM203" s="62">
        <f t="shared" si="193"/>
        <v>293.3333333333353</v>
      </c>
      <c r="AN203" s="62">
        <f ca="1">AVERAGE(OFFSET($AM$3,0,0,'Données projet'!$E$10+1,1))-AVERAGE(OFFSET($H$3,0,0,'Données projet'!$E$10+1,1))</f>
        <v>182.84082525184493</v>
      </c>
      <c r="AO203" s="62">
        <f t="shared" si="205"/>
        <v>430.83336115516937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1.8397032742798354</v>
      </c>
      <c r="AV203" s="23">
        <f>EXP(-LN(2)/25)*AV202+(1-EXP(-LN(2)/25))/(LN(2)/25)*Calculateur!AQ203*Calculateur!AS203*VLOOKUP('Données projet'!$B$10,Paramètres!$A$1:$I$89,3,0)*0.475*44/12</f>
        <v>0.39440571226283822</v>
      </c>
      <c r="AW203" s="23">
        <f>EXP(-LN(2)/2)*AW202+(1-EXP(-LN(2)/2))/(LN(2)/2)*AQ203*AT203*VLOOKUP('Données projet'!$B$10,Paramètres!$A$1:$I$89,3,0)*0.475*44/12</f>
        <v>1.1261905013637624E-24</v>
      </c>
      <c r="AX203" s="23">
        <f t="shared" si="166"/>
        <v>2.2341089865426738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>
        <f>BD203*VLOOKUP('Données projet'!$B$11,Paramètres!$A$1:$I$89,3,0)*VLOOKUP('Données projet'!$B$11,Paramètres!$A$1:$I$89,5,0)</f>
        <v>0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74.52152468677042</v>
      </c>
      <c r="BJ203" s="62">
        <f t="shared" si="206"/>
        <v>344.26747505795851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2.0086538559683049</v>
      </c>
      <c r="BQ203" s="23">
        <f>EXP(-LN(2)/25)*BQ202+(1-EXP(-LN(2)/25))/(LN(2)/25)*Calculateur!BL203*Calculateur!BN203*VLOOKUP('Données projet'!$B$11,Paramètres!$A$1:$I$89,3,0)*0.475*44/12</f>
        <v>0.12702734986555397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2.1356812058338588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1.4749438547769935</v>
      </c>
      <c r="BA205" s="88">
        <f>EXP(LN('Données projet'!B88)/'Données projet'!A88)</f>
        <v>1.4162627436518509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34" workbookViewId="0">
      <selection activeCell="C39" sqref="C39:C61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3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4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3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5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5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4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3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4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4" zoomScale="115" zoomScaleNormal="115" workbookViewId="0">
      <selection activeCell="C19" sqref="C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17" t="s">
        <v>191</v>
      </c>
      <c r="C2" s="318"/>
      <c r="D2" s="318"/>
      <c r="E2" s="318"/>
      <c r="F2" s="318"/>
      <c r="G2" s="319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16"/>
      <c r="C4" s="316"/>
      <c r="D4" s="316"/>
      <c r="E4" s="316"/>
      <c r="F4" s="316"/>
      <c r="G4" s="316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0.87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0.13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0.87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0.87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L28" sqref="L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17" t="s">
        <v>271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9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0.92871999999999999</v>
      </c>
      <c r="C6" s="156">
        <f ca="1">IF(OR('Données projet'!B9="",'Données projet'!C9="",'Données projet'!C9=0%),0,Calculateur!S3)</f>
        <v>182.84082525184493</v>
      </c>
      <c r="D6" s="156">
        <f>IF(OR('Données projet'!B9="",'Données projet'!C9="",'Données projet'!C9=0%),0,Calculateur!T3)</f>
        <v>430.83336115516937</v>
      </c>
      <c r="E6" s="156">
        <f ca="1">MIN(C6,D6)</f>
        <v>182.84082525184493</v>
      </c>
      <c r="F6" s="156">
        <f ca="1">E6*B6</f>
        <v>169.80793122789342</v>
      </c>
      <c r="G6" s="156">
        <f ca="1">F6*(100%-'Données projet'!$C$24)*(100%-'Données projet'!$C$25)*(100%-'Données projet'!$C$26)*(100%-'Données projet'!$C$27)</f>
        <v>129.90306738933845</v>
      </c>
      <c r="H6" s="157">
        <f>IF(OR('Données projet'!B9="",'Données projet'!C9="",'Données projet'!C9=0%),0,AVERAGE(Calculateur!$AC$3:$AC$33)*B6)</f>
        <v>13.961520162008016</v>
      </c>
      <c r="I6" s="158">
        <f>H6*(100%-'Données projet'!$C$24)*(100%-'Données projet'!$C$25)*(100%-'Données projet'!$C$26)*(100%-'Données projet'!$C$27)</f>
        <v>10.680562923936131</v>
      </c>
      <c r="J6" s="159">
        <f>IF(OR('Données projet'!B9="",'Données projet'!C9="",'Données projet'!C9=0%),0,SUM(Calculateur!$V$3:$V$33)*VLOOKUP('Données projet'!$B$9,Paramètres!$A$1:$I$89,9,0)*B6)</f>
        <v>242.19160159999998</v>
      </c>
      <c r="K6" s="160">
        <f>J6*(100%-'Données projet'!$C$24)*(100%-'Données projet'!$C$25)*(100%-'Données projet'!$C$26)*(100%-'Données projet'!$C$27)</f>
        <v>185.27657522399997</v>
      </c>
      <c r="L6" s="161">
        <f ca="1">G6+I6+K6</f>
        <v>325.86020553727451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Pin taeda</v>
      </c>
      <c r="B7" s="163">
        <f>'Données projet'!D10</f>
        <v>2.3499999999999996</v>
      </c>
      <c r="C7" s="156">
        <f ca="1">IF(OR('Données projet'!B10="",'Données projet'!C10="",'Données projet'!C10=0%),0,Calculateur!AN3)</f>
        <v>182.84082525184493</v>
      </c>
      <c r="D7" s="156">
        <f>IF(OR('Données projet'!B10="",'Données projet'!C10="",'Données projet'!C10=0%),0,Calculateur!AO3)</f>
        <v>430.83336115516937</v>
      </c>
      <c r="E7" s="156">
        <f t="shared" ref="E7:E15" ca="1" si="0">MIN(C7,D7)</f>
        <v>182.84082525184493</v>
      </c>
      <c r="F7" s="156">
        <f t="shared" ref="F7:F15" ca="1" si="1">E7*B7</f>
        <v>429.67593934183554</v>
      </c>
      <c r="G7" s="156">
        <f ca="1">F7*(100%-'Données projet'!$C$24)*(100%-'Données projet'!$C$25)*(100%-'Données projet'!$C$26)*(100%-'Données projet'!$C$27)</f>
        <v>328.7020935965042</v>
      </c>
      <c r="H7" s="164">
        <f>IF(OR('Données projet'!B10="",'Données projet'!C10="",'Données projet'!C10=0%),0,AVERAGE(Calculateur!$AX$3:$AX$33)*B7)</f>
        <v>35.32773320346157</v>
      </c>
      <c r="I7" s="158">
        <f>H7*(100%-'Données projet'!$C$24)*(100%-'Données projet'!$C$25)*(100%-'Données projet'!$C$26)*(100%-'Données projet'!$C$27)</f>
        <v>27.025715900648102</v>
      </c>
      <c r="J7" s="159">
        <f>IF(OR('Données projet'!B10="",'Données projet'!C10="",'Données projet'!C10=0%),0,SUM(Calculateur!$AQ$3:$AQ$33)*VLOOKUP('Données projet'!$B$10,Paramètres!$A$1:$I$89,9,0)*B7)</f>
        <v>446.64099999999996</v>
      </c>
      <c r="K7" s="160">
        <f>J7*(100%-'Données projet'!$C$24)*(100%-'Données projet'!$C$25)*(100%-'Données projet'!$C$26)*(100%-'Données projet'!$C$27)</f>
        <v>341.68036499999999</v>
      </c>
      <c r="L7" s="161">
        <f t="shared" ref="L7:L15" ca="1" si="2">G7+I7+K7</f>
        <v>697.40817449715223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Peuplier Taro</v>
      </c>
      <c r="B8" s="163">
        <f>'Données projet'!D11</f>
        <v>0.48127999999999999</v>
      </c>
      <c r="C8" s="156">
        <f ca="1">IF(OR('Données projet'!B11="",'Données projet'!C11="",'Données projet'!C11=0%),0,Calculateur!BI3)</f>
        <v>74.52152468677042</v>
      </c>
      <c r="D8" s="156">
        <f>IF(OR('Données projet'!B11="",'Données projet'!C11="",'Données projet'!C11=0%),0,Calculateur!BJ3)</f>
        <v>344.26747505795851</v>
      </c>
      <c r="E8" s="156">
        <f t="shared" ca="1" si="0"/>
        <v>74.52152468677042</v>
      </c>
      <c r="F8" s="156">
        <f t="shared" ca="1" si="1"/>
        <v>35.865719401248867</v>
      </c>
      <c r="G8" s="156">
        <f ca="1">F8*(100%-'Données projet'!$C$24)*(100%-'Données projet'!$C$25)*(100%-'Données projet'!$C$26)*(100%-'Données projet'!$C$27)</f>
        <v>27.437275341955385</v>
      </c>
      <c r="H8" s="164">
        <f>IF(OR('Données projet'!B11="",'Données projet'!C11="",'Données projet'!C11=0%),0,AVERAGE(Calculateur!$BS$3:$BS$33)*B8)</f>
        <v>19.661641936922337</v>
      </c>
      <c r="I8" s="158">
        <f>H8*(100%-'Données projet'!$C$24)*(100%-'Données projet'!$C$25)*(100%-'Données projet'!$C$26)*(100%-'Données projet'!$C$27)</f>
        <v>15.041156081745587</v>
      </c>
      <c r="J8" s="159">
        <f>IF(OR('Données projet'!B11="",'Données projet'!C11="",'Données projet'!C11=0%),0,SUM(Calculateur!$BL$3:$BL$33)*VLOOKUP('Données projet'!$B$11,Paramètres!$A$1:$I$89,9,0)*B8)</f>
        <v>129.87822080000001</v>
      </c>
      <c r="K8" s="160">
        <f>J8*(100%-'Données projet'!$C$24)*(100%-'Données projet'!$C$25)*(100%-'Données projet'!$C$26)*(100%-'Données projet'!$C$27)</f>
        <v>99.356838912000001</v>
      </c>
      <c r="L8" s="161">
        <f t="shared" ca="1" si="2"/>
        <v>141.83527033570095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635.34958997097783</v>
      </c>
      <c r="G16" s="175">
        <f t="shared" ca="1" si="3"/>
        <v>486.04243632779804</v>
      </c>
      <c r="H16" s="176">
        <f t="shared" si="3"/>
        <v>68.950895302391928</v>
      </c>
      <c r="I16" s="176">
        <f t="shared" si="3"/>
        <v>52.747434906329815</v>
      </c>
      <c r="J16" s="177">
        <f t="shared" si="3"/>
        <v>818.71082239999998</v>
      </c>
      <c r="K16" s="177">
        <f t="shared" si="3"/>
        <v>626.31377913599999</v>
      </c>
      <c r="L16" s="178">
        <f t="shared" ca="1" si="3"/>
        <v>1165.1036503701278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Pin taeda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Peuplier Taro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cellWatches>
    <cellWatch r="L16"/>
  </cellWatch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I4" zoomScale="90" zoomScaleNormal="90" workbookViewId="0">
      <selection activeCell="S32" sqref="S32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17" t="s">
        <v>272</v>
      </c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9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4856.2171862335963</v>
      </c>
      <c r="U10" s="190">
        <f>'Données projet'!D9</f>
        <v>0.92871999999999999</v>
      </c>
      <c r="V10" s="189">
        <f>U10*T10</f>
        <v>4510.0660251988656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taeda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4551.018417621458</v>
      </c>
      <c r="U11" s="190">
        <f>'Données projet'!D10</f>
        <v>2.3499999999999996</v>
      </c>
      <c r="V11" s="189">
        <f t="shared" ref="V11" si="0">U11*T11</f>
        <v>10694.893281410425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Peuplier Taro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7125.3029414069078</v>
      </c>
      <c r="U12" s="190">
        <f>'Données projet'!D11</f>
        <v>0.48127999999999999</v>
      </c>
      <c r="V12" s="189">
        <f t="shared" ref="V12:V19" si="1">U12*T12</f>
        <v>3429.2657996403163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>
        <v>70</v>
      </c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9.1000000000000014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>
        <v>20</v>
      </c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182.00000000000003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>
        <v>0</v>
      </c>
      <c r="I20" s="204">
        <f>(1536/0.4)+(1209/0.9)+3272/2.35</f>
        <v>6575.6737588652477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f>278+335+576</f>
        <v>1189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f t="shared" ref="I22:I25" si="2">278+335+576</f>
        <v>1189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>
        <v>10</v>
      </c>
      <c r="D23" s="194">
        <f>B23*C23</f>
        <v>340</v>
      </c>
      <c r="E23" s="206"/>
      <c r="F23" s="261"/>
      <c r="H23" s="203">
        <v>3</v>
      </c>
      <c r="I23" s="204">
        <f t="shared" si="2"/>
        <v>1189</v>
      </c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-25716.313859798909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>
        <v>15</v>
      </c>
      <c r="D24" s="194">
        <f t="shared" ref="D24:D42" si="3">B24*C24</f>
        <v>645</v>
      </c>
      <c r="E24" s="206"/>
      <c r="F24" s="264"/>
      <c r="H24" s="203">
        <v>4</v>
      </c>
      <c r="I24" s="204">
        <f t="shared" si="2"/>
        <v>1189</v>
      </c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4.0837792105340398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>
        <v>30</v>
      </c>
      <c r="D25" s="194">
        <f t="shared" si="3"/>
        <v>1680</v>
      </c>
      <c r="E25" s="206"/>
      <c r="F25" s="264"/>
      <c r="G25" s="1"/>
      <c r="H25" s="203">
        <v>5</v>
      </c>
      <c r="I25" s="204">
        <f t="shared" si="2"/>
        <v>1189</v>
      </c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1">
        <f ca="1">T23-T24</f>
        <v>-25720.397639009443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>
        <v>45</v>
      </c>
      <c r="D26" s="194">
        <f t="shared" si="3"/>
        <v>13905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est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3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3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3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3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3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3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3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4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3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4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3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4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3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4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3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4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3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4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3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4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3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4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3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4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3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4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4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4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Pin taeda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4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4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4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4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4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 t="str">
        <f>IF(O49+1&lt;=MIN('Données projet'!$E$9:$E$18),O49+1,"STOP")</f>
        <v>STOP</v>
      </c>
      <c r="P50" s="197" t="e">
        <f t="shared" si="4"/>
        <v>#VALUE!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 t="e">
        <f>IF(O50+1&lt;=MIN('Données projet'!$E$9:$E$18),O50+1,"STOP")</f>
        <v>#VALUE!</v>
      </c>
      <c r="P51" s="197" t="e">
        <f t="shared" si="4"/>
        <v>#VALUE!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 t="e">
        <f>IF(O51+1&lt;=MIN('Données projet'!$E$9:$E$18),O51+1,"STOP")</f>
        <v>#VALUE!</v>
      </c>
      <c r="P52" s="197" t="e">
        <f t="shared" si="4"/>
        <v>#VALUE!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 t="e">
        <f>IF(O52+1&lt;=MIN('Données projet'!$E$9:$E$18),O52+1,"STOP")</f>
        <v>#VALUE!</v>
      </c>
      <c r="P53" s="197" t="e">
        <f t="shared" si="4"/>
        <v>#VALUE!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12</v>
      </c>
      <c r="B54" s="193">
        <f>'Données projet'!D62</f>
        <v>34</v>
      </c>
      <c r="C54" s="204">
        <v>10</v>
      </c>
      <c r="D54" s="191">
        <f>B54*C54</f>
        <v>340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 t="e">
        <f>IF(O53+1&lt;=MIN('Données projet'!$E$9:$E$18),O53+1,"STOP")</f>
        <v>#VALUE!</v>
      </c>
      <c r="P54" s="197" t="e">
        <f t="shared" si="4"/>
        <v>#VALUE!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17</v>
      </c>
      <c r="B55" s="193">
        <f>'Données projet'!D63</f>
        <v>43</v>
      </c>
      <c r="C55" s="204">
        <v>15</v>
      </c>
      <c r="D55" s="191">
        <f t="shared" ref="D55:D73" si="5">B55*C55</f>
        <v>645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 t="e">
        <f>IF(O54+1&lt;=MIN('Données projet'!$E$9:$E$18),O54+1,"STOP")</f>
        <v>#VALUE!</v>
      </c>
      <c r="P55" s="197" t="e">
        <f t="shared" si="4"/>
        <v>#VALUE!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22</v>
      </c>
      <c r="B56" s="193">
        <f>'Données projet'!D64</f>
        <v>56</v>
      </c>
      <c r="C56" s="204">
        <v>30</v>
      </c>
      <c r="D56" s="191">
        <f t="shared" si="5"/>
        <v>1680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 t="e">
        <f>IF(O55+1&lt;=MIN('Données projet'!$E$9:$E$18),O55+1,"STOP")</f>
        <v>#VALUE!</v>
      </c>
      <c r="P56" s="197" t="e">
        <f t="shared" si="4"/>
        <v>#VALUE!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309</v>
      </c>
      <c r="C57" s="204">
        <v>45</v>
      </c>
      <c r="D57" s="191">
        <f t="shared" si="5"/>
        <v>13905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 t="e">
        <f>IF(O56+1&lt;=MIN('Données projet'!$E$9:$E$18),O56+1,"STOP")</f>
        <v>#VALUE!</v>
      </c>
      <c r="P57" s="197" t="e">
        <f t="shared" si="4"/>
        <v>#VALUE!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5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 t="e">
        <f>IF(O57+1&lt;=MIN('Données projet'!$E$9:$E$18),O57+1,"STOP")</f>
        <v>#VALUE!</v>
      </c>
      <c r="P58" s="197" t="e">
        <f t="shared" si="4"/>
        <v>#VALUE!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5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 t="e">
        <f>IF(O58+1&lt;=MIN('Données projet'!$E$9:$E$18),O58+1,"STOP")</f>
        <v>#VALUE!</v>
      </c>
      <c r="P59" s="197" t="e">
        <f t="shared" si="4"/>
        <v>#VALUE!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5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 t="e">
        <f>IF(O59+1&lt;=MIN('Données projet'!$E$9:$E$18),O59+1,"STOP")</f>
        <v>#VALUE!</v>
      </c>
      <c r="P60" s="197" t="e">
        <f t="shared" si="4"/>
        <v>#VALUE!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5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 t="e">
        <f>IF(O60+1&lt;=MIN('Données projet'!$E$9:$E$18),O60+1,"STOP")</f>
        <v>#VALUE!</v>
      </c>
      <c r="P61" s="197" t="e">
        <f t="shared" si="4"/>
        <v>#VALUE!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5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 t="e">
        <f>IF(O61+1&lt;=MIN('Données projet'!$E$9:$E$18),O61+1,"STOP")</f>
        <v>#VALUE!</v>
      </c>
      <c r="P62" s="197" t="e">
        <f t="shared" si="4"/>
        <v>#VALUE!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5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 t="e">
        <f>IF(O62+1&lt;=MIN('Données projet'!$E$9:$E$18),O62+1,"STOP")</f>
        <v>#VALUE!</v>
      </c>
      <c r="P63" s="197" t="e">
        <f t="shared" si="4"/>
        <v>#VALUE!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5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e">
        <f>IF(O63+1&lt;=MIN('Données projet'!$E$9:$E$18),O63+1,"STOP")</f>
        <v>#VALUE!</v>
      </c>
      <c r="P64" s="197" t="e">
        <f t="shared" si="4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5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6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5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6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5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6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5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6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5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6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5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6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5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6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5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6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5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6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6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6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Peuplier Taro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6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6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6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6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6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6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6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6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6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16</v>
      </c>
      <c r="B85" s="193">
        <f>'Données projet'!D88</f>
        <v>262</v>
      </c>
      <c r="C85" s="204">
        <v>55</v>
      </c>
      <c r="D85" s="191">
        <f>B85*C85</f>
        <v>14410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6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7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6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7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6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7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6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7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6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7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6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7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6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7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6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7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6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7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6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7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6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7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6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7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8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7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8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7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8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7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8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7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8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7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8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7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8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7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8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8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8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8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8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8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8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8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8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8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8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8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>
        <v>4</v>
      </c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8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>
        <v>8</v>
      </c>
      <c r="D117" s="191">
        <f t="shared" ref="D117:D135" si="9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8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>
        <v>10</v>
      </c>
      <c r="D118" s="191">
        <f t="shared" si="9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8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>
        <v>10</v>
      </c>
      <c r="D119" s="191">
        <f t="shared" si="9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8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>
        <v>10</v>
      </c>
      <c r="D120" s="191">
        <f t="shared" si="9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8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>
        <v>10</v>
      </c>
      <c r="D121" s="191">
        <f t="shared" si="9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8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>
        <v>15</v>
      </c>
      <c r="D122" s="191">
        <f t="shared" si="9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8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>
        <v>15</v>
      </c>
      <c r="D123" s="191">
        <f t="shared" si="9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8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>
        <v>15</v>
      </c>
      <c r="D124" s="191">
        <f t="shared" si="9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8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>
        <v>20</v>
      </c>
      <c r="D125" s="191">
        <f t="shared" si="9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8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>
        <v>20</v>
      </c>
      <c r="D126" s="191">
        <f t="shared" si="9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8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>
        <v>20</v>
      </c>
      <c r="D127" s="191">
        <f t="shared" si="9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8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>
        <v>20</v>
      </c>
      <c r="D128" s="191">
        <f t="shared" si="9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8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>
        <v>20</v>
      </c>
      <c r="D129" s="191">
        <f t="shared" si="9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10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>
        <v>30</v>
      </c>
      <c r="D130" s="191">
        <f t="shared" si="9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10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>
        <v>30</v>
      </c>
      <c r="D131" s="191">
        <f t="shared" si="9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10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>
        <v>40</v>
      </c>
      <c r="D132" s="191">
        <f t="shared" si="9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10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>
        <v>50</v>
      </c>
      <c r="D133" s="191">
        <f t="shared" si="9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>
        <v>70</v>
      </c>
      <c r="D134" s="191">
        <f t="shared" si="9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>
        <v>150</v>
      </c>
      <c r="D135" s="191">
        <f t="shared" si="9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>
        <v>4</v>
      </c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>
        <v>8</v>
      </c>
      <c r="D148" s="194">
        <f t="shared" ref="D148:D166" si="11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>
        <v>10</v>
      </c>
      <c r="D149" s="194">
        <f t="shared" si="11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>
        <v>10</v>
      </c>
      <c r="D150" s="194">
        <f t="shared" si="11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>
        <v>10</v>
      </c>
      <c r="D151" s="194">
        <f t="shared" si="11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>
        <v>10</v>
      </c>
      <c r="D152" s="194">
        <f t="shared" si="11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>
        <v>15</v>
      </c>
      <c r="D153" s="194">
        <f t="shared" si="11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>
        <v>15</v>
      </c>
      <c r="D154" s="194">
        <f t="shared" si="11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>
        <v>15</v>
      </c>
      <c r="D155" s="194">
        <f t="shared" si="11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>
        <v>20</v>
      </c>
      <c r="D156" s="194">
        <f t="shared" si="11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>
        <v>20</v>
      </c>
      <c r="D157" s="194">
        <f t="shared" si="11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>
        <v>20</v>
      </c>
      <c r="D158" s="194">
        <f t="shared" si="11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>
        <v>20</v>
      </c>
      <c r="D159" s="194">
        <f t="shared" si="11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>
        <v>20</v>
      </c>
      <c r="D160" s="194">
        <f t="shared" si="11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>
        <v>30</v>
      </c>
      <c r="D161" s="194">
        <f t="shared" si="11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>
        <v>30</v>
      </c>
      <c r="D162" s="194">
        <f t="shared" si="11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>
        <v>40</v>
      </c>
      <c r="D163" s="194">
        <f t="shared" si="11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>
        <v>50</v>
      </c>
      <c r="D164" s="194">
        <f t="shared" si="11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>
        <v>70</v>
      </c>
      <c r="D165" s="194">
        <f t="shared" si="11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>
        <v>150</v>
      </c>
      <c r="D166" s="194">
        <f t="shared" si="11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2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2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2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2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2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2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2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2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2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2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2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2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2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2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2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2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2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2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2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3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3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3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3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3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3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3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3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3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3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3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3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3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3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3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3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3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3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3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4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4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4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4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4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4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4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4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4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4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4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4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4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4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4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4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4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4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4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5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5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5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5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5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5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5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5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5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5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5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5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5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5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5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5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5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5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5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6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6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6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6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6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6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6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6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6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6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6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6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6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6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6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6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6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6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6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Calculateur</vt:lpstr>
      <vt:lpstr>Paramètres</vt:lpstr>
      <vt:lpstr>Scénario référence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2025-06-24T09:57:28Z</dcterms:modified>
</cp:coreProperties>
</file>