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printempsdesterresfr.sharepoint.com/sites/PrintempsdesTerres/Documents partages/i. Portefeuille/15-001 LA PARDUDE/h. Carbone/LBC - 2024/Dépôt/V2/"/>
    </mc:Choice>
  </mc:AlternateContent>
  <xr:revisionPtr revIDLastSave="123" documentId="8_{4BB4BEAD-83F2-0C4E-8234-63D3BC40C6D5}" xr6:coauthVersionLast="47" xr6:coauthVersionMax="47" xr10:uidLastSave="{2EE0087E-48EC-1848-B3C8-F1ECEFD98225}"/>
  <bookViews>
    <workbookView xWindow="5380" yWindow="540" windowWidth="50700" windowHeight="1838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0" i="6" l="1"/>
  <c r="E48" i="6"/>
  <c r="E79" i="6"/>
  <c r="I20" i="6"/>
  <c r="E17" i="6"/>
  <c r="G95" i="1" l="1"/>
  <c r="F95" i="1"/>
  <c r="G94" i="1"/>
  <c r="F94" i="1"/>
  <c r="G93" i="1"/>
  <c r="F93" i="1"/>
  <c r="G92" i="1"/>
  <c r="F92" i="1"/>
  <c r="G91" i="1"/>
  <c r="F91" i="1"/>
  <c r="G90" i="1"/>
  <c r="F90" i="1"/>
  <c r="F89" i="1"/>
  <c r="G88" i="1"/>
  <c r="F8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W18" i="2" l="1"/>
  <c r="FS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EC20" i="2"/>
  <c r="HH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A22" i="2"/>
  <c r="EC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H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C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X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B77" i="2" l="1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EC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W85" i="2" l="1"/>
  <c r="HI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S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FS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B113" i="2"/>
  <c r="FS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HG130" i="2"/>
  <c r="HI130" i="2"/>
  <c r="EX130" i="2"/>
  <c r="EB130" i="2"/>
  <c r="EW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FR144" i="2" s="1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H144" i="2" l="1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S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EB154" i="2" l="1"/>
  <c r="HH154" i="2"/>
  <c r="HG154" i="2"/>
  <c r="A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Y159" i="2"/>
  <c r="FS160" i="2"/>
  <c r="HI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HH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C162" i="2" l="1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EA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DH164" i="2"/>
  <c r="FS164" i="2"/>
  <c r="EV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EW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G178" i="2" l="1"/>
  <c r="EA178" i="2"/>
  <c r="EB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V179" i="2" l="1"/>
  <c r="EA179" i="2"/>
  <c r="DF179" i="2"/>
  <c r="HI179" i="2"/>
  <c r="EB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X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W185" i="2" l="1"/>
  <c r="EB185" i="2"/>
  <c r="HG185" i="2"/>
  <c r="HH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EC192" i="2"/>
  <c r="EA192" i="2"/>
  <c r="HI192" i="2"/>
  <c r="EW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Q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X195" i="2" l="1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79" i="2" a="1"/>
  <c r="FY79" i="2" s="1"/>
  <c r="FY109" i="2" a="1"/>
  <c r="FY109" i="2" s="1"/>
  <c r="FY50" i="2" a="1"/>
  <c r="FY50" i="2" s="1"/>
  <c r="FY54" i="2" a="1"/>
  <c r="FY54" i="2" s="1"/>
  <c r="FY146" i="2" a="1"/>
  <c r="FY146" i="2" s="1"/>
  <c r="FY165" i="2" a="1"/>
  <c r="FY165" i="2" s="1"/>
  <c r="FY35" i="2" a="1"/>
  <c r="FY35" i="2" s="1"/>
  <c r="FY29" i="2" a="1"/>
  <c r="FY29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59" i="2" a="1"/>
  <c r="FD59" i="2" s="1"/>
  <c r="BC47" i="2" a="1"/>
  <c r="BC4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84" i="2" a="1"/>
  <c r="BC84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58" i="2" l="1" a="1"/>
  <c r="BC58" i="2" s="1"/>
  <c r="BC31" i="2" a="1"/>
  <c r="BC31" i="2" s="1"/>
  <c r="BC82" i="2" a="1"/>
  <c r="BC82" i="2" s="1"/>
  <c r="BC164" i="2" a="1"/>
  <c r="BC164" i="2" s="1"/>
  <c r="BC192" i="2" a="1"/>
  <c r="BC192" i="2" s="1"/>
  <c r="BC68" i="2" a="1"/>
  <c r="BC68" i="2" s="1"/>
  <c r="BC151" i="2" a="1"/>
  <c r="BC151" i="2" s="1"/>
  <c r="BC7" i="2" a="1"/>
  <c r="BC7" i="2" s="1"/>
  <c r="BC55" i="2" a="1"/>
  <c r="BC55" i="2" s="1"/>
  <c r="BC130" i="2" a="1"/>
  <c r="BC130" i="2" s="1"/>
  <c r="BC117" i="2" a="1"/>
  <c r="BC117" i="2" s="1"/>
  <c r="BC32" i="2" a="1"/>
  <c r="BC32" i="2" s="1"/>
  <c r="BC185" i="2" a="1"/>
  <c r="BC185" i="2" s="1"/>
  <c r="BC143" i="2" a="1"/>
  <c r="BC143" i="2" s="1"/>
  <c r="BC181" i="2" a="1"/>
  <c r="BC181" i="2" s="1"/>
  <c r="BC126" i="2" a="1"/>
  <c r="BC126" i="2" s="1"/>
  <c r="FY153" i="2" a="1"/>
  <c r="FY153" i="2" s="1"/>
  <c r="FY140" i="2" a="1"/>
  <c r="FY140" i="2" s="1"/>
  <c r="FY57" i="2" a="1"/>
  <c r="FY57" i="2" s="1"/>
  <c r="BC34" i="2" a="1"/>
  <c r="BC34" i="2" s="1"/>
  <c r="FY32" i="2" a="1"/>
  <c r="FY32" i="2" s="1"/>
  <c r="FY47" i="2" a="1"/>
  <c r="FY47" i="2" s="1"/>
  <c r="BC65" i="2" a="1"/>
  <c r="BC65" i="2" s="1"/>
  <c r="FY191" i="2" a="1"/>
  <c r="FY191" i="2" s="1"/>
  <c r="FY18" i="2" a="1"/>
  <c r="FY18" i="2" s="1"/>
  <c r="FY22" i="2" a="1"/>
  <c r="FY22" i="2" s="1"/>
  <c r="FR203" i="2"/>
  <c r="BC114" i="2" a="1"/>
  <c r="BC114" i="2" s="1"/>
  <c r="FD144" i="2" a="1"/>
  <c r="FD14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AN138" i="2" l="1"/>
  <c r="AN153" i="2"/>
  <c r="AN120" i="2"/>
  <c r="AN112" i="2"/>
  <c r="AN41" i="2"/>
  <c r="AN93" i="2"/>
  <c r="AN53" i="2"/>
  <c r="AN108" i="2"/>
  <c r="AN77" i="2"/>
  <c r="AN111" i="2"/>
  <c r="AN97" i="2"/>
  <c r="AN94" i="2"/>
  <c r="AN156" i="2"/>
  <c r="AN184" i="2"/>
  <c r="AN100" i="2"/>
  <c r="AN121" i="2"/>
  <c r="AN98" i="2"/>
  <c r="AN183" i="2"/>
  <c r="AN159" i="2"/>
  <c r="AN128" i="2"/>
  <c r="AN141" i="2"/>
  <c r="AN63" i="2"/>
  <c r="AN163" i="2"/>
  <c r="AN177" i="2"/>
  <c r="AN33" i="2"/>
  <c r="AN28" i="2"/>
  <c r="AN160" i="2"/>
  <c r="AN162" i="2"/>
  <c r="AN154" i="2"/>
  <c r="AN115" i="2"/>
  <c r="AN145" i="2"/>
  <c r="AN178" i="2"/>
  <c r="AN199" i="2"/>
  <c r="AN185" i="2"/>
  <c r="AN83" i="2"/>
  <c r="AN109" i="2"/>
  <c r="AN7" i="2"/>
  <c r="AN186" i="2"/>
  <c r="AN198" i="2"/>
  <c r="AN91" i="2"/>
  <c r="AN192" i="2"/>
  <c r="AN70" i="2"/>
  <c r="AN195" i="2"/>
  <c r="AN117" i="2"/>
  <c r="AN131" i="2"/>
  <c r="AN104" i="2"/>
  <c r="AN127" i="2"/>
  <c r="AN157" i="2"/>
  <c r="AN142" i="2"/>
  <c r="AN139" i="2"/>
  <c r="AN179" i="2"/>
  <c r="AN196" i="2"/>
  <c r="AN27" i="2"/>
  <c r="AN96" i="2"/>
  <c r="AN194" i="2"/>
  <c r="AN170" i="2"/>
  <c r="AN152" i="2"/>
  <c r="AN126" i="2"/>
  <c r="AN54" i="2"/>
  <c r="AN173" i="2"/>
  <c r="AN140" i="2"/>
  <c r="AN88" i="2"/>
  <c r="AN101" i="2"/>
  <c r="AN188" i="2"/>
  <c r="AN25" i="2"/>
  <c r="AN26" i="2"/>
  <c r="AN197" i="2"/>
  <c r="AN6" i="2"/>
  <c r="AN161" i="2"/>
  <c r="AN56" i="2"/>
  <c r="AN71" i="2"/>
  <c r="AN11" i="2"/>
  <c r="AN110" i="2"/>
  <c r="AN35" i="2"/>
  <c r="AN158" i="2"/>
  <c r="AN45" i="2"/>
  <c r="AN90" i="2"/>
  <c r="AN46" i="2"/>
  <c r="AN99" i="2"/>
  <c r="AN60" i="2"/>
  <c r="AN14" i="2"/>
  <c r="AN175" i="2"/>
  <c r="AN182" i="2"/>
  <c r="AN57" i="2"/>
  <c r="AN22" i="2"/>
  <c r="AN124" i="2"/>
  <c r="AN89" i="2"/>
  <c r="AN64" i="2"/>
  <c r="AN123" i="2"/>
  <c r="AN151" i="2"/>
  <c r="AN8" i="2"/>
  <c r="AN73" i="2"/>
  <c r="AN49" i="2"/>
  <c r="AN84" i="2"/>
  <c r="AN105" i="2"/>
  <c r="AN17" i="2"/>
  <c r="AN37" i="2"/>
  <c r="AN62" i="2"/>
  <c r="AN19" i="2"/>
  <c r="AN149" i="2"/>
  <c r="AN50" i="2"/>
  <c r="AN181" i="2"/>
  <c r="AN169" i="2"/>
  <c r="AN55" i="2"/>
  <c r="AN193" i="2"/>
  <c r="AN130" i="2"/>
  <c r="AN176" i="2"/>
  <c r="AN95" i="2"/>
  <c r="AN129" i="2"/>
  <c r="AN29" i="2"/>
  <c r="AN58" i="2"/>
  <c r="AN85" i="2"/>
  <c r="AN4" i="2"/>
  <c r="AN189" i="2"/>
  <c r="AN87" i="2"/>
  <c r="AN137" i="2"/>
  <c r="AN67" i="2"/>
  <c r="AN79" i="2"/>
  <c r="AN164" i="2"/>
  <c r="AN201" i="2"/>
  <c r="AN21" i="2"/>
  <c r="AN42" i="2"/>
  <c r="AN69" i="2"/>
  <c r="AN155" i="2"/>
  <c r="AN72" i="2"/>
  <c r="AN107" i="2"/>
  <c r="AN133" i="2"/>
  <c r="AN116" i="2"/>
  <c r="AN144" i="2"/>
  <c r="AN102" i="2"/>
  <c r="AN68" i="2"/>
  <c r="AN80" i="2"/>
  <c r="AN76" i="2"/>
  <c r="AN52" i="2"/>
  <c r="AN61" i="2"/>
  <c r="AN166" i="2"/>
  <c r="AN190" i="2"/>
  <c r="AN86" i="2"/>
  <c r="AN23" i="2"/>
  <c r="AN106" i="2"/>
  <c r="AN24" i="2"/>
  <c r="AN75" i="2"/>
  <c r="AN44" i="2"/>
  <c r="AN16" i="2"/>
  <c r="AN13" i="2"/>
  <c r="AN148" i="2"/>
  <c r="AN113" i="2"/>
  <c r="AN202" i="2"/>
  <c r="AN172" i="2"/>
  <c r="AN20" i="2"/>
  <c r="AN12" i="2"/>
  <c r="AN18" i="2"/>
  <c r="AN165" i="2"/>
  <c r="AN147" i="2"/>
  <c r="AN66" i="2"/>
  <c r="AN39" i="2"/>
  <c r="AN200" i="2"/>
  <c r="AN9" i="2"/>
  <c r="AN125" i="2"/>
  <c r="AN146" i="2"/>
  <c r="AN3" i="2"/>
  <c r="C7" i="4" s="1"/>
  <c r="E7" i="4" s="1"/>
  <c r="F7" i="4" s="1"/>
  <c r="G7" i="4" s="1"/>
  <c r="L7" i="4" s="1"/>
  <c r="AN167" i="2"/>
  <c r="AN38" i="2"/>
  <c r="AN82" i="2"/>
  <c r="AN191" i="2"/>
  <c r="AN51" i="2"/>
  <c r="AN40" i="2"/>
  <c r="AN168" i="2"/>
  <c r="AN143" i="2"/>
  <c r="AN31" i="2"/>
  <c r="AN118" i="2"/>
  <c r="AN30" i="2"/>
  <c r="AN74" i="2"/>
  <c r="AN136" i="2"/>
  <c r="AN134" i="2"/>
  <c r="AN65" i="2"/>
  <c r="AN92" i="2"/>
  <c r="AN78" i="2"/>
  <c r="AN15" i="2"/>
  <c r="AN32" i="2"/>
  <c r="AN180" i="2"/>
  <c r="AN103" i="2"/>
  <c r="AN171" i="2"/>
  <c r="AN10" i="2"/>
  <c r="AN43" i="2"/>
  <c r="AN34" i="2"/>
  <c r="AN48" i="2"/>
  <c r="AN81" i="2"/>
  <c r="AN135" i="2"/>
  <c r="AN114" i="2"/>
  <c r="AN122" i="2"/>
  <c r="AN5" i="2"/>
  <c r="AN119" i="2"/>
  <c r="AN36" i="2"/>
  <c r="AN59" i="2"/>
  <c r="AN174" i="2"/>
  <c r="AN203" i="2"/>
  <c r="AN47" i="2"/>
  <c r="AN187" i="2"/>
  <c r="AN132" i="2"/>
  <c r="AN150" i="2"/>
  <c r="FE182" i="2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<sst xmlns="http://schemas.openxmlformats.org/spreadsheetml/2006/main" count="1176" uniqueCount="325">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</sst>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5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5">
    <cellStyle name="Lien hypertexte" xfId="2" builtinId="8"/>
    <cellStyle name="Normal" xfId="0" builtinId="0"/>
    <cellStyle name="Normal 2" xfId="3" xr:uid="{CF0805BD-E59C-C846-950D-48BDE515A17E}"/>
    <cellStyle name="Pourcentage" xfId="1" builtinId="5"/>
    <cellStyle name="Pourcentage 2" xfId="4" xr:uid="{8857C1E5-896C-7645-822D-7748FCB4DD96}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1.8270336233401288</c:v>
                </c:pt>
                <c:pt idx="2">
                  <c:v>2.2966461280551771</c:v>
                </c:pt>
                <c:pt idx="3">
                  <c:v>2.8874449310832699</c:v>
                </c:pt>
                <c:pt idx="4">
                  <c:v>3.6308197318237614</c:v>
                </c:pt>
                <c:pt idx="5">
                  <c:v>4.5663191780071211</c:v>
                </c:pt>
                <c:pt idx="6">
                  <c:v>5.7437784431951941</c:v>
                </c:pt>
                <c:pt idx="7">
                  <c:v>7.2260032605630302</c:v>
                </c:pt>
                <c:pt idx="8">
                  <c:v>9.0921563491235773</c:v>
                </c:pt>
                <c:pt idx="9">
                  <c:v>11.44203053714981</c:v>
                </c:pt>
                <c:pt idx="10">
                  <c:v>14.401441366562629</c:v>
                </c:pt>
                <c:pt idx="11">
                  <c:v>18.129033221096144</c:v>
                </c:pt>
                <c:pt idx="12">
                  <c:v>22.824870435923287</c:v>
                </c:pt>
                <c:pt idx="13">
                  <c:v>28.741282686229351</c:v>
                </c:pt>
                <c:pt idx="14">
                  <c:v>36.196557616134577</c:v>
                </c:pt>
                <c:pt idx="15">
                  <c:v>45.592229986247958</c:v>
                </c:pt>
                <c:pt idx="16">
                  <c:v>57.434914225679911</c:v>
                </c:pt>
                <c:pt idx="17">
                  <c:v>72.363877098931582</c:v>
                </c:pt>
                <c:pt idx="18">
                  <c:v>91.185863062087776</c:v>
                </c:pt>
                <c:pt idx="19">
                  <c:v>114.9190842732109</c:v>
                </c:pt>
                <c:pt idx="20">
                  <c:v>144.84879226342497</c:v>
                </c:pt>
                <c:pt idx="21">
                  <c:v>182.59748696177417</c:v>
                </c:pt>
                <c:pt idx="22">
                  <c:v>205.57216811118852</c:v>
                </c:pt>
                <c:pt idx="23">
                  <c:v>228.48746894478305</c:v>
                </c:pt>
                <c:pt idx="24">
                  <c:v>251.35018250509077</c:v>
                </c:pt>
                <c:pt idx="25">
                  <c:v>274.16576374261041</c:v>
                </c:pt>
                <c:pt idx="26">
                  <c:v>296.93868498913014</c:v>
                </c:pt>
                <c:pt idx="27">
                  <c:v>319.67267638199866</c:v>
                </c:pt>
                <c:pt idx="28">
                  <c:v>342.37089418257466</c:v>
                </c:pt>
                <c:pt idx="29">
                  <c:v>289.5804367740414</c:v>
                </c:pt>
                <c:pt idx="30">
                  <c:v>313.35190006172803</c:v>
                </c:pt>
                <c:pt idx="31">
                  <c:v>337.08338071755128</c:v>
                </c:pt>
                <c:pt idx="32">
                  <c:v>360.77808747233183</c:v>
                </c:pt>
                <c:pt idx="33">
                  <c:v>384.43877330198114</c:v>
                </c:pt>
                <c:pt idx="34">
                  <c:v>408.06782480829406</c:v>
                </c:pt>
                <c:pt idx="35">
                  <c:v>431.66732980483766</c:v>
                </c:pt>
                <c:pt idx="36">
                  <c:v>368.10109675197208</c:v>
                </c:pt>
                <c:pt idx="37">
                  <c:v>391.41168395580547</c:v>
                </c:pt>
                <c:pt idx="38">
                  <c:v>414.6921671769374</c:v>
                </c:pt>
                <c:pt idx="39">
                  <c:v>437.94447268119819</c:v>
                </c:pt>
                <c:pt idx="40">
                  <c:v>461.17030563777286</c:v>
                </c:pt>
                <c:pt idx="41">
                  <c:v>484.37118557987498</c:v>
                </c:pt>
                <c:pt idx="42">
                  <c:v>507.54847471808051</c:v>
                </c:pt>
                <c:pt idx="43">
                  <c:v>438.45334520685856</c:v>
                </c:pt>
                <c:pt idx="44">
                  <c:v>460.66198322185556</c:v>
                </c:pt>
                <c:pt idx="45">
                  <c:v>482.84777825479341</c:v>
                </c:pt>
                <c:pt idx="46">
                  <c:v>505.01192662355203</c:v>
                </c:pt>
                <c:pt idx="47">
                  <c:v>527.15551115917788</c:v>
                </c:pt>
                <c:pt idx="48">
                  <c:v>549.27951638276431</c:v>
                </c:pt>
                <c:pt idx="49">
                  <c:v>571.38484111103946</c:v>
                </c:pt>
                <c:pt idx="50">
                  <c:v>497.23149189337681</c:v>
                </c:pt>
                <c:pt idx="51">
                  <c:v>517.69200252251403</c:v>
                </c:pt>
                <c:pt idx="52">
                  <c:v>538.13546036834725</c:v>
                </c:pt>
                <c:pt idx="53">
                  <c:v>558.56260388366002</c:v>
                </c:pt>
                <c:pt idx="54">
                  <c:v>578.97411315040551</c:v>
                </c:pt>
                <c:pt idx="55">
                  <c:v>599.37061643041295</c:v>
                </c:pt>
                <c:pt idx="56">
                  <c:v>619.75269577860888</c:v>
                </c:pt>
                <c:pt idx="57">
                  <c:v>537.79768652493578</c:v>
                </c:pt>
                <c:pt idx="58">
                  <c:v>556.19994499698703</c:v>
                </c:pt>
                <c:pt idx="59">
                  <c:v>574.58945551907846</c:v>
                </c:pt>
                <c:pt idx="60">
                  <c:v>592.96668321961113</c:v>
                </c:pt>
                <c:pt idx="61">
                  <c:v>611.33206206789123</c:v>
                </c:pt>
                <c:pt idx="62">
                  <c:v>629.68599785389995</c:v>
                </c:pt>
                <c:pt idx="63">
                  <c:v>648.02887080282289</c:v>
                </c:pt>
                <c:pt idx="64">
                  <c:v>565.31190831763899</c:v>
                </c:pt>
                <c:pt idx="65">
                  <c:v>581.67201932756836</c:v>
                </c:pt>
                <c:pt idx="66">
                  <c:v>598.02253874306132</c:v>
                </c:pt>
                <c:pt idx="67">
                  <c:v>614.36376557442816</c:v>
                </c:pt>
                <c:pt idx="68">
                  <c:v>630.69598163909245</c:v>
                </c:pt>
                <c:pt idx="69">
                  <c:v>647.01945297892712</c:v>
                </c:pt>
                <c:pt idx="70">
                  <c:v>663.33443112721886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4.5072748004691539</c:v>
                </c:pt>
                <c:pt idx="2">
                  <c:v>8.8044025208429719</c:v>
                </c:pt>
                <c:pt idx="3">
                  <c:v>13.033663283069531</c:v>
                </c:pt>
                <c:pt idx="4">
                  <c:v>17.221089273204196</c:v>
                </c:pt>
                <c:pt idx="5">
                  <c:v>21.378479131358745</c:v>
                </c:pt>
                <c:pt idx="6">
                  <c:v>25.512563294459923</c:v>
                </c:pt>
                <c:pt idx="7">
                  <c:v>29.627680614958262</c:v>
                </c:pt>
                <c:pt idx="8">
                  <c:v>33.726853274883347</c:v>
                </c:pt>
                <c:pt idx="9">
                  <c:v>37.812302616472174</c:v>
                </c:pt>
                <c:pt idx="10">
                  <c:v>41.885727391390851</c:v>
                </c:pt>
                <c:pt idx="11">
                  <c:v>45.948466940528562</c:v>
                </c:pt>
                <c:pt idx="12">
                  <c:v>50.00160312094232</c:v>
                </c:pt>
                <c:pt idx="13">
                  <c:v>54.046027198170684</c:v>
                </c:pt>
                <c:pt idx="14">
                  <c:v>58.082485530805052</c:v>
                </c:pt>
                <c:pt idx="15">
                  <c:v>62.111611813038422</c:v>
                </c:pt>
                <c:pt idx="16">
                  <c:v>66.133950466370564</c:v>
                </c:pt>
                <c:pt idx="17">
                  <c:v>70.149974013263474</c:v>
                </c:pt>
                <c:pt idx="18">
                  <c:v>74.160096244932106</c:v>
                </c:pt>
                <c:pt idx="19">
                  <c:v>78.164682379068338</c:v>
                </c:pt>
                <c:pt idx="20">
                  <c:v>82.164057018091427</c:v>
                </c:pt>
                <c:pt idx="21">
                  <c:v>86.158510470515978</c:v>
                </c:pt>
                <c:pt idx="22">
                  <c:v>90.148303834134651</c:v>
                </c:pt>
                <c:pt idx="23">
                  <c:v>94.133673128860323</c:v>
                </c:pt>
                <c:pt idx="24">
                  <c:v>98.114832690532054</c:v>
                </c:pt>
                <c:pt idx="25">
                  <c:v>102.09197798314808</c:v>
                </c:pt>
                <c:pt idx="26">
                  <c:v>106.06528794847596</c:v>
                </c:pt>
                <c:pt idx="27">
                  <c:v>110.03492698401654</c:v>
                </c:pt>
                <c:pt idx="28">
                  <c:v>114.0010466196989</c:v>
                </c:pt>
                <c:pt idx="29">
                  <c:v>117.96378694831624</c:v>
                </c:pt>
                <c:pt idx="30">
                  <c:v>121.9232778531174</c:v>
                </c:pt>
                <c:pt idx="31">
                  <c:v>125.87964006712117</c:v>
                </c:pt>
                <c:pt idx="32">
                  <c:v>129.83298609190561</c:v>
                </c:pt>
                <c:pt idx="33">
                  <c:v>133.78342099832221</c:v>
                </c:pt>
                <c:pt idx="34">
                  <c:v>137.73104312742694</c:v>
                </c:pt>
                <c:pt idx="35">
                  <c:v>141.67594470663133</c:v>
                </c:pt>
                <c:pt idx="36">
                  <c:v>145.61821239345747</c:v>
                </c:pt>
                <c:pt idx="37">
                  <c:v>149.55792775717688</c:v>
                </c:pt>
                <c:pt idx="38">
                  <c:v>153.49516770691636</c:v>
                </c:pt>
                <c:pt idx="39">
                  <c:v>157.43000487343213</c:v>
                </c:pt>
                <c:pt idx="40">
                  <c:v>161.362507950626</c:v>
                </c:pt>
                <c:pt idx="41">
                  <c:v>165.29274200194843</c:v>
                </c:pt>
                <c:pt idx="42">
                  <c:v>169.22076873606747</c:v>
                </c:pt>
                <c:pt idx="43">
                  <c:v>173.14664675554295</c:v>
                </c:pt>
                <c:pt idx="44">
                  <c:v>177.07043178171759</c:v>
                </c:pt>
                <c:pt idx="45">
                  <c:v>180.99217685858619</c:v>
                </c:pt>
                <c:pt idx="46">
                  <c:v>184.91193253803269</c:v>
                </c:pt>
                <c:pt idx="47">
                  <c:v>188.82974704850497</c:v>
                </c:pt>
                <c:pt idx="48">
                  <c:v>192.74566644892982</c:v>
                </c:pt>
                <c:pt idx="49">
                  <c:v>196.65973476943884</c:v>
                </c:pt>
                <c:pt idx="50">
                  <c:v>200.57199414028256</c:v>
                </c:pt>
                <c:pt idx="51">
                  <c:v>204.48248491014036</c:v>
                </c:pt>
                <c:pt idx="52">
                  <c:v>208.39124575488827</c:v>
                </c:pt>
                <c:pt idx="53">
                  <c:v>212.29831377776432</c:v>
                </c:pt>
                <c:pt idx="54">
                  <c:v>216.20372460175972</c:v>
                </c:pt>
                <c:pt idx="55">
                  <c:v>220.10751245497329</c:v>
                </c:pt>
                <c:pt idx="56">
                  <c:v>224.00971024958213</c:v>
                </c:pt>
                <c:pt idx="57">
                  <c:v>169.22076873606747</c:v>
                </c:pt>
                <c:pt idx="58">
                  <c:v>179.03155609796639</c:v>
                </c:pt>
                <c:pt idx="59">
                  <c:v>188.82974704850497</c:v>
                </c:pt>
                <c:pt idx="60">
                  <c:v>198.6160880113396</c:v>
                </c:pt>
                <c:pt idx="61">
                  <c:v>208.39124575488827</c:v>
                </c:pt>
                <c:pt idx="62">
                  <c:v>218.15581931274573</c:v>
                </c:pt>
                <c:pt idx="63">
                  <c:v>227.91034965501251</c:v>
                </c:pt>
                <c:pt idx="64">
                  <c:v>237.65532761500836</c:v>
                </c:pt>
                <c:pt idx="65">
                  <c:v>179.27666110179848</c:v>
                </c:pt>
                <c:pt idx="66">
                  <c:v>187.36079111848406</c:v>
                </c:pt>
                <c:pt idx="67">
                  <c:v>195.43678468367617</c:v>
                </c:pt>
                <c:pt idx="68">
                  <c:v>203.5050258813136</c:v>
                </c:pt>
                <c:pt idx="69">
                  <c:v>211.56586580995395</c:v>
                </c:pt>
                <c:pt idx="70">
                  <c:v>219.61962659237349</c:v>
                </c:pt>
                <c:pt idx="71">
                  <c:v>227.6666047654077</c:v>
                </c:pt>
                <c:pt idx="72">
                  <c:v>235.70707416481403</c:v>
                </c:pt>
                <c:pt idx="73">
                  <c:v>187.95928696563521</c:v>
                </c:pt>
                <c:pt idx="74">
                  <c:v>194.92037463817258</c:v>
                </c:pt>
                <c:pt idx="75">
                  <c:v>201.87568563144623</c:v>
                </c:pt>
                <c:pt idx="76">
                  <c:v>208.82544735623617</c:v>
                </c:pt>
                <c:pt idx="77">
                  <c:v>215.76987082685102</c:v>
                </c:pt>
                <c:pt idx="78">
                  <c:v>222.70915234485017</c:v>
                </c:pt>
                <c:pt idx="79">
                  <c:v>229.64347496163623</c:v>
                </c:pt>
                <c:pt idx="80">
                  <c:v>236.57300975490637</c:v>
                </c:pt>
                <c:pt idx="81">
                  <c:v>243.49791694752579</c:v>
                </c:pt>
                <c:pt idx="82">
                  <c:v>199.0507722798524</c:v>
                </c:pt>
                <c:pt idx="83">
                  <c:v>205.35124660062152</c:v>
                </c:pt>
                <c:pt idx="84">
                  <c:v>211.64725180154133</c:v>
                </c:pt>
                <c:pt idx="85">
                  <c:v>217.93893980623682</c:v>
                </c:pt>
                <c:pt idx="86">
                  <c:v>224.22645303580273</c:v>
                </c:pt>
                <c:pt idx="87">
                  <c:v>230.50992525899264</c:v>
                </c:pt>
                <c:pt idx="88">
                  <c:v>236.78948234472591</c:v>
                </c:pt>
                <c:pt idx="89">
                  <c:v>243.06524293048486</c:v>
                </c:pt>
                <c:pt idx="90">
                  <c:v>249.33731901797856</c:v>
                </c:pt>
                <c:pt idx="91">
                  <c:v>212.49362338740025</c:v>
                </c:pt>
                <c:pt idx="92">
                  <c:v>218.54618993520387</c:v>
                </c:pt>
                <c:pt idx="93">
                  <c:v>224.59490474953455</c:v>
                </c:pt>
                <c:pt idx="94">
                  <c:v>230.63988637237398</c:v>
                </c:pt>
                <c:pt idx="95">
                  <c:v>236.68124661431304</c:v>
                </c:pt>
                <c:pt idx="96">
                  <c:v>242.71909110275354</c:v>
                </c:pt>
                <c:pt idx="97">
                  <c:v>248.75351977263503</c:v>
                </c:pt>
                <c:pt idx="98">
                  <c:v>254.78462730699025</c:v>
                </c:pt>
                <c:pt idx="99">
                  <c:v>260.81250353355159</c:v>
                </c:pt>
                <c:pt idx="100">
                  <c:v>266.83723378272924</c:v>
                </c:pt>
                <c:pt idx="101">
                  <c:v>230.63988637237392</c:v>
                </c:pt>
                <c:pt idx="102">
                  <c:v>237.26570616105383</c:v>
                </c:pt>
                <c:pt idx="103">
                  <c:v>243.8873086110334</c:v>
                </c:pt>
                <c:pt idx="104">
                  <c:v>250.50482454301491</c:v>
                </c:pt>
                <c:pt idx="105">
                  <c:v>257.11837729187437</c:v>
                </c:pt>
                <c:pt idx="106">
                  <c:v>263.72808332087544</c:v>
                </c:pt>
                <c:pt idx="107">
                  <c:v>270.33405277101605</c:v>
                </c:pt>
                <c:pt idx="108">
                  <c:v>276.93638995381087</c:v>
                </c:pt>
                <c:pt idx="109">
                  <c:v>283.53519379457344</c:v>
                </c:pt>
                <c:pt idx="110">
                  <c:v>290.13055823223016</c:v>
                </c:pt>
                <c:pt idx="111">
                  <c:v>249.49947996705433</c:v>
                </c:pt>
                <c:pt idx="112">
                  <c:v>255.49776871177539</c:v>
                </c:pt>
                <c:pt idx="113">
                  <c:v>261.49287101457122</c:v>
                </c:pt>
                <c:pt idx="114">
                  <c:v>267.48487034615312</c:v>
                </c:pt>
                <c:pt idx="115">
                  <c:v>273.47384612678246</c:v>
                </c:pt>
                <c:pt idx="116">
                  <c:v>279.4598740092253</c:v>
                </c:pt>
                <c:pt idx="117">
                  <c:v>285.4430261361685</c:v>
                </c:pt>
                <c:pt idx="118">
                  <c:v>291.42337137490091</c:v>
                </c:pt>
                <c:pt idx="119">
                  <c:v>297.40097553170216</c:v>
                </c:pt>
                <c:pt idx="120">
                  <c:v>303.37590154807668</c:v>
                </c:pt>
                <c:pt idx="121">
                  <c:v>309.34820968070522</c:v>
                </c:pt>
                <c:pt idx="122">
                  <c:v>315.31795766675879</c:v>
                </c:pt>
                <c:pt idx="123">
                  <c:v>272.82653272164822</c:v>
                </c:pt>
                <c:pt idx="124">
                  <c:v>278.81287575730846</c:v>
                </c:pt>
                <c:pt idx="125">
                  <c:v>284.796335400168</c:v>
                </c:pt>
                <c:pt idx="126">
                  <c:v>290.77698086093443</c:v>
                </c:pt>
                <c:pt idx="127">
                  <c:v>296.75487826704023</c:v>
                </c:pt>
                <c:pt idx="128">
                  <c:v>302.73009086074438</c:v>
                </c:pt>
                <c:pt idx="129">
                  <c:v>308.70267918076132</c:v>
                </c:pt>
                <c:pt idx="130">
                  <c:v>314.67270122908354</c:v>
                </c:pt>
                <c:pt idx="131">
                  <c:v>320.64021262447204</c:v>
                </c:pt>
                <c:pt idx="132">
                  <c:v>326.60526674391076</c:v>
                </c:pt>
                <c:pt idx="133">
                  <c:v>332.56791485317893</c:v>
                </c:pt>
                <c:pt idx="134">
                  <c:v>338.52820622756116</c:v>
                </c:pt>
                <c:pt idx="135">
                  <c:v>294.28557399448806</c:v>
                </c:pt>
                <c:pt idx="136">
                  <c:v>300.37723487418265</c:v>
                </c:pt>
                <c:pt idx="137">
                  <c:v>306.46614472305896</c:v>
                </c:pt>
                <c:pt idx="138">
                  <c:v>312.55236598048333</c:v>
                </c:pt>
                <c:pt idx="139">
                  <c:v>318.63595845261102</c:v>
                </c:pt>
                <c:pt idx="140">
                  <c:v>324.71697947271974</c:v>
                </c:pt>
                <c:pt idx="141">
                  <c:v>330.79548404889437</c:v>
                </c:pt>
                <c:pt idx="142">
                  <c:v>336.87152500028151</c:v>
                </c:pt>
                <c:pt idx="143">
                  <c:v>342.94515308298918</c:v>
                </c:pt>
                <c:pt idx="144">
                  <c:v>349.01641710659669</c:v>
                </c:pt>
                <c:pt idx="145">
                  <c:v>355.08536404212606</c:v>
                </c:pt>
                <c:pt idx="146">
                  <c:v>361.15203912224183</c:v>
                </c:pt>
                <c:pt idx="147">
                  <c:v>367.2164859343597</c:v>
                </c:pt>
                <c:pt idx="148">
                  <c:v>373.27874650728103</c:v>
                </c:pt>
                <c:pt idx="149">
                  <c:v>322.6441895503022</c:v>
                </c:pt>
                <c:pt idx="150">
                  <c:v>329.96674328618491</c:v>
                </c:pt>
                <c:pt idx="151">
                  <c:v>337.28571209192722</c:v>
                </c:pt>
                <c:pt idx="152">
                  <c:v>344.60118480550773</c:v>
                </c:pt>
                <c:pt idx="153">
                  <c:v>351.91324618178578</c:v>
                </c:pt>
                <c:pt idx="154">
                  <c:v>359.22197716298575</c:v>
                </c:pt>
                <c:pt idx="155">
                  <c:v>366.52745512600387</c:v>
                </c:pt>
                <c:pt idx="156">
                  <c:v>373.82975410895733</c:v>
                </c:pt>
                <c:pt idx="157">
                  <c:v>381.12894501909619</c:v>
                </c:pt>
                <c:pt idx="158">
                  <c:v>388.42509582395013</c:v>
                </c:pt>
                <c:pt idx="159">
                  <c:v>395.71827172735294</c:v>
                </c:pt>
                <c:pt idx="160">
                  <c:v>403.0085353318089</c:v>
                </c:pt>
                <c:pt idx="161">
                  <c:v>410.29594678849054</c:v>
                </c:pt>
                <c:pt idx="162">
                  <c:v>417.5805639360197</c:v>
                </c:pt>
                <c:pt idx="163">
                  <c:v>353.33847778365225</c:v>
                </c:pt>
                <c:pt idx="164">
                  <c:v>360.41680409705549</c:v>
                </c:pt>
                <c:pt idx="165">
                  <c:v>367.49209034996039</c:v>
                </c:pt>
                <c:pt idx="166">
                  <c:v>374.56440337970315</c:v>
                </c:pt>
                <c:pt idx="167">
                  <c:v>381.63380729156194</c:v>
                </c:pt>
                <c:pt idx="168">
                  <c:v>388.70036362009415</c:v>
                </c:pt>
                <c:pt idx="169">
                  <c:v>395.76413147812082</c:v>
                </c:pt>
                <c:pt idx="170">
                  <c:v>402.82516769451541</c:v>
                </c:pt>
                <c:pt idx="171">
                  <c:v>409.88352694182055</c:v>
                </c:pt>
                <c:pt idx="172">
                  <c:v>416.93926185461305</c:v>
                </c:pt>
                <c:pt idx="173">
                  <c:v>423.99242313943409</c:v>
                </c:pt>
                <c:pt idx="174">
                  <c:v>431.04305967702015</c:v>
                </c:pt>
                <c:pt idx="175">
                  <c:v>438.09121861749276</c:v>
                </c:pt>
                <c:pt idx="176">
                  <c:v>445.13694546910187</c:v>
                </c:pt>
                <c:pt idx="177">
                  <c:v>452.18028418105382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2.0795372090593456</c:v>
                </c:pt>
                <c:pt idx="2">
                  <c:v>2.6767360435395098</c:v>
                </c:pt>
                <c:pt idx="3">
                  <c:v>3.4461288787733699</c:v>
                </c:pt>
                <c:pt idx="4">
                  <c:v>4.4375534869622877</c:v>
                </c:pt>
                <c:pt idx="5">
                  <c:v>5.7153230288444377</c:v>
                </c:pt>
                <c:pt idx="6">
                  <c:v>7.3624441813975059</c:v>
                </c:pt>
                <c:pt idx="7">
                  <c:v>9.4860681256370967</c:v>
                </c:pt>
                <c:pt idx="8">
                  <c:v>12.224535721998178</c:v>
                </c:pt>
                <c:pt idx="9">
                  <c:v>15.75648436384756</c:v>
                </c:pt>
                <c:pt idx="10">
                  <c:v>20.312621425545984</c:v>
                </c:pt>
                <c:pt idx="11">
                  <c:v>26.1909471351813</c:v>
                </c:pt>
                <c:pt idx="12">
                  <c:v>33.776440055750776</c:v>
                </c:pt>
                <c:pt idx="13">
                  <c:v>43.566516638901568</c:v>
                </c:pt>
                <c:pt idx="14">
                  <c:v>56.203962590623313</c:v>
                </c:pt>
                <c:pt idx="15">
                  <c:v>72.519534065863823</c:v>
                </c:pt>
                <c:pt idx="16">
                  <c:v>93.587074695597963</c:v>
                </c:pt>
                <c:pt idx="17">
                  <c:v>120.79483383419057</c:v>
                </c:pt>
                <c:pt idx="18">
                  <c:v>155.93775882820458</c:v>
                </c:pt>
                <c:pt idx="19">
                  <c:v>153.22371186614836</c:v>
                </c:pt>
                <c:pt idx="20">
                  <c:v>177.61148225294494</c:v>
                </c:pt>
                <c:pt idx="21">
                  <c:v>201.92063702336623</c:v>
                </c:pt>
                <c:pt idx="22">
                  <c:v>188.42454454363443</c:v>
                </c:pt>
                <c:pt idx="23">
                  <c:v>210.0081668012941</c:v>
                </c:pt>
                <c:pt idx="24">
                  <c:v>231.54060536306486</c:v>
                </c:pt>
                <c:pt idx="25">
                  <c:v>211.57989792897527</c:v>
                </c:pt>
                <c:pt idx="26">
                  <c:v>230.64436776020281</c:v>
                </c:pt>
                <c:pt idx="27">
                  <c:v>249.67282178538531</c:v>
                </c:pt>
                <c:pt idx="28">
                  <c:v>268.6683907698814</c:v>
                </c:pt>
                <c:pt idx="29">
                  <c:v>287.63372643257628</c:v>
                </c:pt>
                <c:pt idx="30">
                  <c:v>306.57110217476503</c:v>
                </c:pt>
                <c:pt idx="31">
                  <c:v>252.80368978904474</c:v>
                </c:pt>
                <c:pt idx="32">
                  <c:v>270.00808353321963</c:v>
                </c:pt>
                <c:pt idx="33">
                  <c:v>287.18781271272866</c:v>
                </c:pt>
                <c:pt idx="34">
                  <c:v>304.34456023906205</c:v>
                </c:pt>
                <c:pt idx="35">
                  <c:v>321.47980377066716</c:v>
                </c:pt>
                <c:pt idx="36">
                  <c:v>338.5948505822164</c:v>
                </c:pt>
                <c:pt idx="37">
                  <c:v>271.12437982914275</c:v>
                </c:pt>
                <c:pt idx="38">
                  <c:v>286.51891307475506</c:v>
                </c:pt>
                <c:pt idx="39">
                  <c:v>301.89494535388923</c:v>
                </c:pt>
                <c:pt idx="40">
                  <c:v>317.25355162035777</c:v>
                </c:pt>
                <c:pt idx="41">
                  <c:v>332.59569423900763</c:v>
                </c:pt>
                <c:pt idx="42">
                  <c:v>347.92223953697521</c:v>
                </c:pt>
                <c:pt idx="43">
                  <c:v>272.68702100091008</c:v>
                </c:pt>
                <c:pt idx="44">
                  <c:v>286.96485004460743</c:v>
                </c:pt>
                <c:pt idx="45">
                  <c:v>301.22679191692959</c:v>
                </c:pt>
                <c:pt idx="46">
                  <c:v>315.47370483249205</c:v>
                </c:pt>
                <c:pt idx="47">
                  <c:v>329.70636314748066</c:v>
                </c:pt>
                <c:pt idx="48">
                  <c:v>343.92546889640715</c:v>
                </c:pt>
                <c:pt idx="49">
                  <c:v>270.11971783077774</c:v>
                </c:pt>
                <c:pt idx="50">
                  <c:v>283.1738887162237</c:v>
                </c:pt>
                <c:pt idx="51">
                  <c:v>296.21458319381429</c:v>
                </c:pt>
                <c:pt idx="52">
                  <c:v>309.24247828757859</c:v>
                </c:pt>
                <c:pt idx="53">
                  <c:v>322.25818930207646</c:v>
                </c:pt>
                <c:pt idx="54">
                  <c:v>335.2622777674473</c:v>
                </c:pt>
                <c:pt idx="55">
                  <c:v>348.25525808679203</c:v>
                </c:pt>
                <c:pt idx="56">
                  <c:v>361.2376031393249</c:v>
                </c:pt>
                <c:pt idx="57">
                  <c:v>374.20974903573409</c:v>
                </c:pt>
                <c:pt idx="58">
                  <c:v>387.17209917956257</c:v>
                </c:pt>
                <c:pt idx="59">
                  <c:v>400.12502775620351</c:v>
                </c:pt>
                <c:pt idx="60">
                  <c:v>413.06888274647389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48.765659367999113</c:v>
                </c:pt>
                <c:pt idx="12">
                  <c:v>74.616063262010528</c:v>
                </c:pt>
                <c:pt idx="13">
                  <c:v>100.2341790211712</c:v>
                </c:pt>
                <c:pt idx="14">
                  <c:v>125.68871343321821</c:v>
                </c:pt>
                <c:pt idx="15">
                  <c:v>151.01770664748466</c:v>
                </c:pt>
                <c:pt idx="16">
                  <c:v>105.82562490242275</c:v>
                </c:pt>
                <c:pt idx="17">
                  <c:v>133.68129041989656</c:v>
                </c:pt>
                <c:pt idx="18">
                  <c:v>161.39639888364613</c:v>
                </c:pt>
                <c:pt idx="19">
                  <c:v>188.99857543760822</c:v>
                </c:pt>
                <c:pt idx="20">
                  <c:v>216.50666233809889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244.6190581615721</c:v>
                </c:pt>
                <c:pt idx="27">
                  <c:v>272.65800236133896</c:v>
                </c:pt>
                <c:pt idx="28">
                  <c:v>300.63210759978887</c:v>
                </c:pt>
                <c:pt idx="29">
                  <c:v>328.5482515646346</c:v>
                </c:pt>
                <c:pt idx="30">
                  <c:v>356.41204743833867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365.23675297080769</c:v>
                </c:pt>
                <c:pt idx="37">
                  <c:v>387.61730275601627</c:v>
                </c:pt>
                <c:pt idx="38">
                  <c:v>409.96980401857422</c:v>
                </c:pt>
                <c:pt idx="39">
                  <c:v>432.29599994035453</c:v>
                </c:pt>
                <c:pt idx="40">
                  <c:v>454.59743907080411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455.94827709810426</c:v>
                </c:pt>
                <c:pt idx="47">
                  <c:v>472.48918916409235</c:v>
                </c:pt>
                <c:pt idx="48">
                  <c:v>489.0177774143724</c:v>
                </c:pt>
                <c:pt idx="49">
                  <c:v>505.53451684876785</c:v>
                </c:pt>
                <c:pt idx="50">
                  <c:v>522.03984891229663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539.54369365856019</c:v>
                </c:pt>
                <c:pt idx="57">
                  <c:v>551.99106495921342</c:v>
                </c:pt>
                <c:pt idx="58">
                  <c:v>564.43255421132858</c:v>
                </c:pt>
                <c:pt idx="59">
                  <c:v>576.86830930740882</c:v>
                </c:pt>
                <c:pt idx="60">
                  <c:v>589.29847124546529</c:v>
                </c:pt>
                <c:pt idx="61">
                  <c:v>570.81918970877257</c:v>
                </c:pt>
                <c:pt idx="62">
                  <c:v>580.90031938116931</c:v>
                </c:pt>
                <c:pt idx="63">
                  <c:v>590.97780129118485</c:v>
                </c:pt>
                <c:pt idx="64">
                  <c:v>601.05170640358597</c:v>
                </c:pt>
                <c:pt idx="65">
                  <c:v>611.12210311064734</c:v>
                </c:pt>
                <c:pt idx="66">
                  <c:v>592.99286623276123</c:v>
                </c:pt>
                <c:pt idx="67">
                  <c:v>601.7231745921265</c:v>
                </c:pt>
                <c:pt idx="68">
                  <c:v>610.45085114558412</c:v>
                </c:pt>
                <c:pt idx="69">
                  <c:v>619.17593882471431</c:v>
                </c:pt>
                <c:pt idx="70">
                  <c:v>627.89847925254264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626.22126355197054</c:v>
                </c:pt>
                <c:pt idx="77">
                  <c:v>632.92957124167299</c:v>
                </c:pt>
                <c:pt idx="78">
                  <c:v>639.63640905269347</c:v>
                </c:pt>
                <c:pt idx="79">
                  <c:v>646.34179457229197</c:v>
                </c:pt>
                <c:pt idx="80">
                  <c:v>653.0457449930251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ColWidth="10.83203125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Normal="100" workbookViewId="0">
      <selection activeCell="B78" sqref="B78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8" t="s">
        <v>231</v>
      </c>
      <c r="B5" s="268"/>
      <c r="C5" s="24">
        <v>9.19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18</v>
      </c>
      <c r="C9" s="32">
        <v>0.28699999999999998</v>
      </c>
      <c r="D9" s="33">
        <f t="shared" ref="D9:D18" si="0">C9*$C$5</f>
        <v>2.6375299999999995</v>
      </c>
      <c r="E9" s="34">
        <v>70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 t="s">
        <v>14</v>
      </c>
      <c r="C10" s="32">
        <v>0.1153</v>
      </c>
      <c r="D10" s="33">
        <f t="shared" si="0"/>
        <v>1.059607</v>
      </c>
      <c r="E10" s="34">
        <v>177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 t="s">
        <v>27</v>
      </c>
      <c r="C11" s="32">
        <v>0.48199999999999998</v>
      </c>
      <c r="D11" s="33">
        <f t="shared" si="0"/>
        <v>4.4295799999999996</v>
      </c>
      <c r="E11" s="34">
        <v>60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 t="s">
        <v>23</v>
      </c>
      <c r="C12" s="32">
        <v>0.1153</v>
      </c>
      <c r="D12" s="33">
        <f t="shared" si="0"/>
        <v>1.059607</v>
      </c>
      <c r="E12" s="34">
        <v>80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0.99959999999999993</v>
      </c>
      <c r="D19" s="38">
        <f>SUM(D9:D18)</f>
        <v>9.186323999999999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0.05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21</v>
      </c>
      <c r="B36" s="60">
        <v>147</v>
      </c>
      <c r="C36" s="60"/>
      <c r="D36" s="60">
        <v>0</v>
      </c>
      <c r="E36" s="51">
        <v>0</v>
      </c>
      <c r="F36" s="51">
        <v>0.6</v>
      </c>
      <c r="G36" s="51">
        <v>0.4</v>
      </c>
      <c r="H36" s="51">
        <v>0</v>
      </c>
      <c r="I36" s="49">
        <f>IFERROR(B36/A36,"")</f>
        <v>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28</v>
      </c>
      <c r="B37" s="60">
        <v>280</v>
      </c>
      <c r="C37" s="60">
        <v>1</v>
      </c>
      <c r="D37" s="60">
        <v>64</v>
      </c>
      <c r="E37" s="51">
        <v>0</v>
      </c>
      <c r="F37" s="51">
        <v>0.6</v>
      </c>
      <c r="G37" s="51">
        <v>0.4</v>
      </c>
      <c r="H37" s="51">
        <v>0</v>
      </c>
      <c r="I37" s="53">
        <f t="shared" ref="I37:I55" si="1">IF(A37&lt;&gt;0,(B37-(B36-D36))/(A37-A36),"")</f>
        <v>19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35</v>
      </c>
      <c r="B38" s="60">
        <v>355</v>
      </c>
      <c r="C38" s="60">
        <v>2</v>
      </c>
      <c r="D38" s="60">
        <v>73</v>
      </c>
      <c r="E38" s="51">
        <v>0</v>
      </c>
      <c r="F38" s="51">
        <v>0.6</v>
      </c>
      <c r="G38" s="51">
        <v>0.4</v>
      </c>
      <c r="H38" s="51">
        <v>0</v>
      </c>
      <c r="I38" s="53">
        <f t="shared" si="1"/>
        <v>19.857142857142858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42</v>
      </c>
      <c r="B39" s="60">
        <v>419</v>
      </c>
      <c r="C39" s="60">
        <v>3</v>
      </c>
      <c r="D39" s="60">
        <v>77</v>
      </c>
      <c r="E39" s="51">
        <v>0.2</v>
      </c>
      <c r="F39" s="51">
        <v>0.4</v>
      </c>
      <c r="G39" s="51">
        <v>0.4</v>
      </c>
      <c r="H39" s="51">
        <v>0</v>
      </c>
      <c r="I39" s="49">
        <f t="shared" si="1"/>
        <v>19.571428571428573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49</v>
      </c>
      <c r="B40" s="60">
        <v>473</v>
      </c>
      <c r="C40" s="60">
        <v>4</v>
      </c>
      <c r="D40" s="60">
        <v>80</v>
      </c>
      <c r="E40" s="51">
        <v>0.4</v>
      </c>
      <c r="F40" s="51">
        <v>0.3</v>
      </c>
      <c r="G40" s="51">
        <v>0.3</v>
      </c>
      <c r="H40" s="51">
        <v>0</v>
      </c>
      <c r="I40" s="49">
        <f t="shared" si="1"/>
        <v>18.714285714285715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56</v>
      </c>
      <c r="B41" s="60">
        <v>514</v>
      </c>
      <c r="C41" s="60">
        <v>5</v>
      </c>
      <c r="D41" s="60">
        <v>85</v>
      </c>
      <c r="E41" s="51">
        <v>0.5</v>
      </c>
      <c r="F41" s="51">
        <v>0.3</v>
      </c>
      <c r="G41" s="51">
        <v>0.2</v>
      </c>
      <c r="H41" s="51">
        <v>0</v>
      </c>
      <c r="I41" s="53">
        <f t="shared" si="1"/>
        <v>17.285714285714285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63</v>
      </c>
      <c r="B42" s="60">
        <v>538</v>
      </c>
      <c r="C42" s="60">
        <v>6</v>
      </c>
      <c r="D42" s="60">
        <v>84</v>
      </c>
      <c r="E42" s="51">
        <v>0.5</v>
      </c>
      <c r="F42" s="51">
        <v>0.3</v>
      </c>
      <c r="G42" s="51">
        <v>0.2</v>
      </c>
      <c r="H42" s="51">
        <v>0</v>
      </c>
      <c r="I42" s="53">
        <f t="shared" si="1"/>
        <v>15.571428571428571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70</v>
      </c>
      <c r="B43" s="60">
        <v>551</v>
      </c>
      <c r="C43" s="60" t="s">
        <v>324</v>
      </c>
      <c r="D43" s="60">
        <v>551</v>
      </c>
      <c r="E43" s="51">
        <v>0.8</v>
      </c>
      <c r="F43" s="51">
        <v>0.1</v>
      </c>
      <c r="G43" s="51">
        <v>0.1</v>
      </c>
      <c r="H43" s="51">
        <v>0</v>
      </c>
      <c r="I43" s="49">
        <f t="shared" si="1"/>
        <v>13.857142857142858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>Chêne sessile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>
        <v>56</v>
      </c>
      <c r="B62" s="60">
        <v>112</v>
      </c>
      <c r="C62" s="60">
        <v>1</v>
      </c>
      <c r="D62" s="60">
        <v>33</v>
      </c>
      <c r="E62" s="51">
        <v>0</v>
      </c>
      <c r="F62" s="51">
        <v>0</v>
      </c>
      <c r="G62" s="51">
        <v>0</v>
      </c>
      <c r="H62" s="51">
        <v>1</v>
      </c>
      <c r="I62" s="53">
        <f>IFERROR(B62/A62,"")</f>
        <v>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>
        <v>64</v>
      </c>
      <c r="B63" s="60">
        <v>119</v>
      </c>
      <c r="C63" s="60">
        <v>2</v>
      </c>
      <c r="D63" s="60">
        <v>34</v>
      </c>
      <c r="E63" s="51">
        <v>0</v>
      </c>
      <c r="F63" s="51">
        <v>0</v>
      </c>
      <c r="G63" s="51">
        <v>0</v>
      </c>
      <c r="H63" s="51">
        <v>1</v>
      </c>
      <c r="I63" s="49">
        <f>IF(A63&lt;&gt;0,(B63-(B62-D62))/(A63-A62),"")</f>
        <v>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>
        <v>72</v>
      </c>
      <c r="B64" s="60">
        <v>118</v>
      </c>
      <c r="C64" s="60">
        <v>3</v>
      </c>
      <c r="D64" s="60">
        <v>28</v>
      </c>
      <c r="E64" s="51">
        <v>0</v>
      </c>
      <c r="F64" s="51">
        <v>0.5</v>
      </c>
      <c r="G64" s="51">
        <v>0</v>
      </c>
      <c r="H64" s="51">
        <v>0.5</v>
      </c>
      <c r="I64" s="49">
        <f>IF(A64&lt;&gt;0,(B64-(B63-D63))/(A64-A63),"")</f>
        <v>4.125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>
        <v>81</v>
      </c>
      <c r="B65" s="60">
        <v>122</v>
      </c>
      <c r="C65" s="60">
        <v>4</v>
      </c>
      <c r="D65" s="60">
        <v>26</v>
      </c>
      <c r="E65" s="51">
        <v>0</v>
      </c>
      <c r="F65" s="51">
        <v>0.5</v>
      </c>
      <c r="G65" s="51">
        <v>0</v>
      </c>
      <c r="H65" s="51">
        <v>0.5</v>
      </c>
      <c r="I65" s="49">
        <f>IF(A65&lt;&gt;0,(B65-(B64-D64))/(A65-A64),"")</f>
        <v>3.5555555555555554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>
        <v>90</v>
      </c>
      <c r="B66" s="60">
        <v>125</v>
      </c>
      <c r="C66" s="60">
        <v>5</v>
      </c>
      <c r="D66" s="60">
        <v>22</v>
      </c>
      <c r="E66" s="51">
        <v>0</v>
      </c>
      <c r="F66" s="51">
        <v>0.5</v>
      </c>
      <c r="G66" s="51">
        <v>0</v>
      </c>
      <c r="H66" s="51">
        <v>0.5</v>
      </c>
      <c r="I66" s="49">
        <f t="shared" ref="I66:I81" si="2">IF(A66&lt;&gt;0,(B66-(B65-D65))/(A66-A65),"")</f>
        <v>3.2222222222222223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>
        <v>100</v>
      </c>
      <c r="B67" s="60">
        <v>134</v>
      </c>
      <c r="C67" s="60">
        <v>6</v>
      </c>
      <c r="D67" s="60">
        <v>22</v>
      </c>
      <c r="E67" s="51">
        <v>0.1</v>
      </c>
      <c r="F67" s="51">
        <v>0.5</v>
      </c>
      <c r="G67" s="51">
        <v>0</v>
      </c>
      <c r="H67" s="51">
        <v>0.4</v>
      </c>
      <c r="I67" s="49">
        <f t="shared" si="2"/>
        <v>3.1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>
        <v>110</v>
      </c>
      <c r="B68" s="60">
        <v>146</v>
      </c>
      <c r="C68" s="60">
        <v>7</v>
      </c>
      <c r="D68" s="60">
        <v>24</v>
      </c>
      <c r="E68" s="51">
        <v>0.3</v>
      </c>
      <c r="F68" s="51">
        <v>0.35</v>
      </c>
      <c r="G68" s="51">
        <v>0</v>
      </c>
      <c r="H68" s="51">
        <v>0.35</v>
      </c>
      <c r="I68" s="49">
        <f t="shared" si="2"/>
        <v>3.4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>
        <v>122</v>
      </c>
      <c r="B69" s="50">
        <v>159</v>
      </c>
      <c r="C69" s="50">
        <v>8</v>
      </c>
      <c r="D69" s="50">
        <v>25</v>
      </c>
      <c r="E69" s="51">
        <v>0.4</v>
      </c>
      <c r="F69" s="51">
        <v>0.3</v>
      </c>
      <c r="G69" s="51">
        <v>0</v>
      </c>
      <c r="H69" s="51">
        <v>0.3</v>
      </c>
      <c r="I69" s="49">
        <f t="shared" si="2"/>
        <v>3.0833333333333335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>
        <v>134</v>
      </c>
      <c r="B70" s="50">
        <v>171</v>
      </c>
      <c r="C70" s="50">
        <v>9</v>
      </c>
      <c r="D70" s="50">
        <v>26</v>
      </c>
      <c r="E70" s="51">
        <v>0.7</v>
      </c>
      <c r="F70" s="51">
        <v>0.1</v>
      </c>
      <c r="G70" s="51">
        <v>0</v>
      </c>
      <c r="H70" s="51">
        <v>0.2</v>
      </c>
      <c r="I70" s="49">
        <f t="shared" si="2"/>
        <v>3.0833333333333335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>
        <v>148</v>
      </c>
      <c r="B71" s="50">
        <v>189</v>
      </c>
      <c r="C71" s="50">
        <v>10</v>
      </c>
      <c r="D71" s="50">
        <v>30</v>
      </c>
      <c r="E71" s="51">
        <v>0.7</v>
      </c>
      <c r="F71" s="51">
        <v>0.1</v>
      </c>
      <c r="G71" s="51">
        <v>0</v>
      </c>
      <c r="H71" s="51">
        <v>0.2</v>
      </c>
      <c r="I71" s="49">
        <f t="shared" si="2"/>
        <v>3.1428571428571428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>
        <v>162</v>
      </c>
      <c r="B72" s="50">
        <v>212</v>
      </c>
      <c r="C72" s="50">
        <v>11</v>
      </c>
      <c r="D72" s="50">
        <v>37</v>
      </c>
      <c r="E72" s="51">
        <v>0.7</v>
      </c>
      <c r="F72" s="51">
        <v>0.1</v>
      </c>
      <c r="G72" s="51">
        <v>0</v>
      </c>
      <c r="H72" s="51">
        <v>0.2</v>
      </c>
      <c r="I72" s="49">
        <f t="shared" si="2"/>
        <v>3.7857142857142856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>
        <v>177</v>
      </c>
      <c r="B73" s="50">
        <v>230</v>
      </c>
      <c r="C73" s="50" t="s">
        <v>324</v>
      </c>
      <c r="D73" s="50">
        <v>230</v>
      </c>
      <c r="E73" s="51">
        <v>0.7</v>
      </c>
      <c r="F73" s="51">
        <v>0.1</v>
      </c>
      <c r="G73" s="51">
        <v>0</v>
      </c>
      <c r="H73" s="51">
        <v>0.2</v>
      </c>
      <c r="I73" s="49">
        <f t="shared" si="2"/>
        <v>3.6666666666666665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>Mélèze d'Europe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>
        <v>18</v>
      </c>
      <c r="B88" s="60">
        <v>112</v>
      </c>
      <c r="C88" s="60">
        <v>1</v>
      </c>
      <c r="D88" s="60">
        <v>20</v>
      </c>
      <c r="E88" s="51">
        <v>0</v>
      </c>
      <c r="F88" s="51">
        <f>0.56</f>
        <v>0.56000000000000005</v>
      </c>
      <c r="G88" s="51">
        <f>0.44</f>
        <v>0.44</v>
      </c>
      <c r="H88" s="87">
        <v>0</v>
      </c>
      <c r="I88" s="53">
        <f>IFERROR(B88/A88,"")</f>
        <v>6.2222222222222223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>
        <v>21</v>
      </c>
      <c r="B89" s="60">
        <v>146</v>
      </c>
      <c r="C89" s="60">
        <v>2</v>
      </c>
      <c r="D89" s="60">
        <v>26</v>
      </c>
      <c r="E89" s="51">
        <v>0</v>
      </c>
      <c r="F89" s="51">
        <f>0.56</f>
        <v>0.56000000000000005</v>
      </c>
      <c r="G89" s="51">
        <v>0.44</v>
      </c>
      <c r="H89" s="87">
        <v>0</v>
      </c>
      <c r="I89" s="53">
        <f t="shared" ref="I89:I107" si="3">IF(A89&lt;&gt;0,(B89-(B88-D88))/(A89-A88),"")</f>
        <v>18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>
        <v>24</v>
      </c>
      <c r="B90" s="60">
        <v>168</v>
      </c>
      <c r="C90" s="60">
        <v>3</v>
      </c>
      <c r="D90" s="60">
        <v>29</v>
      </c>
      <c r="E90" s="87">
        <v>0.7</v>
      </c>
      <c r="F90" s="87">
        <f>0.3*0.56</f>
        <v>0.16800000000000001</v>
      </c>
      <c r="G90" s="87">
        <f>0.3*0.44</f>
        <v>0.13200000000000001</v>
      </c>
      <c r="H90" s="87">
        <v>0</v>
      </c>
      <c r="I90" s="53">
        <f t="shared" si="3"/>
        <v>16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>
        <v>30</v>
      </c>
      <c r="B91" s="60">
        <v>224</v>
      </c>
      <c r="C91" s="60">
        <v>4</v>
      </c>
      <c r="D91" s="60">
        <v>53</v>
      </c>
      <c r="E91" s="87">
        <v>0.7</v>
      </c>
      <c r="F91" s="87">
        <f t="shared" ref="F91:F95" si="4">0.3*0.56</f>
        <v>0.16800000000000001</v>
      </c>
      <c r="G91" s="87">
        <f t="shared" ref="G91:G95" si="5">0.3*0.44</f>
        <v>0.13200000000000001</v>
      </c>
      <c r="H91" s="87">
        <v>0</v>
      </c>
      <c r="I91" s="53">
        <f t="shared" si="3"/>
        <v>14.166666666666666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>
        <v>36</v>
      </c>
      <c r="B92" s="60">
        <v>248</v>
      </c>
      <c r="C92" s="60">
        <v>5</v>
      </c>
      <c r="D92" s="60">
        <v>62</v>
      </c>
      <c r="E92" s="87">
        <v>0.7</v>
      </c>
      <c r="F92" s="87">
        <f t="shared" si="4"/>
        <v>0.16800000000000001</v>
      </c>
      <c r="G92" s="87">
        <f t="shared" si="5"/>
        <v>0.13200000000000001</v>
      </c>
      <c r="H92" s="87">
        <v>0</v>
      </c>
      <c r="I92" s="53">
        <f t="shared" si="3"/>
        <v>12.833333333333334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>
        <v>42</v>
      </c>
      <c r="B93" s="60">
        <v>255</v>
      </c>
      <c r="C93" s="60">
        <v>6</v>
      </c>
      <c r="D93" s="60">
        <v>67</v>
      </c>
      <c r="E93" s="87">
        <v>0.7</v>
      </c>
      <c r="F93" s="87">
        <f t="shared" si="4"/>
        <v>0.16800000000000001</v>
      </c>
      <c r="G93" s="87">
        <f t="shared" si="5"/>
        <v>0.13200000000000001</v>
      </c>
      <c r="H93" s="87">
        <v>0</v>
      </c>
      <c r="I93" s="53">
        <f t="shared" si="3"/>
        <v>11.5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>
        <v>48</v>
      </c>
      <c r="B94" s="60">
        <v>252</v>
      </c>
      <c r="C94" s="60">
        <v>7</v>
      </c>
      <c r="D94" s="60">
        <v>65</v>
      </c>
      <c r="E94" s="87">
        <v>0.7</v>
      </c>
      <c r="F94" s="87">
        <f t="shared" si="4"/>
        <v>0.16800000000000001</v>
      </c>
      <c r="G94" s="87">
        <f t="shared" si="5"/>
        <v>0.13200000000000001</v>
      </c>
      <c r="H94" s="87">
        <v>0</v>
      </c>
      <c r="I94" s="53">
        <f t="shared" si="3"/>
        <v>10.666666666666666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>
        <v>60</v>
      </c>
      <c r="B95" s="60">
        <v>304</v>
      </c>
      <c r="C95" s="60" t="s">
        <v>324</v>
      </c>
      <c r="D95" s="60">
        <v>304</v>
      </c>
      <c r="E95" s="87">
        <v>0.7</v>
      </c>
      <c r="F95" s="87">
        <f t="shared" si="4"/>
        <v>0.16800000000000001</v>
      </c>
      <c r="G95" s="87">
        <f t="shared" si="5"/>
        <v>0.13200000000000001</v>
      </c>
      <c r="H95" s="87">
        <v>0</v>
      </c>
      <c r="I95" s="53">
        <f t="shared" si="3"/>
        <v>9.75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>Erable sycomore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>
        <v>10</v>
      </c>
      <c r="B114" s="60">
        <v>19</v>
      </c>
      <c r="C114" s="50">
        <v>0</v>
      </c>
      <c r="D114" s="60">
        <v>7</v>
      </c>
      <c r="E114" s="51">
        <v>0</v>
      </c>
      <c r="F114" s="51">
        <v>0</v>
      </c>
      <c r="G114" s="51">
        <v>0</v>
      </c>
      <c r="H114" s="51">
        <v>1</v>
      </c>
      <c r="I114" s="53">
        <f>IFERROR(B114/A114,"")</f>
        <v>1.9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>
        <v>15</v>
      </c>
      <c r="B115" s="60">
        <v>85</v>
      </c>
      <c r="C115" s="50">
        <v>0</v>
      </c>
      <c r="D115" s="60">
        <v>42</v>
      </c>
      <c r="E115" s="51">
        <v>0</v>
      </c>
      <c r="F115" s="51">
        <v>0</v>
      </c>
      <c r="G115" s="51">
        <v>0</v>
      </c>
      <c r="H115" s="51">
        <v>1</v>
      </c>
      <c r="I115" s="53">
        <f t="shared" ref="I115:I133" si="6">IF(A115&lt;&gt;0,(B115-(B114-D114))/(A115-A114),"")</f>
        <v>14.6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>
        <v>20</v>
      </c>
      <c r="B116" s="60">
        <v>123</v>
      </c>
      <c r="C116" s="50">
        <v>0</v>
      </c>
      <c r="D116" s="60">
        <v>42</v>
      </c>
      <c r="E116" s="51">
        <v>0</v>
      </c>
      <c r="F116" s="51">
        <v>0</v>
      </c>
      <c r="G116" s="51">
        <v>0</v>
      </c>
      <c r="H116" s="51">
        <v>1</v>
      </c>
      <c r="I116" s="53">
        <f t="shared" si="6"/>
        <v>16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>
        <v>25</v>
      </c>
      <c r="B117" s="60">
        <v>165</v>
      </c>
      <c r="C117" s="50">
        <v>1</v>
      </c>
      <c r="D117" s="60">
        <v>42</v>
      </c>
      <c r="E117" s="51">
        <v>0</v>
      </c>
      <c r="F117" s="51">
        <v>0</v>
      </c>
      <c r="G117" s="51">
        <v>0</v>
      </c>
      <c r="H117" s="51">
        <v>1</v>
      </c>
      <c r="I117" s="53">
        <f t="shared" si="6"/>
        <v>16.8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>
        <v>30</v>
      </c>
      <c r="B118" s="60">
        <v>205</v>
      </c>
      <c r="C118" s="50">
        <v>2</v>
      </c>
      <c r="D118" s="60">
        <v>42</v>
      </c>
      <c r="E118" s="51">
        <v>0</v>
      </c>
      <c r="F118" s="51">
        <v>0</v>
      </c>
      <c r="G118" s="51">
        <v>0</v>
      </c>
      <c r="H118" s="51">
        <v>1</v>
      </c>
      <c r="I118" s="53">
        <f t="shared" si="6"/>
        <v>16.399999999999999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>
        <v>35</v>
      </c>
      <c r="B119" s="60">
        <v>239</v>
      </c>
      <c r="C119" s="50">
        <v>3</v>
      </c>
      <c r="D119" s="60">
        <v>42</v>
      </c>
      <c r="E119" s="51">
        <v>0</v>
      </c>
      <c r="F119" s="51">
        <v>0</v>
      </c>
      <c r="G119" s="51">
        <v>0</v>
      </c>
      <c r="H119" s="51">
        <v>1</v>
      </c>
      <c r="I119" s="53">
        <f t="shared" si="6"/>
        <v>15.2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>
        <v>40</v>
      </c>
      <c r="B120" s="60">
        <v>263</v>
      </c>
      <c r="C120" s="60">
        <v>4</v>
      </c>
      <c r="D120" s="60">
        <v>40</v>
      </c>
      <c r="E120" s="87">
        <v>0.25</v>
      </c>
      <c r="F120" s="87">
        <v>0</v>
      </c>
      <c r="G120" s="87">
        <v>0</v>
      </c>
      <c r="H120" s="87">
        <v>0.75</v>
      </c>
      <c r="I120" s="53">
        <f t="shared" si="6"/>
        <v>13.2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>
        <v>45</v>
      </c>
      <c r="B121" s="60">
        <v>280</v>
      </c>
      <c r="C121" s="60">
        <v>5</v>
      </c>
      <c r="D121" s="60">
        <v>26</v>
      </c>
      <c r="E121" s="87">
        <v>0.3</v>
      </c>
      <c r="F121" s="87">
        <v>0</v>
      </c>
      <c r="G121" s="87">
        <v>0</v>
      </c>
      <c r="H121" s="87">
        <v>0.7</v>
      </c>
      <c r="I121" s="53">
        <f t="shared" si="6"/>
        <v>11.4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>
        <v>50</v>
      </c>
      <c r="B122" s="60">
        <v>303</v>
      </c>
      <c r="C122" s="60">
        <v>6</v>
      </c>
      <c r="D122" s="60">
        <v>21</v>
      </c>
      <c r="E122" s="87">
        <v>0.35</v>
      </c>
      <c r="F122" s="87">
        <v>0</v>
      </c>
      <c r="G122" s="87">
        <v>0</v>
      </c>
      <c r="H122" s="87">
        <v>0.65</v>
      </c>
      <c r="I122" s="53">
        <f t="shared" si="6"/>
        <v>9.8000000000000007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>
        <v>55</v>
      </c>
      <c r="B123" s="60">
        <v>324</v>
      </c>
      <c r="C123" s="60">
        <v>7</v>
      </c>
      <c r="D123" s="60">
        <v>18</v>
      </c>
      <c r="E123" s="87">
        <v>0.35</v>
      </c>
      <c r="F123" s="87">
        <v>0</v>
      </c>
      <c r="G123" s="87">
        <v>0</v>
      </c>
      <c r="H123" s="87">
        <v>0.65</v>
      </c>
      <c r="I123" s="53">
        <f t="shared" si="6"/>
        <v>8.4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>
        <v>60</v>
      </c>
      <c r="B124" s="60">
        <v>343</v>
      </c>
      <c r="C124" s="60">
        <v>8</v>
      </c>
      <c r="D124" s="60">
        <v>17</v>
      </c>
      <c r="E124" s="87">
        <v>0.4</v>
      </c>
      <c r="F124" s="87">
        <v>0</v>
      </c>
      <c r="G124" s="87">
        <v>0</v>
      </c>
      <c r="H124" s="87">
        <v>0.6</v>
      </c>
      <c r="I124" s="53">
        <f t="shared" si="6"/>
        <v>7.4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>
        <v>65</v>
      </c>
      <c r="B125" s="60">
        <v>356</v>
      </c>
      <c r="C125" s="60">
        <v>9</v>
      </c>
      <c r="D125" s="60">
        <v>16</v>
      </c>
      <c r="E125" s="87">
        <v>0.45</v>
      </c>
      <c r="F125" s="87">
        <v>0</v>
      </c>
      <c r="G125" s="87">
        <v>0</v>
      </c>
      <c r="H125" s="87">
        <v>0.55000000000000004</v>
      </c>
      <c r="I125" s="53">
        <f t="shared" si="6"/>
        <v>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>
        <v>70</v>
      </c>
      <c r="B126" s="60">
        <v>366</v>
      </c>
      <c r="C126" s="60">
        <v>10</v>
      </c>
      <c r="D126" s="60">
        <v>15</v>
      </c>
      <c r="E126" s="65">
        <v>0.45</v>
      </c>
      <c r="F126" s="65">
        <v>0</v>
      </c>
      <c r="G126" s="65">
        <v>0</v>
      </c>
      <c r="H126" s="65">
        <v>0.55000000000000004</v>
      </c>
      <c r="I126" s="53">
        <f t="shared" si="6"/>
        <v>5.2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>
        <v>75</v>
      </c>
      <c r="B127" s="60">
        <v>375</v>
      </c>
      <c r="C127" s="60">
        <v>11</v>
      </c>
      <c r="D127" s="60">
        <v>14</v>
      </c>
      <c r="E127" s="65">
        <v>0.5</v>
      </c>
      <c r="F127" s="65">
        <v>0</v>
      </c>
      <c r="G127" s="65">
        <v>0</v>
      </c>
      <c r="H127" s="65">
        <v>0.5</v>
      </c>
      <c r="I127" s="53">
        <f t="shared" si="6"/>
        <v>4.8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>
        <v>80</v>
      </c>
      <c r="B128" s="50">
        <v>381</v>
      </c>
      <c r="C128" s="50" t="s">
        <v>324</v>
      </c>
      <c r="D128" s="50">
        <v>381</v>
      </c>
      <c r="E128" s="54">
        <v>0.7</v>
      </c>
      <c r="F128" s="54">
        <v>0</v>
      </c>
      <c r="G128" s="54">
        <v>0</v>
      </c>
      <c r="H128" s="54">
        <v>0.30000000000000004</v>
      </c>
      <c r="I128" s="53">
        <f t="shared" si="6"/>
        <v>4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7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7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7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7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7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7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7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8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8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8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8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8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8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6" sqref="C26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0.5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0.5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0.5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0.5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zoomScaleNormal="100" workbookViewId="0">
      <selection activeCell="E3" sqref="E3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Chêne sessile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Mélèze d'Europe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Erable sycomore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256.66666666666669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256.66666666666669</v>
      </c>
      <c r="S3" s="59">
        <f ca="1">AVERAGE(OFFSET($R$3,0,0,'Données projet'!$E$9+1,1))-AVERAGE(OFFSET($H$3,0,0,'Données projet'!$E$9+1,1))</f>
        <v>347.01106511825213</v>
      </c>
      <c r="T3" s="59">
        <f>IF('Données projet'!E9&gt;30,$R$33-$H$33,LOOKUP('Données projet'!$E$9,$A$3:$A$203,R3:R203)-LOOKUP('Données projet'!$E$9,$A$3:$A$203,$H$3:$H$203))</f>
        <v>329.53392323581539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256.66666666666669</v>
      </c>
      <c r="AN3" s="59">
        <f ca="1">AVERAGE(OFFSET($AM$3,0,0,'Données projet'!$E$10+1,1))-AVERAGE(OFFSET($H$3,0,0,'Données projet'!$E$10+1,1))</f>
        <v>209.32570518924194</v>
      </c>
      <c r="AO3" s="59">
        <f>IF('Données projet'!E10&gt;30,$AM$33-$H$33,LOOKUP('Données projet'!$E$10,$A$3:$A$203,AM3:AM203)-LOOKUP('Données projet'!$E$10,$A$3:$A$203,$H$3:$H$203))</f>
        <v>138.10530102720475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256.66666666666669</v>
      </c>
      <c r="BI3" s="59">
        <f ca="1">AVERAGE(OFFSET($BH$3,0,0,'Données projet'!$E$11+1,1))-AVERAGE(OFFSET($H$3,0,0,'Données projet'!$E$11+1,1))</f>
        <v>219.86035935827329</v>
      </c>
      <c r="BJ3" s="59">
        <f>IF('Données projet'!E11&gt;30,$BH$33-$H$33,LOOKUP('Données projet'!$E$11,$A$3:$A$203,BH3:BH203)-LOOKUP('Données projet'!$E$11,$A$3:$A$203,$H$3:$H$203))</f>
        <v>322.75312534885239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256.66666666666669</v>
      </c>
      <c r="CD3" s="59">
        <f ca="1">AVERAGE(OFFSET($CC$3,0,0,'Données projet'!$E$12+1,1))-AVERAGE(OFFSET($H$3,0,0,'Données projet'!$E$12+1,1))</f>
        <v>378.47278187128137</v>
      </c>
      <c r="CE3" s="59">
        <f>IF('Données projet'!E12&gt;30,$CC$33-$H$33,LOOKUP('Données projet'!$E$12,$A$3:$A$203,CC3:CC203)-LOOKUP('Données projet'!$E$12,$A$3:$A$203,$H$3:$H$203))</f>
        <v>372.59407061242604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0.28860000000000002</v>
      </c>
      <c r="D4" s="11">
        <f>IFERROR(EXP(-1.0587+0.8836*LN(C4)+0.284),0)</f>
        <v>0.15369859559338384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1.7071173865007798</v>
      </c>
      <c r="H4" s="67">
        <f t="shared" ref="H4:H67" si="1">(B4+E4+F4)*44/12+(C4+D4)*0.475*44/12</f>
        <v>257.43700338732515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</v>
      </c>
      <c r="N4" s="13">
        <f>IF('Données projet'!$A$36&gt;35,N3+M4-V3,IF(A4&lt;'Données projet'!$A$36,$K$205^A4,IF(A4='Données projet'!$A$36,'Données projet'!$B$36,N3+M4-V3)))</f>
        <v>1.2682520920115548</v>
      </c>
      <c r="O4" s="13">
        <f>N4*VLOOKUP('Données projet'!$B$9,Paramètres!$A$1:$I$89,3,0)*VLOOKUP('Données projet'!$B$9,Paramètres!$A$1:$I$89,5,0)</f>
        <v>0.70895291943445904</v>
      </c>
      <c r="P4" s="13">
        <f>EXP(-1.0587+0.8836*LN(O4)+0.284)</f>
        <v>0.34006160114360529</v>
      </c>
      <c r="Q4" s="20">
        <f t="shared" ref="Q4:Q34" si="2">(O4+P4)*0.475*44/12</f>
        <v>1.8270336233401288</v>
      </c>
      <c r="R4" s="59">
        <f t="shared" si="0"/>
        <v>259.71592251222899</v>
      </c>
      <c r="S4" s="59">
        <f ca="1">AVERAGE(OFFSET($R$3,0,0,'Données projet'!$E$9+1,1))-AVERAGE(OFFSET($H$3,0,0,'Données projet'!$E$9+1,1))</f>
        <v>347.01106511825213</v>
      </c>
      <c r="T4" s="59">
        <f>$T$3</f>
        <v>329.53392323581539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</v>
      </c>
      <c r="AI4" s="13">
        <f>IF('Données projet'!$A$62&gt;35,AI3+AH4-AQ3,IF(A4&lt;'Données projet'!$A$62,$AF$205^A4,IF(A4='Données projet'!$A$62,'Données projet'!$B$62,AI3+AH4-AQ3)))</f>
        <v>2</v>
      </c>
      <c r="AJ4" s="13">
        <f>AI4*VLOOKUP('Données projet'!$B$10,Paramètres!$A$1:$I$89,3,0)*VLOOKUP('Données projet'!$B$10,Paramètres!$A$1:$I$89,5,0)</f>
        <v>1.8095999999999999</v>
      </c>
      <c r="AK4" s="13">
        <f>EXP(-1.0587+0.8836*LN(AJ4)+0.284)</f>
        <v>0.778308976345926</v>
      </c>
      <c r="AL4" s="20">
        <f t="shared" ref="AL4:AL67" si="4">(AJ4+AK4)*0.475*44/12</f>
        <v>4.5072748004691539</v>
      </c>
      <c r="AM4" s="59">
        <f t="shared" ref="AM4:AM67" si="5">AL4+(AD4+AE4)*44/12</f>
        <v>262.39616368935799</v>
      </c>
      <c r="AN4" s="59">
        <f ca="1">AVERAGE(OFFSET($AM$3,0,0,'Données projet'!$E$10+1,1))-AVERAGE(OFFSET($H$3,0,0,'Données projet'!$E$10+1,1))</f>
        <v>209.32570518924194</v>
      </c>
      <c r="AO4" s="59">
        <f>$AO$3</f>
        <v>138.10530102720475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6.2222222222222223</v>
      </c>
      <c r="BD4" s="12">
        <f>IF('Données projet'!$A$88&gt;35,BD3+BC4-BL3,IF(A4&lt;'Données projet'!$A$88,$BA$205^A4,IF(A4='Données projet'!$A$88,'Données projet'!$B$88,BD3+BC4-BL3)))</f>
        <v>1.2997069632623315</v>
      </c>
      <c r="BE4" s="13">
        <f>BD4*VLOOKUP('Données projet'!$B$11,Paramètres!$A$1:$I$89,3,0)*VLOOKUP('Données projet'!$B$11,Paramètres!$A$1:$I$89,5,0)</f>
        <v>0.81101714507569489</v>
      </c>
      <c r="BF4" s="13">
        <f>EXP(-1.0587+0.8836*LN(BE4)+0.284)</f>
        <v>0.38297551084354686</v>
      </c>
      <c r="BG4" s="20">
        <f t="shared" ref="BG4:BG67" si="7">(BE4+BF4)*0.475*44/12</f>
        <v>2.0795372090593456</v>
      </c>
      <c r="BH4" s="59">
        <f t="shared" ref="BH4:BH67" si="8">BG4+(AY4+AZ4)*44/12</f>
        <v>259.96842609794822</v>
      </c>
      <c r="BI4" s="59">
        <f ca="1">AVERAGE(OFFSET($BH$3,0,0,'Données projet'!$E$11+1,1))-AVERAGE(OFFSET($H$3,0,0,'Données projet'!$E$11+1,1))</f>
        <v>219.86035935827329</v>
      </c>
      <c r="BJ4" s="59">
        <f>$BJ$3</f>
        <v>322.75312534885239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1.9</v>
      </c>
      <c r="BY4" s="12">
        <f>IF('Données projet'!$A$114&gt;35,BY3+BX4-CG3,IF(A4&lt;'Données projet'!$A$114,$BV$205^A4,IF(A4='Données projet'!$A$114,'Données projet'!$B$114,BY3+BX4-CG3)))</f>
        <v>1.3423796509621049</v>
      </c>
      <c r="BZ4" s="13">
        <f>BY4*VLOOKUP('Données projet'!$B$12,Paramètres!$A$1:$I$89,3,0)*VLOOKUP('Données projet'!$B$12,Paramètres!$A$1:$I$89,5,0)</f>
        <v>1.0679972503054507</v>
      </c>
      <c r="CA4" s="13">
        <f>EXP(-1.0587+0.8836*LN(BZ4)+0.284)</f>
        <v>0.48842359485523285</v>
      </c>
      <c r="CB4" s="20">
        <f t="shared" ref="CB4:CB67" si="10">(BZ4+CA4)*0.475*44/12</f>
        <v>2.7107663053215236</v>
      </c>
      <c r="CC4" s="59">
        <f t="shared" ref="CC4:CC67" si="11">CB4+(BT4+BU4)*44/12</f>
        <v>260.59965519421036</v>
      </c>
      <c r="CD4" s="59">
        <f ca="1">AVERAGE(OFFSET($CC$3,0,0,'Données projet'!$E$12+1,1))-AVERAGE(OFFSET($H$3,0,0,'Données projet'!$E$12+1,1))</f>
        <v>378.47278187128137</v>
      </c>
      <c r="CE4" s="59">
        <f>$CE$3</f>
        <v>372.59407061242604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0.57720000000000005</v>
      </c>
      <c r="D5" s="11">
        <f t="shared" ref="D5:D68" si="32">IFERROR(EXP(-1.0587+0.8836*LN(C5)+0.284),0)</f>
        <v>0.28356981728235242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3.3222694702125888</v>
      </c>
      <c r="H5" s="67">
        <f t="shared" si="1"/>
        <v>258.16584076510014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</v>
      </c>
      <c r="N5" s="13">
        <f>IF('Données projet'!$A$36&gt;35,N4+M5-V4,IF(A5&lt;'Données projet'!$A$36,$K$205^A5,IF(A5='Données projet'!$A$36,'Données projet'!$B$36,N4+M5-V4)))</f>
        <v>1.6084633688916852</v>
      </c>
      <c r="O5" s="13">
        <f>N5*VLOOKUP('Données projet'!$B$9,Paramètres!$A$1:$I$89,3,0)*VLOOKUP('Données projet'!$B$9,Paramètres!$A$1:$I$89,5,0)</f>
        <v>0.89913102321045202</v>
      </c>
      <c r="P5" s="13">
        <f t="shared" ref="P5:P68" si="33">EXP(-1.0587+0.8836*LN(O5)+0.284)</f>
        <v>0.41951747136668338</v>
      </c>
      <c r="Q5" s="20">
        <f t="shared" si="2"/>
        <v>2.2966461280551771</v>
      </c>
      <c r="R5" s="59">
        <f t="shared" si="0"/>
        <v>261.4077572391663</v>
      </c>
      <c r="S5" s="59">
        <f ca="1">AVERAGE(OFFSET($R$3,0,0,'Données projet'!$E$9+1,1))-AVERAGE(OFFSET($H$3,0,0,'Données projet'!$E$9+1,1))</f>
        <v>347.01106511825213</v>
      </c>
      <c r="T5" s="59">
        <f t="shared" ref="T5:T68" si="34">$T$3</f>
        <v>329.53392323581539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</v>
      </c>
      <c r="AI5" s="13">
        <f>IF('Données projet'!$A$62&gt;35,AI4+AH5-AQ4,IF(A5&lt;'Données projet'!$A$62,$AF$205^A5,IF(A5='Données projet'!$A$62,'Données projet'!$B$62,AI4+AH5-AQ4)))</f>
        <v>4</v>
      </c>
      <c r="AJ5" s="13">
        <f>AI5*VLOOKUP('Données projet'!$B$10,Paramètres!$A$1:$I$89,3,0)*VLOOKUP('Données projet'!$B$10,Paramètres!$A$1:$I$89,5,0)</f>
        <v>3.6191999999999998</v>
      </c>
      <c r="AK5" s="13">
        <f t="shared" ref="AK5:AK68" si="35">EXP(-1.0587+0.8836*LN(AJ5)+0.284)</f>
        <v>1.4359593421107981</v>
      </c>
      <c r="AL5" s="20">
        <f t="shared" si="4"/>
        <v>8.8044025208429719</v>
      </c>
      <c r="AM5" s="59">
        <f t="shared" si="5"/>
        <v>267.91551363195413</v>
      </c>
      <c r="AN5" s="59">
        <f ca="1">AVERAGE(OFFSET($AM$3,0,0,'Données projet'!$E$10+1,1))-AVERAGE(OFFSET($H$3,0,0,'Données projet'!$E$10+1,1))</f>
        <v>209.32570518924194</v>
      </c>
      <c r="AO5" s="59">
        <f t="shared" ref="AO5:AO68" si="36">$AO$3</f>
        <v>138.10530102720475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6.2222222222222223</v>
      </c>
      <c r="BD5" s="12">
        <f>IF('Données projet'!$A$88&gt;35,BD4+BC5-BL4,IF(A5&lt;'Données projet'!$A$88,$BA$205^A5,IF(A5='Données projet'!$A$88,'Données projet'!$B$88,BD4+BC5-BL4)))</f>
        <v>1.6892381903525915</v>
      </c>
      <c r="BE5" s="13">
        <f>BD5*VLOOKUP('Données projet'!$B$11,Paramètres!$A$1:$I$89,3,0)*VLOOKUP('Données projet'!$B$11,Paramètres!$A$1:$I$89,5,0)</f>
        <v>1.0540846307800171</v>
      </c>
      <c r="BF5" s="13">
        <f t="shared" ref="BF5:BF68" si="37">EXP(-1.0587+0.8836*LN(BE5)+0.284)</f>
        <v>0.48279730809434274</v>
      </c>
      <c r="BG5" s="20">
        <f t="shared" si="7"/>
        <v>2.6767360435395098</v>
      </c>
      <c r="BH5" s="59">
        <f t="shared" si="8"/>
        <v>261.78784715465065</v>
      </c>
      <c r="BI5" s="59">
        <f ca="1">AVERAGE(OFFSET($BH$3,0,0,'Données projet'!$E$11+1,1))-AVERAGE(OFFSET($H$3,0,0,'Données projet'!$E$11+1,1))</f>
        <v>219.86035935827329</v>
      </c>
      <c r="BJ5" s="59">
        <f t="shared" ref="BJ5:BJ68" si="38">$BJ$3</f>
        <v>322.75312534885239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1.9</v>
      </c>
      <c r="BY5" s="12">
        <f>IF('Données projet'!$A$114&gt;35,BY4+BX5-CG4,IF(A5&lt;'Données projet'!$A$114,$BV$205^A5,IF(A5='Données projet'!$A$114,'Données projet'!$B$114,BY4+BX5-CG4)))</f>
        <v>1.8019831273171425</v>
      </c>
      <c r="BZ5" s="13">
        <f>BY5*VLOOKUP('Données projet'!$B$12,Paramètres!$A$1:$I$89,3,0)*VLOOKUP('Données projet'!$B$12,Paramètres!$A$1:$I$89,5,0)</f>
        <v>1.4336577760935185</v>
      </c>
      <c r="CA5" s="13">
        <f t="shared" ref="CA5:CA68" si="39">EXP(-1.0587+0.8836*LN(BZ5)+0.284)</f>
        <v>0.63355934907379652</v>
      </c>
      <c r="CB5" s="20">
        <f t="shared" si="10"/>
        <v>3.6004031596664068</v>
      </c>
      <c r="CC5" s="59">
        <f t="shared" si="11"/>
        <v>262.71151427077757</v>
      </c>
      <c r="CD5" s="59">
        <f ca="1">AVERAGE(OFFSET($CC$3,0,0,'Données projet'!$E$12+1,1))-AVERAGE(OFFSET($H$3,0,0,'Données projet'!$E$12+1,1))</f>
        <v>378.47278187128137</v>
      </c>
      <c r="CE5" s="59">
        <f t="shared" ref="CE5:CE68" si="40">$CE$3</f>
        <v>372.59407061242604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0.86580000000000013</v>
      </c>
      <c r="D6" s="11">
        <f t="shared" si="32"/>
        <v>0.40574599325954425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4.9077213774929787</v>
      </c>
      <c r="H6" s="67">
        <f t="shared" si="1"/>
        <v>258.88127593826039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</v>
      </c>
      <c r="N6" s="13">
        <f>IF('Données projet'!$A$36&gt;35,N5+M6-V5,IF(A6&lt;'Données projet'!$A$36,$K$205^A6,IF(A6='Données projet'!$A$36,'Données projet'!$B$36,N5+M6-V5)))</f>
        <v>2.0399370325208328</v>
      </c>
      <c r="O6" s="13">
        <f>N6*VLOOKUP('Données projet'!$B$9,Paramètres!$A$1:$I$89,3,0)*VLOOKUP('Données projet'!$B$9,Paramètres!$A$1:$I$89,5,0)</f>
        <v>1.1403248011791456</v>
      </c>
      <c r="P6" s="13">
        <f t="shared" si="33"/>
        <v>0.51753831714617704</v>
      </c>
      <c r="Q6" s="20">
        <f t="shared" si="2"/>
        <v>2.8874449310832699</v>
      </c>
      <c r="R6" s="59">
        <f t="shared" si="0"/>
        <v>263.22077826441659</v>
      </c>
      <c r="S6" s="59">
        <f ca="1">AVERAGE(OFFSET($R$3,0,0,'Données projet'!$E$9+1,1))-AVERAGE(OFFSET($H$3,0,0,'Données projet'!$E$9+1,1))</f>
        <v>347.01106511825213</v>
      </c>
      <c r="T6" s="59">
        <f t="shared" si="34"/>
        <v>329.53392323581539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</v>
      </c>
      <c r="AI6" s="13">
        <f>IF('Données projet'!$A$62&gt;35,AI5+AH6-AQ5,IF(A6&lt;'Données projet'!$A$62,$AF$205^A6,IF(A6='Données projet'!$A$62,'Données projet'!$B$62,AI5+AH6-AQ5)))</f>
        <v>6</v>
      </c>
      <c r="AJ6" s="13">
        <f>AI6*VLOOKUP('Données projet'!$B$10,Paramètres!$A$1:$I$89,3,0)*VLOOKUP('Données projet'!$B$10,Paramètres!$A$1:$I$89,5,0)</f>
        <v>5.4287999999999998</v>
      </c>
      <c r="AK6" s="13">
        <f t="shared" si="35"/>
        <v>2.0546430333413586</v>
      </c>
      <c r="AL6" s="20">
        <f t="shared" si="4"/>
        <v>13.033663283069531</v>
      </c>
      <c r="AM6" s="59">
        <f t="shared" si="5"/>
        <v>273.36699661640284</v>
      </c>
      <c r="AN6" s="59">
        <f ca="1">AVERAGE(OFFSET($AM$3,0,0,'Données projet'!$E$10+1,1))-AVERAGE(OFFSET($H$3,0,0,'Données projet'!$E$10+1,1))</f>
        <v>209.32570518924194</v>
      </c>
      <c r="AO6" s="59">
        <f t="shared" si="36"/>
        <v>138.10530102720475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6.2222222222222223</v>
      </c>
      <c r="BD6" s="12">
        <f>IF('Données projet'!$A$88&gt;35,BD5+BC6-BL5,IF(A6&lt;'Données projet'!$A$88,$BA$205^A6,IF(A6='Données projet'!$A$88,'Données projet'!$B$88,BD5+BC6-BL5)))</f>
        <v>2.1955146386099229</v>
      </c>
      <c r="BE6" s="13">
        <f>BD6*VLOOKUP('Données projet'!$B$11,Paramètres!$A$1:$I$89,3,0)*VLOOKUP('Données projet'!$B$11,Paramètres!$A$1:$I$89,5,0)</f>
        <v>1.3700011344925918</v>
      </c>
      <c r="BF6" s="13">
        <f t="shared" si="37"/>
        <v>0.60863745619068288</v>
      </c>
      <c r="BG6" s="20">
        <f t="shared" si="7"/>
        <v>3.4461288787733699</v>
      </c>
      <c r="BH6" s="59">
        <f t="shared" si="8"/>
        <v>263.77946221210669</v>
      </c>
      <c r="BI6" s="59">
        <f ca="1">AVERAGE(OFFSET($BH$3,0,0,'Données projet'!$E$11+1,1))-AVERAGE(OFFSET($H$3,0,0,'Données projet'!$E$11+1,1))</f>
        <v>219.86035935827329</v>
      </c>
      <c r="BJ6" s="59">
        <f t="shared" si="38"/>
        <v>322.75312534885239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1.9</v>
      </c>
      <c r="BY6" s="12">
        <f>IF('Données projet'!$A$114&gt;35,BY5+BX6-CG5,IF(A6&lt;'Données projet'!$A$114,$BV$205^A6,IF(A6='Données projet'!$A$114,'Données projet'!$B$114,BY5+BX6-CG5)))</f>
        <v>2.4189454814875879</v>
      </c>
      <c r="BZ6" s="13">
        <f>BY6*VLOOKUP('Données projet'!$B$12,Paramètres!$A$1:$I$89,3,0)*VLOOKUP('Données projet'!$B$12,Paramètres!$A$1:$I$89,5,0)</f>
        <v>1.9245130250715252</v>
      </c>
      <c r="CA6" s="13">
        <f t="shared" si="39"/>
        <v>0.82182239561499026</v>
      </c>
      <c r="CB6" s="20">
        <f t="shared" si="10"/>
        <v>4.7832008576956815</v>
      </c>
      <c r="CC6" s="59">
        <f t="shared" si="11"/>
        <v>265.11653419102902</v>
      </c>
      <c r="CD6" s="59">
        <f ca="1">AVERAGE(OFFSET($CC$3,0,0,'Données projet'!$E$12+1,1))-AVERAGE(OFFSET($H$3,0,0,'Données projet'!$E$12+1,1))</f>
        <v>378.47278187128137</v>
      </c>
      <c r="CE6" s="59">
        <f t="shared" si="40"/>
        <v>372.59407061242604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1.1544000000000001</v>
      </c>
      <c r="D7" s="11">
        <f t="shared" si="32"/>
        <v>0.52317876401603369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6.4748654049741665</v>
      </c>
      <c r="H7" s="67">
        <f t="shared" si="1"/>
        <v>259.58844968066126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</v>
      </c>
      <c r="N7" s="13">
        <f>IF('Données projet'!$A$36&gt;35,N6+M7-V6,IF(A7&lt;'Données projet'!$A$36,$K$205^A7,IF(A7='Données projet'!$A$36,'Données projet'!$B$36,N6+M7-V6)))</f>
        <v>2.5871544090663892</v>
      </c>
      <c r="O7" s="13">
        <f>N7*VLOOKUP('Données projet'!$B$9,Paramètres!$A$1:$I$89,3,0)*VLOOKUP('Données projet'!$B$9,Paramètres!$A$1:$I$89,5,0)</f>
        <v>1.4462193146681115</v>
      </c>
      <c r="P7" s="13">
        <f t="shared" si="33"/>
        <v>0.63846187106801944</v>
      </c>
      <c r="Q7" s="20">
        <f t="shared" si="2"/>
        <v>3.6308197318237614</v>
      </c>
      <c r="R7" s="59">
        <f t="shared" si="0"/>
        <v>265.18637528737929</v>
      </c>
      <c r="S7" s="59">
        <f ca="1">AVERAGE(OFFSET($R$3,0,0,'Données projet'!$E$9+1,1))-AVERAGE(OFFSET($H$3,0,0,'Données projet'!$E$9+1,1))</f>
        <v>347.01106511825213</v>
      </c>
      <c r="T7" s="59">
        <f t="shared" si="34"/>
        <v>329.53392323581539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</v>
      </c>
      <c r="AI7" s="13">
        <f>IF('Données projet'!$A$62&gt;35,AI6+AH7-AQ6,IF(A7&lt;'Données projet'!$A$62,$AF$205^A7,IF(A7='Données projet'!$A$62,'Données projet'!$B$62,AI6+AH7-AQ6)))</f>
        <v>8</v>
      </c>
      <c r="AJ7" s="13">
        <f>AI7*VLOOKUP('Données projet'!$B$10,Paramètres!$A$1:$I$89,3,0)*VLOOKUP('Données projet'!$B$10,Paramètres!$A$1:$I$89,5,0)</f>
        <v>7.2383999999999995</v>
      </c>
      <c r="AK7" s="13">
        <f t="shared" si="35"/>
        <v>2.6493067597344675</v>
      </c>
      <c r="AL7" s="20">
        <f t="shared" si="4"/>
        <v>17.221089273204196</v>
      </c>
      <c r="AM7" s="59">
        <f t="shared" si="5"/>
        <v>278.77664482875974</v>
      </c>
      <c r="AN7" s="59">
        <f ca="1">AVERAGE(OFFSET($AM$3,0,0,'Données projet'!$E$10+1,1))-AVERAGE(OFFSET($H$3,0,0,'Données projet'!$E$10+1,1))</f>
        <v>209.32570518924194</v>
      </c>
      <c r="AO7" s="59">
        <f t="shared" si="36"/>
        <v>138.10530102720475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6.2222222222222223</v>
      </c>
      <c r="BD7" s="12">
        <f>IF('Données projet'!$A$88&gt;35,BD6+BC7-BL6,IF(A7&lt;'Données projet'!$A$88,$BA$205^A7,IF(A7='Données projet'!$A$88,'Données projet'!$B$88,BD6+BC7-BL6)))</f>
        <v>2.8535256637456983</v>
      </c>
      <c r="BE7" s="13">
        <f>BD7*VLOOKUP('Données projet'!$B$11,Paramètres!$A$1:$I$89,3,0)*VLOOKUP('Données projet'!$B$11,Paramètres!$A$1:$I$89,5,0)</f>
        <v>1.7806000141773157</v>
      </c>
      <c r="BF7" s="13">
        <f t="shared" si="37"/>
        <v>0.76727758599241935</v>
      </c>
      <c r="BG7" s="20">
        <f t="shared" si="7"/>
        <v>4.4375534869622877</v>
      </c>
      <c r="BH7" s="59">
        <f t="shared" si="8"/>
        <v>265.99310904251786</v>
      </c>
      <c r="BI7" s="59">
        <f ca="1">AVERAGE(OFFSET($BH$3,0,0,'Données projet'!$E$11+1,1))-AVERAGE(OFFSET($H$3,0,0,'Données projet'!$E$11+1,1))</f>
        <v>219.86035935827329</v>
      </c>
      <c r="BJ7" s="59">
        <f t="shared" si="38"/>
        <v>322.75312534885239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1.9</v>
      </c>
      <c r="BY7" s="12">
        <f>IF('Données projet'!$A$114&gt;35,BY6+BX7-CG6,IF(A7&lt;'Données projet'!$A$114,$BV$205^A7,IF(A7='Données projet'!$A$114,'Données projet'!$B$114,BY6+BX7-CG6)))</f>
        <v>3.247143191135669</v>
      </c>
      <c r="BZ7" s="13">
        <f>BY7*VLOOKUP('Données projet'!$B$12,Paramètres!$A$1:$I$89,3,0)*VLOOKUP('Données projet'!$B$12,Paramètres!$A$1:$I$89,5,0)</f>
        <v>2.5834271228675387</v>
      </c>
      <c r="CA7" s="13">
        <f t="shared" si="39"/>
        <v>1.066028069701316</v>
      </c>
      <c r="CB7" s="20">
        <f t="shared" si="10"/>
        <v>6.3561344603907548</v>
      </c>
      <c r="CC7" s="59">
        <f t="shared" si="11"/>
        <v>267.91169001594631</v>
      </c>
      <c r="CD7" s="59">
        <f ca="1">AVERAGE(OFFSET($CC$3,0,0,'Données projet'!$E$12+1,1))-AVERAGE(OFFSET($H$3,0,0,'Données projet'!$E$12+1,1))</f>
        <v>378.47278187128137</v>
      </c>
      <c r="CE7" s="59">
        <f t="shared" si="40"/>
        <v>372.59407061242604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8" s="11">
        <f t="shared" si="32"/>
        <v>0.63720590978354918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8.0288649149540507</v>
      </c>
      <c r="H8" s="67">
        <f t="shared" si="1"/>
        <v>260.28969195953971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</v>
      </c>
      <c r="N8" s="13">
        <f>IF('Données projet'!$A$36&gt;35,N7+M8-V7,IF(A8&lt;'Données projet'!$A$36,$K$205^A8,IF(A8='Données projet'!$A$36,'Données projet'!$B$36,N7+M8-V7)))</f>
        <v>3.2811639916553657</v>
      </c>
      <c r="O8" s="13">
        <f>N8*VLOOKUP('Données projet'!$B$9,Paramètres!$A$1:$I$89,3,0)*VLOOKUP('Données projet'!$B$9,Paramètres!$A$1:$I$89,5,0)</f>
        <v>1.8341706713353494</v>
      </c>
      <c r="P8" s="13">
        <f t="shared" si="33"/>
        <v>0.78763938302280623</v>
      </c>
      <c r="Q8" s="20">
        <f t="shared" si="2"/>
        <v>4.5663191780071211</v>
      </c>
      <c r="R8" s="59">
        <f t="shared" si="0"/>
        <v>267.34409695578489</v>
      </c>
      <c r="S8" s="59">
        <f ca="1">AVERAGE(OFFSET($R$3,0,0,'Données projet'!$E$9+1,1))-AVERAGE(OFFSET($H$3,0,0,'Données projet'!$E$9+1,1))</f>
        <v>347.01106511825213</v>
      </c>
      <c r="T8" s="59">
        <f t="shared" si="34"/>
        <v>329.53392323581539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</v>
      </c>
      <c r="AI8" s="13">
        <f>IF('Données projet'!$A$62&gt;35,AI7+AH8-AQ7,IF(A8&lt;'Données projet'!$A$62,$AF$205^A8,IF(A8='Données projet'!$A$62,'Données projet'!$B$62,AI7+AH8-AQ7)))</f>
        <v>10</v>
      </c>
      <c r="AJ8" s="13">
        <f>AI8*VLOOKUP('Données projet'!$B$10,Paramètres!$A$1:$I$89,3,0)*VLOOKUP('Données projet'!$B$10,Paramètres!$A$1:$I$89,5,0)</f>
        <v>9.048</v>
      </c>
      <c r="AK8" s="13">
        <f t="shared" si="35"/>
        <v>3.226724860110286</v>
      </c>
      <c r="AL8" s="20">
        <f t="shared" si="4"/>
        <v>21.378479131358745</v>
      </c>
      <c r="AM8" s="59">
        <f t="shared" si="5"/>
        <v>284.15625690913652</v>
      </c>
      <c r="AN8" s="59">
        <f ca="1">AVERAGE(OFFSET($AM$3,0,0,'Données projet'!$E$10+1,1))-AVERAGE(OFFSET($H$3,0,0,'Données projet'!$E$10+1,1))</f>
        <v>209.32570518924194</v>
      </c>
      <c r="AO8" s="59">
        <f t="shared" si="36"/>
        <v>138.10530102720475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6.2222222222222223</v>
      </c>
      <c r="BD8" s="12">
        <f>IF('Données projet'!$A$88&gt;35,BD7+BC8-BL7,IF(A8&lt;'Données projet'!$A$88,$BA$205^A8,IF(A8='Données projet'!$A$88,'Données projet'!$B$88,BD7+BC8-BL7)))</f>
        <v>3.7087471750180505</v>
      </c>
      <c r="BE8" s="13">
        <f>BD8*VLOOKUP('Données projet'!$B$11,Paramètres!$A$1:$I$89,3,0)*VLOOKUP('Données projet'!$B$11,Paramètres!$A$1:$I$89,5,0)</f>
        <v>2.3142582372112632</v>
      </c>
      <c r="BF8" s="13">
        <f t="shared" si="37"/>
        <v>0.96726694681425085</v>
      </c>
      <c r="BG8" s="20">
        <f t="shared" si="7"/>
        <v>5.7153230288444377</v>
      </c>
      <c r="BH8" s="59">
        <f t="shared" si="8"/>
        <v>268.49310080662224</v>
      </c>
      <c r="BI8" s="59">
        <f ca="1">AVERAGE(OFFSET($BH$3,0,0,'Données projet'!$E$11+1,1))-AVERAGE(OFFSET($H$3,0,0,'Données projet'!$E$11+1,1))</f>
        <v>219.86035935827329</v>
      </c>
      <c r="BJ8" s="59">
        <f t="shared" si="38"/>
        <v>322.75312534885239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1.9</v>
      </c>
      <c r="BY8" s="12">
        <f>IF('Données projet'!$A$114&gt;35,BY7+BX8-CG7,IF(A8&lt;'Données projet'!$A$114,$BV$205^A8,IF(A8='Données projet'!$A$114,'Données projet'!$B$114,BY7+BX8-CG7)))</f>
        <v>4.3588989435406749</v>
      </c>
      <c r="BZ8" s="13">
        <f>BY8*VLOOKUP('Données projet'!$B$12,Paramètres!$A$1:$I$89,3,0)*VLOOKUP('Données projet'!$B$12,Paramètres!$A$1:$I$89,5,0)</f>
        <v>3.467939999480961</v>
      </c>
      <c r="CA8" s="13">
        <f t="shared" si="39"/>
        <v>1.382799801337496</v>
      </c>
      <c r="CB8" s="20">
        <f t="shared" si="10"/>
        <v>8.4483718197588118</v>
      </c>
      <c r="CC8" s="59">
        <f t="shared" si="11"/>
        <v>271.22614959753656</v>
      </c>
      <c r="CD8" s="59">
        <f ca="1">AVERAGE(OFFSET($CC$3,0,0,'Données projet'!$E$12+1,1))-AVERAGE(OFFSET($H$3,0,0,'Données projet'!$E$12+1,1))</f>
        <v>378.47278187128137</v>
      </c>
      <c r="CE8" s="59">
        <f t="shared" si="40"/>
        <v>372.59407061242604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1.7316</v>
      </c>
      <c r="D9" s="11">
        <f t="shared" si="32"/>
        <v>0.74859055626015347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9.5726653048637509</v>
      </c>
      <c r="H9" s="67">
        <f t="shared" si="1"/>
        <v>260.98633188548644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</v>
      </c>
      <c r="N9" s="13">
        <f>IF('Données projet'!$A$36&gt;35,N8+M9-V8,IF(A9&lt;'Données projet'!$A$36,$K$205^A9,IF(A9='Données projet'!$A$36,'Données projet'!$B$36,N8+M9-V8)))</f>
        <v>4.161343096649901</v>
      </c>
      <c r="O9" s="13">
        <f>N9*VLOOKUP('Données projet'!$B$9,Paramètres!$A$1:$I$89,3,0)*VLOOKUP('Données projet'!$B$9,Paramètres!$A$1:$I$89,5,0)</f>
        <v>2.3261907910272948</v>
      </c>
      <c r="P9" s="13">
        <f t="shared" si="33"/>
        <v>0.97167242994602299</v>
      </c>
      <c r="Q9" s="20">
        <f t="shared" si="2"/>
        <v>5.7437784431951941</v>
      </c>
      <c r="R9" s="59">
        <f t="shared" si="0"/>
        <v>269.7437784431952</v>
      </c>
      <c r="S9" s="59">
        <f ca="1">AVERAGE(OFFSET($R$3,0,0,'Données projet'!$E$9+1,1))-AVERAGE(OFFSET($H$3,0,0,'Données projet'!$E$9+1,1))</f>
        <v>347.01106511825213</v>
      </c>
      <c r="T9" s="59">
        <f t="shared" si="34"/>
        <v>329.53392323581539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</v>
      </c>
      <c r="AI9" s="13">
        <f>IF('Données projet'!$A$62&gt;35,AI8+AH9-AQ8,IF(A9&lt;'Données projet'!$A$62,$AF$205^A9,IF(A9='Données projet'!$A$62,'Données projet'!$B$62,AI8+AH9-AQ8)))</f>
        <v>12</v>
      </c>
      <c r="AJ9" s="13">
        <f>AI9*VLOOKUP('Données projet'!$B$10,Paramètres!$A$1:$I$89,3,0)*VLOOKUP('Données projet'!$B$10,Paramètres!$A$1:$I$89,5,0)</f>
        <v>10.8576</v>
      </c>
      <c r="AK9" s="13">
        <f t="shared" si="35"/>
        <v>3.7907617001683773</v>
      </c>
      <c r="AL9" s="20">
        <f t="shared" si="4"/>
        <v>25.512563294459923</v>
      </c>
      <c r="AM9" s="59">
        <f t="shared" si="5"/>
        <v>289.51256329445994</v>
      </c>
      <c r="AN9" s="59">
        <f ca="1">AVERAGE(OFFSET($AM$3,0,0,'Données projet'!$E$10+1,1))-AVERAGE(OFFSET($H$3,0,0,'Données projet'!$E$10+1,1))</f>
        <v>209.32570518924194</v>
      </c>
      <c r="AO9" s="59">
        <f t="shared" si="36"/>
        <v>138.10530102720475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6.2222222222222223</v>
      </c>
      <c r="BD9" s="12">
        <f>IF('Données projet'!$A$88&gt;35,BD8+BC9-BL8,IF(A9&lt;'Données projet'!$A$88,$BA$205^A9,IF(A9='Données projet'!$A$88,'Données projet'!$B$88,BD8+BC9-BL8)))</f>
        <v>4.8202845283504612</v>
      </c>
      <c r="BE9" s="13">
        <f>BD9*VLOOKUP('Données projet'!$B$11,Paramètres!$A$1:$I$89,3,0)*VLOOKUP('Données projet'!$B$11,Paramètres!$A$1:$I$89,5,0)</f>
        <v>3.0078575456906878</v>
      </c>
      <c r="BF9" s="13">
        <f t="shared" si="37"/>
        <v>1.2193831326236693</v>
      </c>
      <c r="BG9" s="20">
        <f t="shared" si="7"/>
        <v>7.3624441813975059</v>
      </c>
      <c r="BH9" s="59">
        <f t="shared" si="8"/>
        <v>271.36244418139751</v>
      </c>
      <c r="BI9" s="59">
        <f ca="1">AVERAGE(OFFSET($BH$3,0,0,'Données projet'!$E$11+1,1))-AVERAGE(OFFSET($H$3,0,0,'Données projet'!$E$11+1,1))</f>
        <v>219.86035935827329</v>
      </c>
      <c r="BJ9" s="59">
        <f t="shared" si="38"/>
        <v>322.75312534885239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1.9</v>
      </c>
      <c r="BY9" s="12">
        <f>IF('Données projet'!$A$114&gt;35,BY8+BX9-CG8,IF(A9&lt;'Données projet'!$A$114,$BV$205^A9,IF(A9='Données projet'!$A$114,'Données projet'!$B$114,BY8+BX9-CG8)))</f>
        <v>5.8512972424092187</v>
      </c>
      <c r="BZ9" s="13">
        <f>BY9*VLOOKUP('Données projet'!$B$12,Paramètres!$A$1:$I$89,3,0)*VLOOKUP('Données projet'!$B$12,Paramètres!$A$1:$I$89,5,0)</f>
        <v>4.6552920860607747</v>
      </c>
      <c r="CA9" s="13">
        <f t="shared" si="39"/>
        <v>1.7937006960002178</v>
      </c>
      <c r="CB9" s="20">
        <f t="shared" si="10"/>
        <v>11.231995762089561</v>
      </c>
      <c r="CC9" s="59">
        <f t="shared" si="11"/>
        <v>275.23199576208958</v>
      </c>
      <c r="CD9" s="59">
        <f ca="1">AVERAGE(OFFSET($CC$3,0,0,'Données projet'!$E$12+1,1))-AVERAGE(OFFSET($H$3,0,0,'Données projet'!$E$12+1,1))</f>
        <v>378.47278187128137</v>
      </c>
      <c r="CE9" s="59">
        <f t="shared" si="40"/>
        <v>372.59407061242604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2.0202</v>
      </c>
      <c r="D10" s="11">
        <f t="shared" si="32"/>
        <v>0.85782466107670208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11.108165358541656</v>
      </c>
      <c r="H10" s="67">
        <f t="shared" si="1"/>
        <v>261.67922628470859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</v>
      </c>
      <c r="N10" s="13">
        <f>IF('Données projet'!$A$36&gt;35,N9+M10-V9,IF(A10&lt;'Données projet'!$A$36,$K$205^A10,IF(A10='Données projet'!$A$36,'Données projet'!$B$36,N9+M10-V9)))</f>
        <v>5.2776320879040783</v>
      </c>
      <c r="O10" s="13">
        <f>N10*VLOOKUP('Données projet'!$B$9,Paramètres!$A$1:$I$89,3,0)*VLOOKUP('Données projet'!$B$9,Paramètres!$A$1:$I$89,5,0)</f>
        <v>2.9501963371383799</v>
      </c>
      <c r="P10" s="13">
        <f t="shared" si="33"/>
        <v>1.1987050564863271</v>
      </c>
      <c r="Q10" s="20">
        <f t="shared" si="2"/>
        <v>7.2260032605630302</v>
      </c>
      <c r="R10" s="59">
        <f t="shared" si="0"/>
        <v>272.44822548278523</v>
      </c>
      <c r="S10" s="59">
        <f ca="1">AVERAGE(OFFSET($R$3,0,0,'Données projet'!$E$9+1,1))-AVERAGE(OFFSET($H$3,0,0,'Données projet'!$E$9+1,1))</f>
        <v>347.01106511825213</v>
      </c>
      <c r="T10" s="59">
        <f t="shared" si="34"/>
        <v>329.53392323581539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</v>
      </c>
      <c r="AI10" s="13">
        <f>IF('Données projet'!$A$62&gt;35,AI9+AH10-AQ9,IF(A10&lt;'Données projet'!$A$62,$AF$205^A10,IF(A10='Données projet'!$A$62,'Données projet'!$B$62,AI9+AH10-AQ9)))</f>
        <v>14</v>
      </c>
      <c r="AJ10" s="13">
        <f>AI10*VLOOKUP('Données projet'!$B$10,Paramètres!$A$1:$I$89,3,0)*VLOOKUP('Données projet'!$B$10,Paramètres!$A$1:$I$89,5,0)</f>
        <v>12.667199999999999</v>
      </c>
      <c r="AK10" s="13">
        <f t="shared" si="35"/>
        <v>4.3439084870573748</v>
      </c>
      <c r="AL10" s="20">
        <f t="shared" si="4"/>
        <v>29.627680614958262</v>
      </c>
      <c r="AM10" s="59">
        <f t="shared" si="5"/>
        <v>294.84990283718048</v>
      </c>
      <c r="AN10" s="59">
        <f ca="1">AVERAGE(OFFSET($AM$3,0,0,'Données projet'!$E$10+1,1))-AVERAGE(OFFSET($H$3,0,0,'Données projet'!$E$10+1,1))</f>
        <v>209.32570518924194</v>
      </c>
      <c r="AO10" s="59">
        <f t="shared" si="36"/>
        <v>138.10530102720475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6.2222222222222223</v>
      </c>
      <c r="BD10" s="12">
        <f>IF('Données projet'!$A$88&gt;35,BD9+BC10-BL9,IF(A10&lt;'Données projet'!$A$88,$BA$205^A10,IF(A10='Données projet'!$A$88,'Données projet'!$B$88,BD9+BC10-BL9)))</f>
        <v>6.2649573664027773</v>
      </c>
      <c r="BE10" s="13">
        <f>BD10*VLOOKUP('Données projet'!$B$11,Paramètres!$A$1:$I$89,3,0)*VLOOKUP('Données projet'!$B$11,Paramètres!$A$1:$I$89,5,0)</f>
        <v>3.9093333966353332</v>
      </c>
      <c r="BF10" s="13">
        <f t="shared" si="37"/>
        <v>1.5372128955964925</v>
      </c>
      <c r="BG10" s="20">
        <f t="shared" si="7"/>
        <v>9.4860681256370967</v>
      </c>
      <c r="BH10" s="59">
        <f t="shared" si="8"/>
        <v>274.7082903478593</v>
      </c>
      <c r="BI10" s="59">
        <f ca="1">AVERAGE(OFFSET($BH$3,0,0,'Données projet'!$E$11+1,1))-AVERAGE(OFFSET($H$3,0,0,'Données projet'!$E$11+1,1))</f>
        <v>219.86035935827329</v>
      </c>
      <c r="BJ10" s="59">
        <f t="shared" si="38"/>
        <v>322.75312534885239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1.9</v>
      </c>
      <c r="BY10" s="12">
        <f>IF('Données projet'!$A$114&gt;35,BY9+BX10-CG9,IF(A10&lt;'Données projet'!$A$114,$BV$205^A10,IF(A10='Données projet'!$A$114,'Données projet'!$B$114,BY9+BX10-CG9)))</f>
        <v>7.8546623499408135</v>
      </c>
      <c r="BZ10" s="13">
        <f>BY10*VLOOKUP('Données projet'!$B$12,Paramètres!$A$1:$I$89,3,0)*VLOOKUP('Données projet'!$B$12,Paramètres!$A$1:$I$89,5,0)</f>
        <v>6.2491693656129108</v>
      </c>
      <c r="CA10" s="13">
        <f t="shared" si="39"/>
        <v>2.326701366112224</v>
      </c>
      <c r="CB10" s="20">
        <f t="shared" si="10"/>
        <v>14.936308191087944</v>
      </c>
      <c r="CC10" s="59">
        <f t="shared" si="11"/>
        <v>280.15853041331019</v>
      </c>
      <c r="CD10" s="59">
        <f ca="1">AVERAGE(OFFSET($CC$3,0,0,'Données projet'!$E$12+1,1))-AVERAGE(OFFSET($H$3,0,0,'Données projet'!$E$12+1,1))</f>
        <v>378.47278187128137</v>
      </c>
      <c r="CE10" s="59">
        <f t="shared" si="40"/>
        <v>372.59407061242604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2.3088000000000002</v>
      </c>
      <c r="D11" s="11">
        <f t="shared" si="32"/>
        <v>0.96525089214556192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12.636687653895152</v>
      </c>
      <c r="H11" s="67">
        <f t="shared" si="1"/>
        <v>262.36897197048688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</v>
      </c>
      <c r="N11" s="13">
        <f>IF('Données projet'!$A$36&gt;35,N10+M11-V10,IF(A11&lt;'Données projet'!$A$36,$K$205^A11,IF(A11='Données projet'!$A$36,'Données projet'!$B$36,N10+M11-V10)))</f>
        <v>6.6933679363516569</v>
      </c>
      <c r="O11" s="13">
        <f>N11*VLOOKUP('Données projet'!$B$9,Paramètres!$A$1:$I$89,3,0)*VLOOKUP('Données projet'!$B$9,Paramètres!$A$1:$I$89,5,0)</f>
        <v>3.7415926764205762</v>
      </c>
      <c r="P11" s="13">
        <f t="shared" si="33"/>
        <v>1.4787841747508563</v>
      </c>
      <c r="Q11" s="20">
        <f t="shared" si="2"/>
        <v>9.0921563491235773</v>
      </c>
      <c r="R11" s="59">
        <f t="shared" si="0"/>
        <v>275.53660079356803</v>
      </c>
      <c r="S11" s="59">
        <f ca="1">AVERAGE(OFFSET($R$3,0,0,'Données projet'!$E$9+1,1))-AVERAGE(OFFSET($H$3,0,0,'Données projet'!$E$9+1,1))</f>
        <v>347.01106511825213</v>
      </c>
      <c r="T11" s="59">
        <f t="shared" si="34"/>
        <v>329.53392323581539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</v>
      </c>
      <c r="AI11" s="13">
        <f>IF('Données projet'!$A$62&gt;35,AI10+AH11-AQ10,IF(A11&lt;'Données projet'!$A$62,$AF$205^A11,IF(A11='Données projet'!$A$62,'Données projet'!$B$62,AI10+AH11-AQ10)))</f>
        <v>16</v>
      </c>
      <c r="AJ11" s="13">
        <f>AI11*VLOOKUP('Données projet'!$B$10,Paramètres!$A$1:$I$89,3,0)*VLOOKUP('Données projet'!$B$10,Paramètres!$A$1:$I$89,5,0)</f>
        <v>14.476799999999999</v>
      </c>
      <c r="AK11" s="13">
        <f t="shared" si="35"/>
        <v>4.8879004449090973</v>
      </c>
      <c r="AL11" s="20">
        <f t="shared" si="4"/>
        <v>33.726853274883347</v>
      </c>
      <c r="AM11" s="59">
        <f t="shared" si="5"/>
        <v>300.17129771932781</v>
      </c>
      <c r="AN11" s="59">
        <f ca="1">AVERAGE(OFFSET($AM$3,0,0,'Données projet'!$E$10+1,1))-AVERAGE(OFFSET($H$3,0,0,'Données projet'!$E$10+1,1))</f>
        <v>209.32570518924194</v>
      </c>
      <c r="AO11" s="59">
        <f t="shared" si="36"/>
        <v>138.10530102720475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6.2222222222222223</v>
      </c>
      <c r="BD11" s="12">
        <f>IF('Données projet'!$A$88&gt;35,BD10+BC11-BL10,IF(A11&lt;'Données projet'!$A$88,$BA$205^A11,IF(A11='Données projet'!$A$88,'Données projet'!$B$88,BD10+BC11-BL10)))</f>
        <v>8.1426087136553278</v>
      </c>
      <c r="BE11" s="13">
        <f>BD11*VLOOKUP('Données projet'!$B$11,Paramètres!$A$1:$I$89,3,0)*VLOOKUP('Données projet'!$B$11,Paramètres!$A$1:$I$89,5,0)</f>
        <v>5.080987837320925</v>
      </c>
      <c r="BF11" s="13">
        <f t="shared" si="37"/>
        <v>1.9378843475584122</v>
      </c>
      <c r="BG11" s="20">
        <f t="shared" si="7"/>
        <v>12.224535721998178</v>
      </c>
      <c r="BH11" s="59">
        <f t="shared" si="8"/>
        <v>278.66898016644262</v>
      </c>
      <c r="BI11" s="59">
        <f ca="1">AVERAGE(OFFSET($BH$3,0,0,'Données projet'!$E$11+1,1))-AVERAGE(OFFSET($H$3,0,0,'Données projet'!$E$11+1,1))</f>
        <v>219.86035935827329</v>
      </c>
      <c r="BJ11" s="59">
        <f t="shared" si="38"/>
        <v>322.75312534885239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1.9</v>
      </c>
      <c r="BY11" s="12">
        <f>IF('Données projet'!$A$114&gt;35,BY10+BX11-CG10,IF(A11&lt;'Données projet'!$A$114,$BV$205^A11,IF(A11='Données projet'!$A$114,'Données projet'!$B$114,BY10+BX11-CG10)))</f>
        <v>10.543938903738736</v>
      </c>
      <c r="BZ11" s="13">
        <f>BY11*VLOOKUP('Données projet'!$B$12,Paramètres!$A$1:$I$89,3,0)*VLOOKUP('Données projet'!$B$12,Paramètres!$A$1:$I$89,5,0)</f>
        <v>8.3887577918145393</v>
      </c>
      <c r="CA11" s="13">
        <f t="shared" si="39"/>
        <v>3.0180839306915423</v>
      </c>
      <c r="CB11" s="20">
        <f t="shared" si="10"/>
        <v>19.866916000031427</v>
      </c>
      <c r="CC11" s="59">
        <f t="shared" si="11"/>
        <v>286.31136044447589</v>
      </c>
      <c r="CD11" s="59">
        <f ca="1">AVERAGE(OFFSET($CC$3,0,0,'Données projet'!$E$12+1,1))-AVERAGE(OFFSET($H$3,0,0,'Données projet'!$E$12+1,1))</f>
        <v>378.47278187128137</v>
      </c>
      <c r="CE11" s="59">
        <f t="shared" si="40"/>
        <v>372.59407061242604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2.5974000000000004</v>
      </c>
      <c r="D12" s="11">
        <f t="shared" si="32"/>
        <v>1.0711211147414081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14.1592043025107</v>
      </c>
      <c r="H12" s="67">
        <f t="shared" si="1"/>
        <v>263.05600760817464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</v>
      </c>
      <c r="N12" s="13">
        <f>IF('Données projet'!$A$36&gt;35,N11+M12-V11,IF(A12&lt;'Données projet'!$A$36,$K$205^A12,IF(A12='Données projet'!$A$36,'Données projet'!$B$36,N11+M12-V11)))</f>
        <v>8.4888778878810527</v>
      </c>
      <c r="O12" s="13">
        <f>N12*VLOOKUP('Données projet'!$B$9,Paramètres!$A$1:$I$89,3,0)*VLOOKUP('Données projet'!$B$9,Paramètres!$A$1:$I$89,5,0)</f>
        <v>4.7452827393255088</v>
      </c>
      <c r="P12" s="13">
        <f t="shared" si="33"/>
        <v>1.8243041719566777</v>
      </c>
      <c r="Q12" s="20">
        <f t="shared" si="2"/>
        <v>11.44203053714981</v>
      </c>
      <c r="R12" s="59">
        <f t="shared" si="0"/>
        <v>279.10869720381652</v>
      </c>
      <c r="S12" s="59">
        <f ca="1">AVERAGE(OFFSET($R$3,0,0,'Données projet'!$E$9+1,1))-AVERAGE(OFFSET($H$3,0,0,'Données projet'!$E$9+1,1))</f>
        <v>347.01106511825213</v>
      </c>
      <c r="T12" s="59">
        <f t="shared" si="34"/>
        <v>329.53392323581539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</v>
      </c>
      <c r="AI12" s="13">
        <f>IF('Données projet'!$A$62&gt;35,AI11+AH12-AQ11,IF(A12&lt;'Données projet'!$A$62,$AF$205^A12,IF(A12='Données projet'!$A$62,'Données projet'!$B$62,AI11+AH12-AQ11)))</f>
        <v>18</v>
      </c>
      <c r="AJ12" s="13">
        <f>AI12*VLOOKUP('Données projet'!$B$10,Paramètres!$A$1:$I$89,3,0)*VLOOKUP('Données projet'!$B$10,Paramètres!$A$1:$I$89,5,0)</f>
        <v>16.2864</v>
      </c>
      <c r="AK12" s="13">
        <f t="shared" si="35"/>
        <v>5.4240129855342607</v>
      </c>
      <c r="AL12" s="20">
        <f t="shared" si="4"/>
        <v>37.812302616472174</v>
      </c>
      <c r="AM12" s="59">
        <f t="shared" si="5"/>
        <v>305.47896928313884</v>
      </c>
      <c r="AN12" s="59">
        <f ca="1">AVERAGE(OFFSET($AM$3,0,0,'Données projet'!$E$10+1,1))-AVERAGE(OFFSET($H$3,0,0,'Données projet'!$E$10+1,1))</f>
        <v>209.32570518924194</v>
      </c>
      <c r="AO12" s="59">
        <f t="shared" si="36"/>
        <v>138.10530102720475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6.2222222222222223</v>
      </c>
      <c r="BD12" s="12">
        <f>IF('Données projet'!$A$88&gt;35,BD11+BC12-BL11,IF(A12&lt;'Données projet'!$A$88,$BA$205^A12,IF(A12='Données projet'!$A$88,'Données projet'!$B$88,BD11+BC12-BL11)))</f>
        <v>10.583005244258365</v>
      </c>
      <c r="BE12" s="13">
        <f>BD12*VLOOKUP('Données projet'!$B$11,Paramètres!$A$1:$I$89,3,0)*VLOOKUP('Données projet'!$B$11,Paramètres!$A$1:$I$89,5,0)</f>
        <v>6.6037952724172193</v>
      </c>
      <c r="BF12" s="13">
        <f t="shared" si="37"/>
        <v>2.4429900082608067</v>
      </c>
      <c r="BG12" s="20">
        <f t="shared" si="7"/>
        <v>15.75648436384756</v>
      </c>
      <c r="BH12" s="59">
        <f t="shared" si="8"/>
        <v>283.42315103051425</v>
      </c>
      <c r="BI12" s="59">
        <f ca="1">AVERAGE(OFFSET($BH$3,0,0,'Données projet'!$E$11+1,1))-AVERAGE(OFFSET($H$3,0,0,'Données projet'!$E$11+1,1))</f>
        <v>219.86035935827329</v>
      </c>
      <c r="BJ12" s="59">
        <f t="shared" si="38"/>
        <v>322.75312534885239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1.9</v>
      </c>
      <c r="BY12" s="12">
        <f>IF('Données projet'!$A$114&gt;35,BY11+BX12-CG11,IF(A12&lt;'Données projet'!$A$114,$BV$205^A12,IF(A12='Données projet'!$A$114,'Données projet'!$B$114,BY11+BX12-CG11)))</f>
        <v>14.153969025366564</v>
      </c>
      <c r="BZ12" s="13">
        <f>BY12*VLOOKUP('Données projet'!$B$12,Paramètres!$A$1:$I$89,3,0)*VLOOKUP('Données projet'!$B$12,Paramètres!$A$1:$I$89,5,0)</f>
        <v>11.260897756581638</v>
      </c>
      <c r="CA12" s="13">
        <f t="shared" si="39"/>
        <v>3.9149117911590028</v>
      </c>
      <c r="CB12" s="20">
        <f t="shared" si="10"/>
        <v>26.431201628981615</v>
      </c>
      <c r="CC12" s="59">
        <f t="shared" si="11"/>
        <v>294.09786829564831</v>
      </c>
      <c r="CD12" s="59">
        <f ca="1">AVERAGE(OFFSET($CC$3,0,0,'Données projet'!$E$12+1,1))-AVERAGE(OFFSET($H$3,0,0,'Données projet'!$E$12+1,1))</f>
        <v>378.47278187128137</v>
      </c>
      <c r="CE12" s="59">
        <f t="shared" si="40"/>
        <v>372.59407061242604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2.8860000000000006</v>
      </c>
      <c r="D13" s="11">
        <f t="shared" si="32"/>
        <v>1.1756279405869499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15.676458718054896</v>
      </c>
      <c r="H13" s="67">
        <f t="shared" si="1"/>
        <v>263.74066866318896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</v>
      </c>
      <c r="N13" s="13">
        <f>IF('Données projet'!$A$36&gt;35,N12+M13-V12,IF(A13&lt;'Données projet'!$A$36,$K$205^A13,IF(A13='Données projet'!$A$36,'Données projet'!$B$36,N12+M13-V12)))</f>
        <v>10.766037140135772</v>
      </c>
      <c r="O13" s="13">
        <f>N13*VLOOKUP('Données projet'!$B$9,Paramètres!$A$1:$I$89,3,0)*VLOOKUP('Données projet'!$B$9,Paramètres!$A$1:$I$89,5,0)</f>
        <v>6.0182147613358969</v>
      </c>
      <c r="P13" s="13">
        <f t="shared" si="33"/>
        <v>2.2505554012837949</v>
      </c>
      <c r="Q13" s="20">
        <f t="shared" si="2"/>
        <v>14.401441366562629</v>
      </c>
      <c r="R13" s="59">
        <f t="shared" si="0"/>
        <v>283.29033025545147</v>
      </c>
      <c r="S13" s="59">
        <f ca="1">AVERAGE(OFFSET($R$3,0,0,'Données projet'!$E$9+1,1))-AVERAGE(OFFSET($H$3,0,0,'Données projet'!$E$9+1,1))</f>
        <v>347.01106511825213</v>
      </c>
      <c r="T13" s="59">
        <f t="shared" si="34"/>
        <v>329.53392323581539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</v>
      </c>
      <c r="AI13" s="13">
        <f>IF('Données projet'!$A$62&gt;35,AI12+AH13-AQ12,IF(A13&lt;'Données projet'!$A$62,$AF$205^A13,IF(A13='Données projet'!$A$62,'Données projet'!$B$62,AI12+AH13-AQ12)))</f>
        <v>20</v>
      </c>
      <c r="AJ13" s="13">
        <f>AI13*VLOOKUP('Données projet'!$B$10,Paramètres!$A$1:$I$89,3,0)*VLOOKUP('Données projet'!$B$10,Paramètres!$A$1:$I$89,5,0)</f>
        <v>18.096</v>
      </c>
      <c r="AK13" s="13">
        <f t="shared" si="35"/>
        <v>5.9532214687411624</v>
      </c>
      <c r="AL13" s="20">
        <f t="shared" si="4"/>
        <v>41.885727391390851</v>
      </c>
      <c r="AM13" s="59">
        <f t="shared" si="5"/>
        <v>310.7746162802797</v>
      </c>
      <c r="AN13" s="59">
        <f ca="1">AVERAGE(OFFSET($AM$3,0,0,'Données projet'!$E$10+1,1))-AVERAGE(OFFSET($H$3,0,0,'Données projet'!$E$10+1,1))</f>
        <v>209.32570518924194</v>
      </c>
      <c r="AO13" s="59">
        <f t="shared" si="36"/>
        <v>138.10530102720475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6.2222222222222223</v>
      </c>
      <c r="BD13" s="12">
        <f>IF('Données projet'!$A$88&gt;35,BD12+BC13-BL12,IF(A13&lt;'Données projet'!$A$88,$BA$205^A13,IF(A13='Données projet'!$A$88,'Données projet'!$B$88,BD12+BC13-BL12)))</f>
        <v>13.754805608204368</v>
      </c>
      <c r="BE13" s="13">
        <f>BD13*VLOOKUP('Données projet'!$B$11,Paramètres!$A$1:$I$89,3,0)*VLOOKUP('Données projet'!$B$11,Paramètres!$A$1:$I$89,5,0)</f>
        <v>8.5829986995195267</v>
      </c>
      <c r="BF13" s="13">
        <f t="shared" si="37"/>
        <v>3.0797504443346257</v>
      </c>
      <c r="BG13" s="20">
        <f t="shared" si="7"/>
        <v>20.312621425545984</v>
      </c>
      <c r="BH13" s="59">
        <f t="shared" si="8"/>
        <v>289.20151031443481</v>
      </c>
      <c r="BI13" s="59">
        <f ca="1">AVERAGE(OFFSET($BH$3,0,0,'Données projet'!$E$11+1,1))-AVERAGE(OFFSET($H$3,0,0,'Données projet'!$E$11+1,1))</f>
        <v>219.86035935827329</v>
      </c>
      <c r="BJ13" s="59">
        <f t="shared" si="38"/>
        <v>322.75312534885239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19</v>
      </c>
      <c r="BW13" s="12">
        <f>VLOOKUP(A13,'Données projet'!$A$113:$I$133,9,0)</f>
        <v>1.9</v>
      </c>
      <c r="BX13" s="12">
        <f t="array" ref="BX13">INDEX(BW:BW,MIN(IF(ISNUMBER(BW13:BW209),ROW(BW13:BW209),"")))</f>
        <v>1.9</v>
      </c>
      <c r="BY13" s="12">
        <f>IF('Données projet'!$A$114&gt;35,BY12+BX13-CG12,IF(A13&lt;'Données projet'!$A$114,$BV$205^A13,IF(A13='Données projet'!$A$114,'Données projet'!$B$114,BY12+BX13-CG12)))</f>
        <v>19</v>
      </c>
      <c r="BZ13" s="13">
        <f>BY13*VLOOKUP('Données projet'!$B$12,Paramètres!$A$1:$I$89,3,0)*VLOOKUP('Données projet'!$B$12,Paramètres!$A$1:$I$89,5,0)</f>
        <v>15.116400000000001</v>
      </c>
      <c r="CA13" s="13">
        <f t="shared" si="39"/>
        <v>5.0782333044806913</v>
      </c>
      <c r="CB13" s="20">
        <f t="shared" si="10"/>
        <v>35.172319671970541</v>
      </c>
      <c r="CC13" s="59">
        <f t="shared" si="11"/>
        <v>304.06120856085943</v>
      </c>
      <c r="CD13" s="59">
        <f ca="1">AVERAGE(OFFSET($CC$3,0,0,'Données projet'!$E$12+1,1))-AVERAGE(OFFSET($H$3,0,0,'Données projet'!$E$12+1,1))</f>
        <v>378.47278187128137</v>
      </c>
      <c r="CE13" s="59">
        <f t="shared" si="40"/>
        <v>372.59407061242604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7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3.1746000000000008</v>
      </c>
      <c r="D14" s="11">
        <f t="shared" si="32"/>
        <v>1.278923229875234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17.189037027588626</v>
      </c>
      <c r="H14" s="67">
        <f t="shared" si="1"/>
        <v>264.42321962536607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</v>
      </c>
      <c r="N14" s="13">
        <f>IF('Données projet'!$A$36&gt;35,N13+M14-V13,IF(A14&lt;'Données projet'!$A$36,$K$205^A14,IF(A14='Données projet'!$A$36,'Données projet'!$B$36,N13+M14-V13)))</f>
        <v>13.654049125651289</v>
      </c>
      <c r="O14" s="13">
        <f>N14*VLOOKUP('Données projet'!$B$9,Paramètres!$A$1:$I$89,3,0)*VLOOKUP('Données projet'!$B$9,Paramètres!$A$1:$I$89,5,0)</f>
        <v>7.632613461239071</v>
      </c>
      <c r="P14" s="13">
        <f t="shared" si="33"/>
        <v>2.7764008283855102</v>
      </c>
      <c r="Q14" s="20">
        <f t="shared" si="2"/>
        <v>18.129033221096144</v>
      </c>
      <c r="R14" s="59">
        <f t="shared" si="0"/>
        <v>288.24014433220731</v>
      </c>
      <c r="S14" s="59">
        <f ca="1">AVERAGE(OFFSET($R$3,0,0,'Données projet'!$E$9+1,1))-AVERAGE(OFFSET($H$3,0,0,'Données projet'!$E$9+1,1))</f>
        <v>347.01106511825213</v>
      </c>
      <c r="T14" s="59">
        <f t="shared" si="34"/>
        <v>329.53392323581539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</v>
      </c>
      <c r="AI14" s="13">
        <f>IF('Données projet'!$A$62&gt;35,AI13+AH14-AQ13,IF(A14&lt;'Données projet'!$A$62,$AF$205^A14,IF(A14='Données projet'!$A$62,'Données projet'!$B$62,AI13+AH14-AQ13)))</f>
        <v>22</v>
      </c>
      <c r="AJ14" s="13">
        <f>AI14*VLOOKUP('Données projet'!$B$10,Paramètres!$A$1:$I$89,3,0)*VLOOKUP('Données projet'!$B$10,Paramètres!$A$1:$I$89,5,0)</f>
        <v>19.9056</v>
      </c>
      <c r="AK14" s="13">
        <f t="shared" si="35"/>
        <v>6.4762948940833853</v>
      </c>
      <c r="AL14" s="20">
        <f t="shared" si="4"/>
        <v>45.948466940528562</v>
      </c>
      <c r="AM14" s="59">
        <f t="shared" si="5"/>
        <v>316.05957805163973</v>
      </c>
      <c r="AN14" s="59">
        <f ca="1">AVERAGE(OFFSET($AM$3,0,0,'Données projet'!$E$10+1,1))-AVERAGE(OFFSET($H$3,0,0,'Données projet'!$E$10+1,1))</f>
        <v>209.32570518924194</v>
      </c>
      <c r="AO14" s="59">
        <f t="shared" si="36"/>
        <v>138.10530102720475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6.2222222222222223</v>
      </c>
      <c r="BD14" s="12">
        <f>IF('Données projet'!$A$88&gt;35,BD13+BC14-BL13,IF(A14&lt;'Données projet'!$A$88,$BA$205^A14,IF(A14='Données projet'!$A$88,'Données projet'!$B$88,BD13+BC14-BL13)))</f>
        <v>17.877216627302985</v>
      </c>
      <c r="BE14" s="13">
        <f>BD14*VLOOKUP('Données projet'!$B$11,Paramètres!$A$1:$I$89,3,0)*VLOOKUP('Données projet'!$B$11,Paramètres!$A$1:$I$89,5,0)</f>
        <v>11.155383175437063</v>
      </c>
      <c r="BF14" s="13">
        <f t="shared" si="37"/>
        <v>3.8824812083990929</v>
      </c>
      <c r="BG14" s="20">
        <f t="shared" si="7"/>
        <v>26.1909471351813</v>
      </c>
      <c r="BH14" s="59">
        <f t="shared" si="8"/>
        <v>296.30205824629246</v>
      </c>
      <c r="BI14" s="59">
        <f ca="1">AVERAGE(OFFSET($BH$3,0,0,'Données projet'!$E$11+1,1))-AVERAGE(OFFSET($H$3,0,0,'Données projet'!$E$11+1,1))</f>
        <v>219.86035935827329</v>
      </c>
      <c r="BJ14" s="59">
        <f t="shared" si="38"/>
        <v>322.75312534885239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14.6</v>
      </c>
      <c r="BY14" s="12">
        <f>IF('Données projet'!$A$114&gt;35,BY13+BX14-CG13,IF(A14&lt;'Données projet'!$A$114,$BV$205^A14,IF(A14='Données projet'!$A$114,'Données projet'!$B$114,BY13+BX14-CG13)))</f>
        <v>26.6</v>
      </c>
      <c r="BZ14" s="13">
        <f>BY14*VLOOKUP('Données projet'!$B$12,Paramètres!$A$1:$I$89,3,0)*VLOOKUP('Données projet'!$B$12,Paramètres!$A$1:$I$89,5,0)</f>
        <v>21.162960000000002</v>
      </c>
      <c r="CA14" s="13">
        <f t="shared" si="39"/>
        <v>6.8364616466980515</v>
      </c>
      <c r="CB14" s="20">
        <f t="shared" si="10"/>
        <v>48.765659367999113</v>
      </c>
      <c r="CC14" s="59">
        <f t="shared" si="11"/>
        <v>318.87677047911023</v>
      </c>
      <c r="CD14" s="59">
        <f ca="1">AVERAGE(OFFSET($CC$3,0,0,'Données projet'!$E$12+1,1))-AVERAGE(OFFSET($H$3,0,0,'Données projet'!$E$12+1,1))</f>
        <v>378.47278187128137</v>
      </c>
      <c r="CE14" s="59">
        <f t="shared" si="40"/>
        <v>372.59407061242604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3.4632000000000009</v>
      </c>
      <c r="D15" s="11">
        <f t="shared" si="32"/>
        <v>1.3811296481821869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18.697412677194411</v>
      </c>
      <c r="H15" s="67">
        <f t="shared" si="1"/>
        <v>265.10387413725067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</v>
      </c>
      <c r="N15" s="13">
        <f>IF('Données projet'!$A$36&gt;35,N14+M15-V14,IF(A15&lt;'Données projet'!$A$36,$K$205^A15,IF(A15='Données projet'!$A$36,'Données projet'!$B$36,N14+M15-V14)))</f>
        <v>17.316776368035789</v>
      </c>
      <c r="O15" s="13">
        <f>N15*VLOOKUP('Données projet'!$B$9,Paramètres!$A$1:$I$89,3,0)*VLOOKUP('Données projet'!$B$9,Paramètres!$A$1:$I$89,5,0)</f>
        <v>9.6800779897320073</v>
      </c>
      <c r="P15" s="13">
        <f t="shared" si="33"/>
        <v>3.4251107773052873</v>
      </c>
      <c r="Q15" s="20">
        <f t="shared" si="2"/>
        <v>22.824870435923287</v>
      </c>
      <c r="R15" s="59">
        <f t="shared" si="0"/>
        <v>294.1582037692566</v>
      </c>
      <c r="S15" s="59">
        <f ca="1">AVERAGE(OFFSET($R$3,0,0,'Données projet'!$E$9+1,1))-AVERAGE(OFFSET($H$3,0,0,'Données projet'!$E$9+1,1))</f>
        <v>347.01106511825213</v>
      </c>
      <c r="T15" s="59">
        <f t="shared" si="34"/>
        <v>329.53392323581539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</v>
      </c>
      <c r="AI15" s="13">
        <f>IF('Données projet'!$A$62&gt;35,AI14+AH15-AQ14,IF(A15&lt;'Données projet'!$A$62,$AF$205^A15,IF(A15='Données projet'!$A$62,'Données projet'!$B$62,AI14+AH15-AQ14)))</f>
        <v>24</v>
      </c>
      <c r="AJ15" s="13">
        <f>AI15*VLOOKUP('Données projet'!$B$10,Paramètres!$A$1:$I$89,3,0)*VLOOKUP('Données projet'!$B$10,Paramètres!$A$1:$I$89,5,0)</f>
        <v>21.715199999999999</v>
      </c>
      <c r="AK15" s="13">
        <f t="shared" si="35"/>
        <v>6.9938544235075568</v>
      </c>
      <c r="AL15" s="20">
        <f t="shared" si="4"/>
        <v>50.00160312094232</v>
      </c>
      <c r="AM15" s="59">
        <f t="shared" si="5"/>
        <v>321.33493645427563</v>
      </c>
      <c r="AN15" s="59">
        <f ca="1">AVERAGE(OFFSET($AM$3,0,0,'Données projet'!$E$10+1,1))-AVERAGE(OFFSET($H$3,0,0,'Données projet'!$E$10+1,1))</f>
        <v>209.32570518924194</v>
      </c>
      <c r="AO15" s="59">
        <f t="shared" si="36"/>
        <v>138.10530102720475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6.2222222222222223</v>
      </c>
      <c r="BD15" s="12">
        <f>IF('Données projet'!$A$88&gt;35,BD14+BC15-BL14,IF(A15&lt;'Données projet'!$A$88,$BA$205^A15,IF(A15='Données projet'!$A$88,'Données projet'!$B$88,BD14+BC15-BL14)))</f>
        <v>23.235142934254824</v>
      </c>
      <c r="BE15" s="13">
        <f>BD15*VLOOKUP('Données projet'!$B$11,Paramètres!$A$1:$I$89,3,0)*VLOOKUP('Données projet'!$B$11,Paramètres!$A$1:$I$89,5,0)</f>
        <v>14.498729190975009</v>
      </c>
      <c r="BF15" s="13">
        <f t="shared" si="37"/>
        <v>4.8944421329010357</v>
      </c>
      <c r="BG15" s="20">
        <f t="shared" si="7"/>
        <v>33.776440055750776</v>
      </c>
      <c r="BH15" s="59">
        <f t="shared" si="8"/>
        <v>305.10977338908407</v>
      </c>
      <c r="BI15" s="59">
        <f ca="1">AVERAGE(OFFSET($BH$3,0,0,'Données projet'!$E$11+1,1))-AVERAGE(OFFSET($H$3,0,0,'Données projet'!$E$11+1,1))</f>
        <v>219.86035935827329</v>
      </c>
      <c r="BJ15" s="59">
        <f t="shared" si="38"/>
        <v>322.75312534885239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14.6</v>
      </c>
      <c r="BY15" s="12">
        <f>IF('Données projet'!$A$114&gt;35,BY14+BX15-CG14,IF(A15&lt;'Données projet'!$A$114,$BV$205^A15,IF(A15='Données projet'!$A$114,'Données projet'!$B$114,BY14+BX15-CG14)))</f>
        <v>41.2</v>
      </c>
      <c r="BZ15" s="13">
        <f>BY15*VLOOKUP('Données projet'!$B$12,Paramètres!$A$1:$I$89,3,0)*VLOOKUP('Données projet'!$B$12,Paramètres!$A$1:$I$89,5,0)</f>
        <v>32.77872</v>
      </c>
      <c r="CA15" s="13">
        <f t="shared" si="39"/>
        <v>10.063038810723747</v>
      </c>
      <c r="CB15" s="20">
        <f t="shared" si="10"/>
        <v>74.616063262010528</v>
      </c>
      <c r="CC15" s="59">
        <f t="shared" si="11"/>
        <v>345.94939659534384</v>
      </c>
      <c r="CD15" s="59">
        <f ca="1">AVERAGE(OFFSET($CC$3,0,0,'Données projet'!$E$12+1,1))-AVERAGE(OFFSET($H$3,0,0,'Données projet'!$E$12+1,1))</f>
        <v>378.47278187128137</v>
      </c>
      <c r="CE15" s="59">
        <f t="shared" si="40"/>
        <v>372.59407061242604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3.7518000000000011</v>
      </c>
      <c r="D16" s="11">
        <f t="shared" si="32"/>
        <v>1.482348251002964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20.201975705625483</v>
      </c>
      <c r="H16" s="67">
        <f t="shared" si="1"/>
        <v>265.7828082038302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</v>
      </c>
      <c r="N16" s="13">
        <f>IF('Données projet'!$A$36&gt;35,N15+M16-V15,IF(A16&lt;'Données projet'!$A$36,$K$205^A16,IF(A16='Données projet'!$A$36,'Données projet'!$B$36,N15+M16-V15)))</f>
        <v>21.962037855657641</v>
      </c>
      <c r="O16" s="13">
        <f>N16*VLOOKUP('Données projet'!$B$9,Paramètres!$A$1:$I$89,3,0)*VLOOKUP('Données projet'!$B$9,Paramètres!$A$1:$I$89,5,0)</f>
        <v>12.276779161312623</v>
      </c>
      <c r="P16" s="13">
        <f t="shared" si="33"/>
        <v>4.2253927159482494</v>
      </c>
      <c r="Q16" s="20">
        <f t="shared" si="2"/>
        <v>28.741282686229351</v>
      </c>
      <c r="R16" s="59">
        <f t="shared" si="0"/>
        <v>301.29683824178488</v>
      </c>
      <c r="S16" s="59">
        <f ca="1">AVERAGE(OFFSET($R$3,0,0,'Données projet'!$E$9+1,1))-AVERAGE(OFFSET($H$3,0,0,'Données projet'!$E$9+1,1))</f>
        <v>347.01106511825213</v>
      </c>
      <c r="T16" s="59">
        <f t="shared" si="34"/>
        <v>329.53392323581539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</v>
      </c>
      <c r="AI16" s="13">
        <f>IF('Données projet'!$A$62&gt;35,AI15+AH16-AQ15,IF(A16&lt;'Données projet'!$A$62,$AF$205^A16,IF(A16='Données projet'!$A$62,'Données projet'!$B$62,AI15+AH16-AQ15)))</f>
        <v>26</v>
      </c>
      <c r="AJ16" s="13">
        <f>AI16*VLOOKUP('Données projet'!$B$10,Paramètres!$A$1:$I$89,3,0)*VLOOKUP('Données projet'!$B$10,Paramètres!$A$1:$I$89,5,0)</f>
        <v>23.524799999999999</v>
      </c>
      <c r="AK16" s="13">
        <f t="shared" si="35"/>
        <v>7.5064117884233559</v>
      </c>
      <c r="AL16" s="20">
        <f t="shared" si="4"/>
        <v>54.046027198170684</v>
      </c>
      <c r="AM16" s="59">
        <f t="shared" si="5"/>
        <v>326.60158275372623</v>
      </c>
      <c r="AN16" s="59">
        <f ca="1">AVERAGE(OFFSET($AM$3,0,0,'Données projet'!$E$10+1,1))-AVERAGE(OFFSET($H$3,0,0,'Données projet'!$E$10+1,1))</f>
        <v>209.32570518924194</v>
      </c>
      <c r="AO16" s="59">
        <f t="shared" si="36"/>
        <v>138.10530102720475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6.2222222222222223</v>
      </c>
      <c r="BD16" s="12">
        <f>IF('Données projet'!$A$88&gt;35,BD15+BC16-BL15,IF(A16&lt;'Données projet'!$A$88,$BA$205^A16,IF(A16='Données projet'!$A$88,'Données projet'!$B$88,BD15+BC16-BL15)))</f>
        <v>30.19887706404656</v>
      </c>
      <c r="BE16" s="13">
        <f>BD16*VLOOKUP('Données projet'!$B$11,Paramètres!$A$1:$I$89,3,0)*VLOOKUP('Données projet'!$B$11,Paramètres!$A$1:$I$89,5,0)</f>
        <v>18.844099287965054</v>
      </c>
      <c r="BF16" s="13">
        <f t="shared" si="37"/>
        <v>6.1701686386769925</v>
      </c>
      <c r="BG16" s="20">
        <f t="shared" si="7"/>
        <v>43.566516638901568</v>
      </c>
      <c r="BH16" s="59">
        <f t="shared" si="8"/>
        <v>316.12207219445713</v>
      </c>
      <c r="BI16" s="59">
        <f ca="1">AVERAGE(OFFSET($BH$3,0,0,'Données projet'!$E$11+1,1))-AVERAGE(OFFSET($H$3,0,0,'Données projet'!$E$11+1,1))</f>
        <v>219.86035935827329</v>
      </c>
      <c r="BJ16" s="59">
        <f t="shared" si="38"/>
        <v>322.75312534885239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14.6</v>
      </c>
      <c r="BY16" s="12">
        <f>IF('Données projet'!$A$114&gt;35,BY15+BX16-CG15,IF(A16&lt;'Données projet'!$A$114,$BV$205^A16,IF(A16='Données projet'!$A$114,'Données projet'!$B$114,BY15+BX16-CG15)))</f>
        <v>55.800000000000004</v>
      </c>
      <c r="BZ16" s="13">
        <f>BY16*VLOOKUP('Données projet'!$B$12,Paramètres!$A$1:$I$89,3,0)*VLOOKUP('Données projet'!$B$12,Paramètres!$A$1:$I$89,5,0)</f>
        <v>44.394480000000001</v>
      </c>
      <c r="CA16" s="13">
        <f t="shared" si="39"/>
        <v>13.1562447968447</v>
      </c>
      <c r="CB16" s="20">
        <f t="shared" si="10"/>
        <v>100.2341790211712</v>
      </c>
      <c r="CC16" s="59">
        <f t="shared" si="11"/>
        <v>372.78973457672674</v>
      </c>
      <c r="CD16" s="59">
        <f ca="1">AVERAGE(OFFSET($CC$3,0,0,'Données projet'!$E$12+1,1))-AVERAGE(OFFSET($H$3,0,0,'Données projet'!$E$12+1,1))</f>
        <v>378.47278187128137</v>
      </c>
      <c r="CE16" s="59">
        <f t="shared" si="40"/>
        <v>372.59407061242604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4.0404000000000009</v>
      </c>
      <c r="D17" s="11">
        <f t="shared" si="32"/>
        <v>1.5826636636638698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21.703052736948276</v>
      </c>
      <c r="H17" s="67">
        <f t="shared" si="1"/>
        <v>266.4601692142146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</v>
      </c>
      <c r="N17" s="13">
        <f>IF('Données projet'!$A$36&gt;35,N16+M17-V16,IF(A17&lt;'Données projet'!$A$36,$K$205^A17,IF(A17='Données projet'!$A$36,'Données projet'!$B$36,N16+M17-V16)))</f>
        <v>27.853400455274762</v>
      </c>
      <c r="O17" s="13">
        <f>N17*VLOOKUP('Données projet'!$B$9,Paramètres!$A$1:$I$89,3,0)*VLOOKUP('Données projet'!$B$9,Paramètres!$A$1:$I$89,5,0)</f>
        <v>15.570050854498591</v>
      </c>
      <c r="P17" s="13">
        <f t="shared" si="33"/>
        <v>5.212661652372935</v>
      </c>
      <c r="Q17" s="20">
        <f t="shared" si="2"/>
        <v>36.196557616134577</v>
      </c>
      <c r="R17" s="59">
        <f t="shared" si="0"/>
        <v>309.97433539391233</v>
      </c>
      <c r="S17" s="59">
        <f ca="1">AVERAGE(OFFSET($R$3,0,0,'Données projet'!$E$9+1,1))-AVERAGE(OFFSET($H$3,0,0,'Données projet'!$E$9+1,1))</f>
        <v>347.01106511825213</v>
      </c>
      <c r="T17" s="59">
        <f t="shared" si="34"/>
        <v>329.53392323581539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</v>
      </c>
      <c r="AI17" s="13">
        <f>IF('Données projet'!$A$62&gt;35,AI16+AH17-AQ16,IF(A17&lt;'Données projet'!$A$62,$AF$205^A17,IF(A17='Données projet'!$A$62,'Données projet'!$B$62,AI16+AH17-AQ16)))</f>
        <v>28</v>
      </c>
      <c r="AJ17" s="13">
        <f>AI17*VLOOKUP('Données projet'!$B$10,Paramètres!$A$1:$I$89,3,0)*VLOOKUP('Données projet'!$B$10,Paramètres!$A$1:$I$89,5,0)</f>
        <v>25.334399999999999</v>
      </c>
      <c r="AK17" s="13">
        <f t="shared" si="35"/>
        <v>8.0143955200794572</v>
      </c>
      <c r="AL17" s="20">
        <f t="shared" si="4"/>
        <v>58.082485530805052</v>
      </c>
      <c r="AM17" s="59">
        <f t="shared" si="5"/>
        <v>331.86026330858283</v>
      </c>
      <c r="AN17" s="59">
        <f ca="1">AVERAGE(OFFSET($AM$3,0,0,'Données projet'!$E$10+1,1))-AVERAGE(OFFSET($H$3,0,0,'Données projet'!$E$10+1,1))</f>
        <v>209.32570518924194</v>
      </c>
      <c r="AO17" s="59">
        <f t="shared" si="36"/>
        <v>138.10530102720475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6.2222222222222223</v>
      </c>
      <c r="BD17" s="12">
        <f>IF('Données projet'!$A$88&gt;35,BD16+BC17-BL16,IF(A17&lt;'Données projet'!$A$88,$BA$205^A17,IF(A17='Données projet'!$A$88,'Données projet'!$B$88,BD16+BC17-BL16)))</f>
        <v>39.249690802844427</v>
      </c>
      <c r="BE17" s="13">
        <f>BD17*VLOOKUP('Données projet'!$B$11,Paramètres!$A$1:$I$89,3,0)*VLOOKUP('Données projet'!$B$11,Paramètres!$A$1:$I$89,5,0)</f>
        <v>24.491807060974921</v>
      </c>
      <c r="BF17" s="13">
        <f t="shared" si="37"/>
        <v>7.7784106944068903</v>
      </c>
      <c r="BG17" s="20">
        <f t="shared" si="7"/>
        <v>56.203962590623313</v>
      </c>
      <c r="BH17" s="59">
        <f t="shared" si="8"/>
        <v>329.98174036840106</v>
      </c>
      <c r="BI17" s="59">
        <f ca="1">AVERAGE(OFFSET($BH$3,0,0,'Données projet'!$E$11+1,1))-AVERAGE(OFFSET($H$3,0,0,'Données projet'!$E$11+1,1))</f>
        <v>219.86035935827329</v>
      </c>
      <c r="BJ17" s="59">
        <f t="shared" si="38"/>
        <v>322.75312534885239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14.6</v>
      </c>
      <c r="BY17" s="12">
        <f>IF('Données projet'!$A$114&gt;35,BY16+BX17-CG16,IF(A17&lt;'Données projet'!$A$114,$BV$205^A17,IF(A17='Données projet'!$A$114,'Données projet'!$B$114,BY16+BX17-CG16)))</f>
        <v>70.400000000000006</v>
      </c>
      <c r="BZ17" s="13">
        <f>BY17*VLOOKUP('Données projet'!$B$12,Paramètres!$A$1:$I$89,3,0)*VLOOKUP('Données projet'!$B$12,Paramètres!$A$1:$I$89,5,0)</f>
        <v>56.01024000000001</v>
      </c>
      <c r="CA17" s="13">
        <f t="shared" si="39"/>
        <v>16.155528478402793</v>
      </c>
      <c r="CB17" s="20">
        <f t="shared" si="10"/>
        <v>125.68871343321821</v>
      </c>
      <c r="CC17" s="59">
        <f t="shared" si="11"/>
        <v>399.46649121099597</v>
      </c>
      <c r="CD17" s="59">
        <f ca="1">AVERAGE(OFFSET($CC$3,0,0,'Données projet'!$E$12+1,1))-AVERAGE(OFFSET($H$3,0,0,'Données projet'!$E$12+1,1))</f>
        <v>378.47278187128137</v>
      </c>
      <c r="CE17" s="59">
        <f t="shared" si="40"/>
        <v>372.59407061242604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4.3290000000000006</v>
      </c>
      <c r="D18" s="11">
        <f t="shared" si="32"/>
        <v>1.6821477371202942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23.200921090639735</v>
      </c>
      <c r="H18" s="67">
        <f t="shared" si="1"/>
        <v>267.13608230881789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</v>
      </c>
      <c r="N18" s="13">
        <f>IF('Données projet'!$A$36&gt;35,N17+M18-V17,IF(A18&lt;'Données projet'!$A$36,$K$205^A18,IF(A18='Données projet'!$A$36,'Données projet'!$B$36,N17+M18-V17)))</f>
        <v>35.32513339703781</v>
      </c>
      <c r="O18" s="13">
        <f>N18*VLOOKUP('Données projet'!$B$9,Paramètres!$A$1:$I$89,3,0)*VLOOKUP('Données projet'!$B$9,Paramètres!$A$1:$I$89,5,0)</f>
        <v>19.746749568944136</v>
      </c>
      <c r="P18" s="13">
        <f t="shared" si="33"/>
        <v>6.4306073609589989</v>
      </c>
      <c r="Q18" s="20">
        <f t="shared" si="2"/>
        <v>45.592229986247958</v>
      </c>
      <c r="R18" s="59">
        <f t="shared" si="0"/>
        <v>320.59222998624796</v>
      </c>
      <c r="S18" s="59">
        <f ca="1">AVERAGE(OFFSET($R$3,0,0,'Données projet'!$E$9+1,1))-AVERAGE(OFFSET($H$3,0,0,'Données projet'!$E$9+1,1))</f>
        <v>347.01106511825213</v>
      </c>
      <c r="T18" s="59">
        <f t="shared" si="34"/>
        <v>329.53392323581539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</v>
      </c>
      <c r="AI18" s="13">
        <f>IF('Données projet'!$A$62&gt;35,AI17+AH18-AQ17,IF(A18&lt;'Données projet'!$A$62,$AF$205^A18,IF(A18='Données projet'!$A$62,'Données projet'!$B$62,AI17+AH18-AQ17)))</f>
        <v>30</v>
      </c>
      <c r="AJ18" s="13">
        <f>AI18*VLOOKUP('Données projet'!$B$10,Paramètres!$A$1:$I$89,3,0)*VLOOKUP('Données projet'!$B$10,Paramètres!$A$1:$I$89,5,0)</f>
        <v>27.143999999999998</v>
      </c>
      <c r="AK18" s="13">
        <f t="shared" si="35"/>
        <v>8.5181694620316346</v>
      </c>
      <c r="AL18" s="20">
        <f t="shared" si="4"/>
        <v>62.111611813038422</v>
      </c>
      <c r="AM18" s="59">
        <f t="shared" si="5"/>
        <v>337.11161181303839</v>
      </c>
      <c r="AN18" s="59">
        <f ca="1">AVERAGE(OFFSET($AM$3,0,0,'Données projet'!$E$10+1,1))-AVERAGE(OFFSET($H$3,0,0,'Données projet'!$E$10+1,1))</f>
        <v>209.32570518924194</v>
      </c>
      <c r="AO18" s="59">
        <f t="shared" si="36"/>
        <v>138.10530102720475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6.2222222222222223</v>
      </c>
      <c r="BD18" s="12">
        <f>IF('Données projet'!$A$88&gt;35,BD17+BC18-BL17,IF(A18&lt;'Données projet'!$A$88,$BA$205^A18,IF(A18='Données projet'!$A$88,'Données projet'!$B$88,BD17+BC18-BL17)))</f>
        <v>51.013096442350388</v>
      </c>
      <c r="BE18" s="13">
        <f>BD18*VLOOKUP('Données projet'!$B$11,Paramètres!$A$1:$I$89,3,0)*VLOOKUP('Données projet'!$B$11,Paramètres!$A$1:$I$89,5,0)</f>
        <v>31.832172180026642</v>
      </c>
      <c r="BF18" s="13">
        <f t="shared" si="37"/>
        <v>9.8058378099430179</v>
      </c>
      <c r="BG18" s="20">
        <f t="shared" si="7"/>
        <v>72.519534065863823</v>
      </c>
      <c r="BH18" s="59">
        <f t="shared" si="8"/>
        <v>347.51953406586381</v>
      </c>
      <c r="BI18" s="59">
        <f ca="1">AVERAGE(OFFSET($BH$3,0,0,'Données projet'!$E$11+1,1))-AVERAGE(OFFSET($H$3,0,0,'Données projet'!$E$11+1,1))</f>
        <v>219.86035935827329</v>
      </c>
      <c r="BJ18" s="59">
        <f t="shared" si="38"/>
        <v>322.75312534885239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85</v>
      </c>
      <c r="BW18" s="12">
        <f>VLOOKUP(A18,'Données projet'!$A$113:$I$133,9,0)</f>
        <v>14.6</v>
      </c>
      <c r="BX18" s="12">
        <f t="array" ref="BX18">INDEX(BW:BW,MIN(IF(ISNUMBER(BW18:BW214),ROW(BW18:BW214),"")))</f>
        <v>14.6</v>
      </c>
      <c r="BY18" s="12">
        <f>IF('Données projet'!$A$114&gt;35,BY17+BX18-CG17,IF(A18&lt;'Données projet'!$A$114,$BV$205^A18,IF(A18='Données projet'!$A$114,'Données projet'!$B$114,BY17+BX18-CG17)))</f>
        <v>85</v>
      </c>
      <c r="BZ18" s="13">
        <f>BY18*VLOOKUP('Données projet'!$B$12,Paramètres!$A$1:$I$89,3,0)*VLOOKUP('Données projet'!$B$12,Paramètres!$A$1:$I$89,5,0)</f>
        <v>67.626000000000005</v>
      </c>
      <c r="CA18" s="13">
        <f t="shared" si="39"/>
        <v>19.082731089464875</v>
      </c>
      <c r="CB18" s="20">
        <f t="shared" si="10"/>
        <v>151.01770664748466</v>
      </c>
      <c r="CC18" s="59">
        <f t="shared" si="11"/>
        <v>426.01770664748466</v>
      </c>
      <c r="CD18" s="59">
        <f ca="1">AVERAGE(OFFSET($CC$3,0,0,'Données projet'!$E$12+1,1))-AVERAGE(OFFSET($H$3,0,0,'Données projet'!$E$12+1,1))</f>
        <v>378.47278187128137</v>
      </c>
      <c r="CE18" s="59">
        <f t="shared" si="40"/>
        <v>372.59407061242604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42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4.6176000000000004</v>
      </c>
      <c r="D19" s="11">
        <f t="shared" si="32"/>
        <v>1.7808622002082055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24.695819018347464</v>
      </c>
      <c r="H19" s="67">
        <f t="shared" si="1"/>
        <v>267.81065499869595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</v>
      </c>
      <c r="N19" s="13">
        <f>IF('Données projet'!$A$36&gt;35,N18+M19-V18,IF(A19&lt;'Données projet'!$A$36,$K$205^A19,IF(A19='Données projet'!$A$36,'Données projet'!$B$36,N18+M19-V18)))</f>
        <v>44.801174331380437</v>
      </c>
      <c r="O19" s="13">
        <f>N19*VLOOKUP('Données projet'!$B$9,Paramètres!$A$1:$I$89,3,0)*VLOOKUP('Données projet'!$B$9,Paramètres!$A$1:$I$89,5,0)</f>
        <v>25.043856451241666</v>
      </c>
      <c r="P19" s="13">
        <f t="shared" si="33"/>
        <v>7.9331277931678592</v>
      </c>
      <c r="Q19" s="20">
        <f t="shared" si="2"/>
        <v>57.434914225679911</v>
      </c>
      <c r="R19" s="59">
        <f t="shared" si="0"/>
        <v>333.65713644790213</v>
      </c>
      <c r="S19" s="59">
        <f ca="1">AVERAGE(OFFSET($R$3,0,0,'Données projet'!$E$9+1,1))-AVERAGE(OFFSET($H$3,0,0,'Données projet'!$E$9+1,1))</f>
        <v>347.01106511825213</v>
      </c>
      <c r="T19" s="59">
        <f t="shared" si="34"/>
        <v>329.53392323581539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</v>
      </c>
      <c r="AI19" s="13">
        <f>IF('Données projet'!$A$62&gt;35,AI18+AH19-AQ18,IF(A19&lt;'Données projet'!$A$62,$AF$205^A19,IF(A19='Données projet'!$A$62,'Données projet'!$B$62,AI18+AH19-AQ18)))</f>
        <v>32</v>
      </c>
      <c r="AJ19" s="13">
        <f>AI19*VLOOKUP('Données projet'!$B$10,Paramètres!$A$1:$I$89,3,0)*VLOOKUP('Données projet'!$B$10,Paramètres!$A$1:$I$89,5,0)</f>
        <v>28.953599999999998</v>
      </c>
      <c r="AK19" s="13">
        <f t="shared" si="35"/>
        <v>9.0180462007869302</v>
      </c>
      <c r="AL19" s="20">
        <f t="shared" si="4"/>
        <v>66.133950466370564</v>
      </c>
      <c r="AM19" s="59">
        <f t="shared" si="5"/>
        <v>342.35617268859278</v>
      </c>
      <c r="AN19" s="59">
        <f ca="1">AVERAGE(OFFSET($AM$3,0,0,'Données projet'!$E$10+1,1))-AVERAGE(OFFSET($H$3,0,0,'Données projet'!$E$10+1,1))</f>
        <v>209.32570518924194</v>
      </c>
      <c r="AO19" s="59">
        <f t="shared" si="36"/>
        <v>138.10530102720475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6.2222222222222223</v>
      </c>
      <c r="BD19" s="12">
        <f>IF('Données projet'!$A$88&gt;35,BD18+BC19-BL18,IF(A19&lt;'Données projet'!$A$88,$BA$205^A19,IF(A19='Données projet'!$A$88,'Données projet'!$B$88,BD18+BC19-BL18)))</f>
        <v>66.302076663695672</v>
      </c>
      <c r="BE19" s="13">
        <f>BD19*VLOOKUP('Données projet'!$B$11,Paramètres!$A$1:$I$89,3,0)*VLOOKUP('Données projet'!$B$11,Paramètres!$A$1:$I$89,5,0)</f>
        <v>41.372495838146101</v>
      </c>
      <c r="BF19" s="13">
        <f t="shared" si="37"/>
        <v>12.361709728704412</v>
      </c>
      <c r="BG19" s="20">
        <f t="shared" si="7"/>
        <v>93.587074695597963</v>
      </c>
      <c r="BH19" s="59">
        <f t="shared" si="8"/>
        <v>369.80929691782018</v>
      </c>
      <c r="BI19" s="59">
        <f ca="1">AVERAGE(OFFSET($BH$3,0,0,'Données projet'!$E$11+1,1))-AVERAGE(OFFSET($H$3,0,0,'Données projet'!$E$11+1,1))</f>
        <v>219.86035935827329</v>
      </c>
      <c r="BJ19" s="59">
        <f t="shared" si="38"/>
        <v>322.75312534885239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16</v>
      </c>
      <c r="BY19" s="12">
        <f>IF('Données projet'!$A$114&gt;35,BY18+BX19-CG18,IF(A19&lt;'Données projet'!$A$114,$BV$205^A19,IF(A19='Données projet'!$A$114,'Données projet'!$B$114,BY18+BX19-CG18)))</f>
        <v>59</v>
      </c>
      <c r="BZ19" s="13">
        <f>BY19*VLOOKUP('Données projet'!$B$12,Paramètres!$A$1:$I$89,3,0)*VLOOKUP('Données projet'!$B$12,Paramètres!$A$1:$I$89,5,0)</f>
        <v>46.940400000000004</v>
      </c>
      <c r="CA19" s="13">
        <f t="shared" si="39"/>
        <v>13.82072434588865</v>
      </c>
      <c r="CB19" s="20">
        <f t="shared" si="10"/>
        <v>105.82562490242275</v>
      </c>
      <c r="CC19" s="59">
        <f t="shared" si="11"/>
        <v>382.04784712464499</v>
      </c>
      <c r="CD19" s="59">
        <f ca="1">AVERAGE(OFFSET($CC$3,0,0,'Données projet'!$E$12+1,1))-AVERAGE(OFFSET($H$3,0,0,'Données projet'!$E$12+1,1))</f>
        <v>378.47278187128137</v>
      </c>
      <c r="CE19" s="59">
        <f t="shared" si="40"/>
        <v>372.59407061242604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4.9062000000000001</v>
      </c>
      <c r="D20" s="11">
        <f t="shared" si="32"/>
        <v>1.8788606295434462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26.187953307009792</v>
      </c>
      <c r="H20" s="67">
        <f t="shared" si="1"/>
        <v>268.48398059645484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</v>
      </c>
      <c r="N20" s="13">
        <f>IF('Données projet'!$A$36&gt;35,N19+M20-V19,IF(A20&lt;'Données projet'!$A$36,$K$205^A20,IF(A20='Données projet'!$A$36,'Données projet'!$B$36,N19+M20-V19)))</f>
        <v>56.819183070347606</v>
      </c>
      <c r="O20" s="13">
        <f>N20*VLOOKUP('Données projet'!$B$9,Paramètres!$A$1:$I$89,3,0)*VLOOKUP('Données projet'!$B$9,Paramètres!$A$1:$I$89,5,0)</f>
        <v>31.761923336324312</v>
      </c>
      <c r="P20" s="13">
        <f t="shared" si="33"/>
        <v>9.7867142324402376</v>
      </c>
      <c r="Q20" s="20">
        <f t="shared" si="2"/>
        <v>72.363877098931582</v>
      </c>
      <c r="R20" s="59">
        <f t="shared" si="0"/>
        <v>349.80832154337605</v>
      </c>
      <c r="S20" s="59">
        <f ca="1">AVERAGE(OFFSET($R$3,0,0,'Données projet'!$E$9+1,1))-AVERAGE(OFFSET($H$3,0,0,'Données projet'!$E$9+1,1))</f>
        <v>347.01106511825213</v>
      </c>
      <c r="T20" s="59">
        <f t="shared" si="34"/>
        <v>329.53392323581539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</v>
      </c>
      <c r="AI20" s="13">
        <f>IF('Données projet'!$A$62&gt;35,AI19+AH20-AQ19,IF(A20&lt;'Données projet'!$A$62,$AF$205^A20,IF(A20='Données projet'!$A$62,'Données projet'!$B$62,AI19+AH20-AQ19)))</f>
        <v>34</v>
      </c>
      <c r="AJ20" s="13">
        <f>AI20*VLOOKUP('Données projet'!$B$10,Paramètres!$A$1:$I$89,3,0)*VLOOKUP('Données projet'!$B$10,Paramètres!$A$1:$I$89,5,0)</f>
        <v>30.763199999999998</v>
      </c>
      <c r="AK20" s="13">
        <f t="shared" si="35"/>
        <v>9.5142970411082253</v>
      </c>
      <c r="AL20" s="20">
        <f t="shared" si="4"/>
        <v>70.149974013263474</v>
      </c>
      <c r="AM20" s="59">
        <f t="shared" si="5"/>
        <v>347.59441845770795</v>
      </c>
      <c r="AN20" s="59">
        <f ca="1">AVERAGE(OFFSET($AM$3,0,0,'Données projet'!$E$10+1,1))-AVERAGE(OFFSET($H$3,0,0,'Données projet'!$E$10+1,1))</f>
        <v>209.32570518924194</v>
      </c>
      <c r="AO20" s="59">
        <f t="shared" si="36"/>
        <v>138.10530102720475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6.2222222222222223</v>
      </c>
      <c r="BD20" s="12">
        <f>IF('Données projet'!$A$88&gt;35,BD19+BC20-BL19,IF(A20&lt;'Données projet'!$A$88,$BA$205^A20,IF(A20='Données projet'!$A$88,'Données projet'!$B$88,BD19+BC20-BL19)))</f>
        <v>86.1732707185582</v>
      </c>
      <c r="BE20" s="13">
        <f>BD20*VLOOKUP('Données projet'!$B$11,Paramètres!$A$1:$I$89,3,0)*VLOOKUP('Données projet'!$B$11,Paramètres!$A$1:$I$89,5,0)</f>
        <v>53.772120928380318</v>
      </c>
      <c r="BF20" s="13">
        <f t="shared" si="37"/>
        <v>15.583764526657339</v>
      </c>
      <c r="BG20" s="20">
        <f t="shared" si="7"/>
        <v>120.79483383419057</v>
      </c>
      <c r="BH20" s="59">
        <f t="shared" si="8"/>
        <v>398.23927827863503</v>
      </c>
      <c r="BI20" s="59">
        <f ca="1">AVERAGE(OFFSET($BH$3,0,0,'Données projet'!$E$11+1,1))-AVERAGE(OFFSET($H$3,0,0,'Données projet'!$E$11+1,1))</f>
        <v>219.86035935827329</v>
      </c>
      <c r="BJ20" s="59">
        <f t="shared" si="38"/>
        <v>322.75312534885239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16</v>
      </c>
      <c r="BY20" s="12">
        <f>IF('Données projet'!$A$114&gt;35,BY19+BX20-CG19,IF(A20&lt;'Données projet'!$A$114,$BV$205^A20,IF(A20='Données projet'!$A$114,'Données projet'!$B$114,BY19+BX20-CG19)))</f>
        <v>75</v>
      </c>
      <c r="BZ20" s="13">
        <f>BY20*VLOOKUP('Données projet'!$B$12,Paramètres!$A$1:$I$89,3,0)*VLOOKUP('Données projet'!$B$12,Paramètres!$A$1:$I$89,5,0)</f>
        <v>59.67</v>
      </c>
      <c r="CA20" s="13">
        <f t="shared" si="39"/>
        <v>17.084807896591332</v>
      </c>
      <c r="CB20" s="20">
        <f t="shared" si="10"/>
        <v>133.68129041989656</v>
      </c>
      <c r="CC20" s="59">
        <f t="shared" si="11"/>
        <v>411.12573486434098</v>
      </c>
      <c r="CD20" s="59">
        <f ca="1">AVERAGE(OFFSET($CC$3,0,0,'Données projet'!$E$12+1,1))-AVERAGE(OFFSET($H$3,0,0,'Données projet'!$E$12+1,1))</f>
        <v>378.47278187128137</v>
      </c>
      <c r="CE20" s="59">
        <f t="shared" si="40"/>
        <v>372.59407061242604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5.1947999999999999</v>
      </c>
      <c r="D21" s="11">
        <f t="shared" si="32"/>
        <v>1.9761899425421003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27.67750504139056</v>
      </c>
      <c r="H21" s="67">
        <f t="shared" si="1"/>
        <v>269.15614081659419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</v>
      </c>
      <c r="N21" s="13">
        <f>IF('Données projet'!$A$36&gt;35,N20+M21-V20,IF(A21&lt;'Données projet'!$A$36,$K$205^A21,IF(A21='Données projet'!$A$36,'Données projet'!$B$36,N20+M21-V20)))</f>
        <v>72.061047795355876</v>
      </c>
      <c r="O21" s="13">
        <f>N21*VLOOKUP('Données projet'!$B$9,Paramètres!$A$1:$I$89,3,0)*VLOOKUP('Données projet'!$B$9,Paramètres!$A$1:$I$89,5,0)</f>
        <v>40.282125717603932</v>
      </c>
      <c r="P21" s="13">
        <f t="shared" si="33"/>
        <v>12.073393743881878</v>
      </c>
      <c r="Q21" s="20">
        <f t="shared" si="2"/>
        <v>91.185863062087776</v>
      </c>
      <c r="R21" s="59">
        <f t="shared" si="0"/>
        <v>369.85252972875446</v>
      </c>
      <c r="S21" s="59">
        <f ca="1">AVERAGE(OFFSET($R$3,0,0,'Données projet'!$E$9+1,1))-AVERAGE(OFFSET($H$3,0,0,'Données projet'!$E$9+1,1))</f>
        <v>347.01106511825213</v>
      </c>
      <c r="T21" s="59">
        <f t="shared" si="34"/>
        <v>329.53392323581539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</v>
      </c>
      <c r="AI21" s="13">
        <f>IF('Données projet'!$A$62&gt;35,AI20+AH21-AQ20,IF(A21&lt;'Données projet'!$A$62,$AF$205^A21,IF(A21='Données projet'!$A$62,'Données projet'!$B$62,AI20+AH21-AQ20)))</f>
        <v>36</v>
      </c>
      <c r="AJ21" s="13">
        <f>AI21*VLOOKUP('Données projet'!$B$10,Paramètres!$A$1:$I$89,3,0)*VLOOKUP('Données projet'!$B$10,Paramètres!$A$1:$I$89,5,0)</f>
        <v>32.572800000000001</v>
      </c>
      <c r="AK21" s="13">
        <f t="shared" si="35"/>
        <v>10.007159566468195</v>
      </c>
      <c r="AL21" s="20">
        <f t="shared" si="4"/>
        <v>74.160096244932106</v>
      </c>
      <c r="AM21" s="59">
        <f t="shared" si="5"/>
        <v>352.82676291159879</v>
      </c>
      <c r="AN21" s="59">
        <f ca="1">AVERAGE(OFFSET($AM$3,0,0,'Données projet'!$E$10+1,1))-AVERAGE(OFFSET($H$3,0,0,'Données projet'!$E$10+1,1))</f>
        <v>209.32570518924194</v>
      </c>
      <c r="AO21" s="59">
        <f t="shared" si="36"/>
        <v>138.10530102720475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112</v>
      </c>
      <c r="BB21" s="12">
        <f>VLOOKUP(A21,'Données projet'!$A$87:$I$107,9,0)</f>
        <v>6.2222222222222223</v>
      </c>
      <c r="BC21" s="12">
        <f t="array" ref="BC21">INDEX(BB:BB,MIN(IF(ISNUMBER(BB21:BB217),ROW(BB21:BB217),"")))</f>
        <v>6.2222222222222223</v>
      </c>
      <c r="BD21" s="12">
        <f>IF('Données projet'!$A$88&gt;35,BD20+BC21-BL20,IF(A21&lt;'Données projet'!$A$88,$BA$205^A21,IF(A21='Données projet'!$A$88,'Données projet'!$B$88,BD20+BC21-BL20)))</f>
        <v>112</v>
      </c>
      <c r="BE21" s="13">
        <f>BD21*VLOOKUP('Données projet'!$B$11,Paramètres!$A$1:$I$89,3,0)*VLOOKUP('Données projet'!$B$11,Paramètres!$A$1:$I$89,5,0)</f>
        <v>69.888000000000005</v>
      </c>
      <c r="BF21" s="13">
        <f t="shared" si="37"/>
        <v>19.645641432461961</v>
      </c>
      <c r="BG21" s="20">
        <f t="shared" si="7"/>
        <v>155.93775882820458</v>
      </c>
      <c r="BH21" s="59">
        <f t="shared" si="8"/>
        <v>434.60442549487129</v>
      </c>
      <c r="BI21" s="59">
        <f ca="1">AVERAGE(OFFSET($BH$3,0,0,'Données projet'!$E$11+1,1))-AVERAGE(OFFSET($H$3,0,0,'Données projet'!$E$11+1,1))</f>
        <v>219.86035935827329</v>
      </c>
      <c r="BJ21" s="59">
        <f t="shared" si="38"/>
        <v>322.75312534885239</v>
      </c>
      <c r="BK21" s="15">
        <f>IF(ISNA(VLOOKUP(A21,'Données projet'!$A$87:$I$107,3,0)),0,VLOOKUP(A21,'Données projet'!$A$87:$I$107,3,0))</f>
        <v>1</v>
      </c>
      <c r="BL21" s="15">
        <f>IF(ISNA(VLOOKUP(A21,'Données projet'!$A$87:$I$107,4,0)),0,VLOOKUP(A21,'Données projet'!$A$87:$I$107,4,0))</f>
        <v>20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0.33600000000000002</v>
      </c>
      <c r="BO21" s="16">
        <f>IF(ISNA(VLOOKUP(A21,'Données projet'!$A$87:$I$107,7,0)),0%,VLOOKUP(A21,'Données projet'!$A$87:$I$107,7,0))</f>
        <v>0.44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5.5407539027090928</v>
      </c>
      <c r="BR21" s="21">
        <f>EXP(-LN(2)/2)*BR20+(1-EXP(-LN(2)/2))/(LN(2)/2)*BL21*BO21*VLOOKUP('Données projet'!$B$11,Paramètres!$A$1:$I$89,3,0)*0.475*44/12</f>
        <v>6.2173139921773286</v>
      </c>
      <c r="BS21" s="22">
        <f t="shared" si="9"/>
        <v>11.758067894886421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16</v>
      </c>
      <c r="BY21" s="12">
        <f>IF('Données projet'!$A$114&gt;35,BY20+BX21-CG20,IF(A21&lt;'Données projet'!$A$114,$BV$205^A21,IF(A21='Données projet'!$A$114,'Données projet'!$B$114,BY20+BX21-CG20)))</f>
        <v>91</v>
      </c>
      <c r="BZ21" s="13">
        <f>BY21*VLOOKUP('Données projet'!$B$12,Paramètres!$A$1:$I$89,3,0)*VLOOKUP('Données projet'!$B$12,Paramètres!$A$1:$I$89,5,0)</f>
        <v>72.399600000000007</v>
      </c>
      <c r="CA21" s="13">
        <f t="shared" si="39"/>
        <v>20.268188832715463</v>
      </c>
      <c r="CB21" s="20">
        <f t="shared" si="10"/>
        <v>161.39639888364613</v>
      </c>
      <c r="CC21" s="59">
        <f t="shared" si="11"/>
        <v>440.06306555031279</v>
      </c>
      <c r="CD21" s="59">
        <f ca="1">AVERAGE(OFFSET($CC$3,0,0,'Données projet'!$E$12+1,1))-AVERAGE(OFFSET($H$3,0,0,'Données projet'!$E$12+1,1))</f>
        <v>378.47278187128137</v>
      </c>
      <c r="CE21" s="59">
        <f t="shared" si="40"/>
        <v>372.59407061242604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5.4833999999999996</v>
      </c>
      <c r="D22" s="11">
        <f t="shared" si="32"/>
        <v>2.0728915491466666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29.164634049338009</v>
      </c>
      <c r="H22" s="67">
        <f t="shared" si="1"/>
        <v>269.82720778143045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</v>
      </c>
      <c r="N22" s="13">
        <f>IF('Données projet'!$A$36&gt;35,N21+M22-V21,IF(A22&lt;'Données projet'!$A$36,$K$205^A22,IF(A22='Données projet'!$A$36,'Données projet'!$B$36,N21+M22-V21)))</f>
        <v>91.391574619004714</v>
      </c>
      <c r="O22" s="13">
        <f>N22*VLOOKUP('Données projet'!$B$9,Paramètres!$A$1:$I$89,3,0)*VLOOKUP('Données projet'!$B$9,Paramètres!$A$1:$I$89,5,0)</f>
        <v>51.08789021202363</v>
      </c>
      <c r="P22" s="13">
        <f t="shared" si="33"/>
        <v>14.894359131446743</v>
      </c>
      <c r="Q22" s="20">
        <f t="shared" si="2"/>
        <v>114.9190842732109</v>
      </c>
      <c r="R22" s="59">
        <f t="shared" si="0"/>
        <v>394.80797316209976</v>
      </c>
      <c r="S22" s="59">
        <f ca="1">AVERAGE(OFFSET($R$3,0,0,'Données projet'!$E$9+1,1))-AVERAGE(OFFSET($H$3,0,0,'Données projet'!$E$9+1,1))</f>
        <v>347.01106511825213</v>
      </c>
      <c r="T22" s="59">
        <f t="shared" si="34"/>
        <v>329.53392323581539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</v>
      </c>
      <c r="AI22" s="13">
        <f>IF('Données projet'!$A$62&gt;35,AI21+AH22-AQ21,IF(A22&lt;'Données projet'!$A$62,$AF$205^A22,IF(A22='Données projet'!$A$62,'Données projet'!$B$62,AI21+AH22-AQ21)))</f>
        <v>38</v>
      </c>
      <c r="AJ22" s="13">
        <f>AI22*VLOOKUP('Données projet'!$B$10,Paramètres!$A$1:$I$89,3,0)*VLOOKUP('Données projet'!$B$10,Paramètres!$A$1:$I$89,5,0)</f>
        <v>34.382399999999997</v>
      </c>
      <c r="AK22" s="13">
        <f t="shared" si="35"/>
        <v>10.49684347123541</v>
      </c>
      <c r="AL22" s="20">
        <f t="shared" si="4"/>
        <v>78.164682379068338</v>
      </c>
      <c r="AM22" s="59">
        <f t="shared" si="5"/>
        <v>358.05357126795718</v>
      </c>
      <c r="AN22" s="59">
        <f ca="1">AVERAGE(OFFSET($AM$3,0,0,'Données projet'!$E$10+1,1))-AVERAGE(OFFSET($H$3,0,0,'Données projet'!$E$10+1,1))</f>
        <v>209.32570518924194</v>
      </c>
      <c r="AO22" s="59">
        <f t="shared" si="36"/>
        <v>138.10530102720475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18</v>
      </c>
      <c r="BD22" s="12">
        <f>IF('Données projet'!$A$88&gt;35,BD21+BC22-BL21,IF(A22&lt;'Données projet'!$A$88,$BA$205^A22,IF(A22='Données projet'!$A$88,'Données projet'!$B$88,BD21+BC22-BL21)))</f>
        <v>110</v>
      </c>
      <c r="BE22" s="13">
        <f>BD22*VLOOKUP('Données projet'!$B$11,Paramètres!$A$1:$I$89,3,0)*VLOOKUP('Données projet'!$B$11,Paramètres!$A$1:$I$89,5,0)</f>
        <v>68.64</v>
      </c>
      <c r="BF22" s="13">
        <f t="shared" si="37"/>
        <v>19.335336956640202</v>
      </c>
      <c r="BG22" s="20">
        <f t="shared" si="7"/>
        <v>153.22371186614836</v>
      </c>
      <c r="BH22" s="59">
        <f t="shared" si="8"/>
        <v>433.11260075503719</v>
      </c>
      <c r="BI22" s="59">
        <f ca="1">AVERAGE(OFFSET($BH$3,0,0,'Données projet'!$E$11+1,1))-AVERAGE(OFFSET($H$3,0,0,'Données projet'!$E$11+1,1))</f>
        <v>219.86035935827329</v>
      </c>
      <c r="BJ22" s="59">
        <f t="shared" si="38"/>
        <v>322.75312534885239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5.3892416958639284</v>
      </c>
      <c r="BR22" s="21">
        <f>EXP(-LN(2)/2)*BR21+(1-EXP(-LN(2)/2))/(LN(2)/2)*BL22*BO22*VLOOKUP('Données projet'!$B$11,Paramètres!$A$1:$I$89,3,0)*0.475*44/12</f>
        <v>4.3963048846345947</v>
      </c>
      <c r="BS22" s="22">
        <f t="shared" si="9"/>
        <v>9.7855465804985222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16</v>
      </c>
      <c r="BY22" s="12">
        <f>IF('Données projet'!$A$114&gt;35,BY21+BX22-CG21,IF(A22&lt;'Données projet'!$A$114,$BV$205^A22,IF(A22='Données projet'!$A$114,'Données projet'!$B$114,BY21+BX22-CG21)))</f>
        <v>107</v>
      </c>
      <c r="BZ22" s="13">
        <f>BY22*VLOOKUP('Données projet'!$B$12,Paramètres!$A$1:$I$89,3,0)*VLOOKUP('Données projet'!$B$12,Paramètres!$A$1:$I$89,5,0)</f>
        <v>85.129199999999997</v>
      </c>
      <c r="CA22" s="13">
        <f t="shared" si="39"/>
        <v>23.386728480923388</v>
      </c>
      <c r="CB22" s="20">
        <f t="shared" si="10"/>
        <v>188.99857543760822</v>
      </c>
      <c r="CC22" s="59">
        <f t="shared" si="11"/>
        <v>468.88746432649708</v>
      </c>
      <c r="CD22" s="59">
        <f ca="1">AVERAGE(OFFSET($CC$3,0,0,'Données projet'!$E$12+1,1))-AVERAGE(OFFSET($H$3,0,0,'Données projet'!$E$12+1,1))</f>
        <v>378.47278187128137</v>
      </c>
      <c r="CE22" s="59">
        <f t="shared" si="40"/>
        <v>372.59407061242604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23" s="11">
        <f t="shared" si="32"/>
        <v>2.1690022541664664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30.64948238450215</v>
      </c>
      <c r="H23" s="67">
        <f t="shared" si="1"/>
        <v>270.49724559267327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7</v>
      </c>
      <c r="N23" s="13">
        <f>IF('Données projet'!$A$36&gt;35,N22+M23-V22,IF(A23&lt;'Données projet'!$A$36,$K$205^A23,IF(A23='Données projet'!$A$36,'Données projet'!$B$36,N22+M23-V22)))</f>
        <v>115.90755570278284</v>
      </c>
      <c r="O23" s="13">
        <f>N23*VLOOKUP('Données projet'!$B$9,Paramètres!$A$1:$I$89,3,0)*VLOOKUP('Données projet'!$B$9,Paramètres!$A$1:$I$89,5,0)</f>
        <v>64.792323637855617</v>
      </c>
      <c r="P23" s="13">
        <f t="shared" si="33"/>
        <v>18.374447039708961</v>
      </c>
      <c r="Q23" s="20">
        <f t="shared" si="2"/>
        <v>144.84879226342497</v>
      </c>
      <c r="R23" s="59">
        <f t="shared" si="0"/>
        <v>425.95990337453611</v>
      </c>
      <c r="S23" s="59">
        <f ca="1">AVERAGE(OFFSET($R$3,0,0,'Données projet'!$E$9+1,1))-AVERAGE(OFFSET($H$3,0,0,'Données projet'!$E$9+1,1))</f>
        <v>347.01106511825213</v>
      </c>
      <c r="T23" s="59">
        <f t="shared" si="34"/>
        <v>329.53392323581539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</v>
      </c>
      <c r="AI23" s="13">
        <f>IF('Données projet'!$A$62&gt;35,AI22+AH23-AQ22,IF(A23&lt;'Données projet'!$A$62,$AF$205^A23,IF(A23='Données projet'!$A$62,'Données projet'!$B$62,AI22+AH23-AQ22)))</f>
        <v>40</v>
      </c>
      <c r="AJ23" s="13">
        <f>AI23*VLOOKUP('Données projet'!$B$10,Paramètres!$A$1:$I$89,3,0)*VLOOKUP('Données projet'!$B$10,Paramètres!$A$1:$I$89,5,0)</f>
        <v>36.192</v>
      </c>
      <c r="AK23" s="13">
        <f t="shared" si="35"/>
        <v>10.98353513000465</v>
      </c>
      <c r="AL23" s="20">
        <f t="shared" si="4"/>
        <v>82.164057018091427</v>
      </c>
      <c r="AM23" s="59">
        <f t="shared" si="5"/>
        <v>363.2751681292026</v>
      </c>
      <c r="AN23" s="59">
        <f ca="1">AVERAGE(OFFSET($AM$3,0,0,'Données projet'!$E$10+1,1))-AVERAGE(OFFSET($H$3,0,0,'Données projet'!$E$10+1,1))</f>
        <v>209.32570518924194</v>
      </c>
      <c r="AO23" s="59">
        <f t="shared" si="36"/>
        <v>138.10530102720475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18</v>
      </c>
      <c r="BD23" s="12">
        <f>IF('Données projet'!$A$88&gt;35,BD22+BC23-BL22,IF(A23&lt;'Données projet'!$A$88,$BA$205^A23,IF(A23='Données projet'!$A$88,'Données projet'!$B$88,BD22+BC23-BL22)))</f>
        <v>128</v>
      </c>
      <c r="BE23" s="13">
        <f>BD23*VLOOKUP('Données projet'!$B$11,Paramètres!$A$1:$I$89,3,0)*VLOOKUP('Données projet'!$B$11,Paramètres!$A$1:$I$89,5,0)</f>
        <v>79.872</v>
      </c>
      <c r="BF23" s="13">
        <f t="shared" si="37"/>
        <v>22.105884547145418</v>
      </c>
      <c r="BG23" s="20">
        <f t="shared" si="7"/>
        <v>177.61148225294494</v>
      </c>
      <c r="BH23" s="59">
        <f t="shared" si="8"/>
        <v>458.72259336405608</v>
      </c>
      <c r="BI23" s="59">
        <f ca="1">AVERAGE(OFFSET($BH$3,0,0,'Données projet'!$E$11+1,1))-AVERAGE(OFFSET($H$3,0,0,'Données projet'!$E$11+1,1))</f>
        <v>219.86035935827329</v>
      </c>
      <c r="BJ23" s="59">
        <f t="shared" si="38"/>
        <v>322.75312534885239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5.241872598282626</v>
      </c>
      <c r="BR23" s="21">
        <f>EXP(-LN(2)/2)*BR22+(1-EXP(-LN(2)/2))/(LN(2)/2)*BL23*BO23*VLOOKUP('Données projet'!$B$11,Paramètres!$A$1:$I$89,3,0)*0.475*44/12</f>
        <v>3.1086569960886647</v>
      </c>
      <c r="BS23" s="22">
        <f t="shared" si="9"/>
        <v>8.3505295943712916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123</v>
      </c>
      <c r="BW23" s="12">
        <f>VLOOKUP(A23,'Données projet'!$A$113:$I$133,9,0)</f>
        <v>16</v>
      </c>
      <c r="BX23" s="12">
        <f t="array" ref="BX23">INDEX(BW:BW,MIN(IF(ISNUMBER(BW23:BW219),ROW(BW23:BW219),"")))</f>
        <v>16</v>
      </c>
      <c r="BY23" s="12">
        <f>IF('Données projet'!$A$114&gt;35,BY22+BX23-CG22,IF(A23&lt;'Données projet'!$A$114,$BV$205^A23,IF(A23='Données projet'!$A$114,'Données projet'!$B$114,BY22+BX23-CG22)))</f>
        <v>123</v>
      </c>
      <c r="BZ23" s="13">
        <f>BY23*VLOOKUP('Données projet'!$B$12,Paramètres!$A$1:$I$89,3,0)*VLOOKUP('Données projet'!$B$12,Paramètres!$A$1:$I$89,5,0)</f>
        <v>97.858800000000016</v>
      </c>
      <c r="CA23" s="13">
        <f t="shared" si="39"/>
        <v>26.45124536158788</v>
      </c>
      <c r="CB23" s="20">
        <f t="shared" si="10"/>
        <v>216.50666233809889</v>
      </c>
      <c r="CC23" s="59">
        <f t="shared" si="11"/>
        <v>497.61777344921006</v>
      </c>
      <c r="CD23" s="59">
        <f ca="1">AVERAGE(OFFSET($CC$3,0,0,'Données projet'!$E$12+1,1))-AVERAGE(OFFSET($H$3,0,0,'Données projet'!$E$12+1,1))</f>
        <v>378.47278187128137</v>
      </c>
      <c r="CE23" s="59">
        <f t="shared" si="40"/>
        <v>372.59407061242604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42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6.0605999999999991</v>
      </c>
      <c r="D24" s="11">
        <f t="shared" si="32"/>
        <v>2.2645549740213835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32.132177092714109</v>
      </c>
      <c r="H24" s="67">
        <f t="shared" si="1"/>
        <v>271.16631157975394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>
        <f>VLOOKUP(A24,'Données projet'!$A$35:$I$55,2,0)</f>
        <v>147</v>
      </c>
      <c r="L24" s="12">
        <f>VLOOKUP(A24,'Données projet'!$A$35:$I$55,9,0)</f>
        <v>7</v>
      </c>
      <c r="M24" s="12">
        <f t="array" ref="M24">INDEX(L:L,MIN(IF(ISNUMBER(L24:L220),ROW(L24:L220),"")))</f>
        <v>7</v>
      </c>
      <c r="N24" s="13">
        <f>IF('Données projet'!$A$36&gt;35,N23+M24-V23,IF(A24&lt;'Données projet'!$A$36,$K$205^A24,IF(A24='Données projet'!$A$36,'Données projet'!$B$36,N23+M24-V23)))</f>
        <v>147</v>
      </c>
      <c r="O24" s="13">
        <f>N24*VLOOKUP('Données projet'!$B$9,Paramètres!$A$1:$I$89,3,0)*VLOOKUP('Données projet'!$B$9,Paramètres!$A$1:$I$89,5,0)</f>
        <v>82.173000000000002</v>
      </c>
      <c r="P24" s="13">
        <f t="shared" si="33"/>
        <v>22.667662370396656</v>
      </c>
      <c r="Q24" s="20">
        <f t="shared" si="2"/>
        <v>182.59748696177417</v>
      </c>
      <c r="R24" s="59">
        <f t="shared" si="0"/>
        <v>464.93082029510748</v>
      </c>
      <c r="S24" s="59">
        <f ca="1">AVERAGE(OFFSET($R$3,0,0,'Données projet'!$E$9+1,1))-AVERAGE(OFFSET($H$3,0,0,'Données projet'!$E$9+1,1))</f>
        <v>347.01106511825213</v>
      </c>
      <c r="T24" s="59">
        <f t="shared" si="34"/>
        <v>329.53392323581539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0.33</v>
      </c>
      <c r="Y24" s="16">
        <f>IF(ISNA(VLOOKUP(A24,'Données projet'!$A$35:$I$55,7,0)),0%,VLOOKUP(A24,'Données projet'!$A$35:$I$55,7,0))</f>
        <v>0.4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</v>
      </c>
      <c r="AI24" s="13">
        <f>IF('Données projet'!$A$62&gt;35,AI23+AH24-AQ23,IF(A24&lt;'Données projet'!$A$62,$AF$205^A24,IF(A24='Données projet'!$A$62,'Données projet'!$B$62,AI23+AH24-AQ23)))</f>
        <v>42</v>
      </c>
      <c r="AJ24" s="13">
        <f>AI24*VLOOKUP('Données projet'!$B$10,Paramètres!$A$1:$I$89,3,0)*VLOOKUP('Données projet'!$B$10,Paramètres!$A$1:$I$89,5,0)</f>
        <v>38.001600000000003</v>
      </c>
      <c r="AK24" s="13">
        <f t="shared" si="35"/>
        <v>11.467401227090512</v>
      </c>
      <c r="AL24" s="20">
        <f t="shared" si="4"/>
        <v>86.158510470515978</v>
      </c>
      <c r="AM24" s="59">
        <f t="shared" si="5"/>
        <v>368.49184380384929</v>
      </c>
      <c r="AN24" s="59">
        <f ca="1">AVERAGE(OFFSET($AM$3,0,0,'Données projet'!$E$10+1,1))-AVERAGE(OFFSET($H$3,0,0,'Données projet'!$E$10+1,1))</f>
        <v>209.32570518924194</v>
      </c>
      <c r="AO24" s="59">
        <f t="shared" si="36"/>
        <v>138.10530102720475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>
        <f>VLOOKUP(A24,'Données projet'!$A$87:$I$107,2,0)</f>
        <v>146</v>
      </c>
      <c r="BB24" s="12">
        <f>VLOOKUP(A24,'Données projet'!$A$87:$I$107,9,0)</f>
        <v>18</v>
      </c>
      <c r="BC24" s="12">
        <f t="array" ref="BC24">INDEX(BB:BB,MIN(IF(ISNUMBER(BB24:BB220),ROW(BB24:BB220),"")))</f>
        <v>18</v>
      </c>
      <c r="BD24" s="12">
        <f>IF('Données projet'!$A$88&gt;35,BD23+BC24-BL23,IF(A24&lt;'Données projet'!$A$88,$BA$205^A24,IF(A24='Données projet'!$A$88,'Données projet'!$B$88,BD23+BC24-BL23)))</f>
        <v>146</v>
      </c>
      <c r="BE24" s="13">
        <f>BD24*VLOOKUP('Données projet'!$B$11,Paramètres!$A$1:$I$89,3,0)*VLOOKUP('Données projet'!$B$11,Paramètres!$A$1:$I$89,5,0)</f>
        <v>91.103999999999999</v>
      </c>
      <c r="BF24" s="13">
        <f t="shared" si="37"/>
        <v>24.831293984707884</v>
      </c>
      <c r="BG24" s="20">
        <f t="shared" si="7"/>
        <v>201.92063702336623</v>
      </c>
      <c r="BH24" s="59">
        <f t="shared" si="8"/>
        <v>484.25397035669954</v>
      </c>
      <c r="BI24" s="59">
        <f ca="1">AVERAGE(OFFSET($BH$3,0,0,'Données projet'!$E$11+1,1))-AVERAGE(OFFSET($H$3,0,0,'Données projet'!$E$11+1,1))</f>
        <v>219.86035935827329</v>
      </c>
      <c r="BJ24" s="59">
        <f t="shared" si="38"/>
        <v>322.75312534885239</v>
      </c>
      <c r="BK24" s="15">
        <f>IF(ISNA(VLOOKUP(A24,'Données projet'!$A$87:$I$107,3,0)),0,VLOOKUP(A24,'Données projet'!$A$87:$I$107,3,0))</f>
        <v>2</v>
      </c>
      <c r="BL24" s="15">
        <f>IF(ISNA(VLOOKUP(A24,'Données projet'!$A$87:$I$107,4,0)),0,VLOOKUP(A24,'Données projet'!$A$87:$I$107,4,0))</f>
        <v>26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0.33600000000000002</v>
      </c>
      <c r="BO24" s="16">
        <f>IF(ISNA(VLOOKUP(A24,'Données projet'!$A$87:$I$107,7,0)),0%,VLOOKUP(A24,'Données projet'!$A$87:$I$107,7,0))</f>
        <v>0.44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12.301513389946308</v>
      </c>
      <c r="BR24" s="21">
        <f>EXP(-LN(2)/2)*BR23+(1-EXP(-LN(2)/2))/(LN(2)/2)*BL24*BO24*VLOOKUP('Données projet'!$B$11,Paramètres!$A$1:$I$89,3,0)*0.475*44/12</f>
        <v>10.280660632147827</v>
      </c>
      <c r="BS24" s="22">
        <f t="shared" si="9"/>
        <v>22.582174022094136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16.8</v>
      </c>
      <c r="BY24" s="12">
        <f>IF('Données projet'!$A$114&gt;35,BY23+BX24-CG23,IF(A24&lt;'Données projet'!$A$114,$BV$205^A24,IF(A24='Données projet'!$A$114,'Données projet'!$B$114,BY23+BX24-CG23)))</f>
        <v>97.800000000000011</v>
      </c>
      <c r="BZ24" s="13">
        <f>BY24*VLOOKUP('Données projet'!$B$12,Paramètres!$A$1:$I$89,3,0)*VLOOKUP('Données projet'!$B$12,Paramètres!$A$1:$I$89,5,0)</f>
        <v>77.809680000000014</v>
      </c>
      <c r="CA24" s="13">
        <f t="shared" si="39"/>
        <v>21.600777311280577</v>
      </c>
      <c r="CB24" s="20">
        <f t="shared" si="10"/>
        <v>173.13987981714703</v>
      </c>
      <c r="CC24" s="59">
        <f t="shared" si="11"/>
        <v>455.47321315048032</v>
      </c>
      <c r="CD24" s="59">
        <f ca="1">AVERAGE(OFFSET($CC$3,0,0,'Données projet'!$E$12+1,1))-AVERAGE(OFFSET($H$3,0,0,'Données projet'!$E$12+1,1))</f>
        <v>378.47278187128137</v>
      </c>
      <c r="CE24" s="59">
        <f t="shared" si="40"/>
        <v>372.59407061242604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6.3491999999999988</v>
      </c>
      <c r="D25" s="11">
        <f t="shared" si="32"/>
        <v>2.3595793130948257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33.612832436506345</v>
      </c>
      <c r="H25" s="67">
        <f t="shared" si="1"/>
        <v>271.83445730364019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</v>
      </c>
      <c r="N25" s="13">
        <f>IF('Données projet'!$A$36&gt;35,N24+M25-V24,IF(A25&lt;'Données projet'!$A$36,$K$205^A25,IF(A25='Données projet'!$A$36,'Données projet'!$B$36,N24+M25-V24)))</f>
        <v>166</v>
      </c>
      <c r="O25" s="13">
        <f>N25*VLOOKUP('Données projet'!$B$9,Paramètres!$A$1:$I$89,3,0)*VLOOKUP('Données projet'!$B$9,Paramètres!$A$1:$I$89,5,0)</f>
        <v>92.793999999999997</v>
      </c>
      <c r="P25" s="13">
        <f t="shared" si="33"/>
        <v>25.237866858098691</v>
      </c>
      <c r="Q25" s="20">
        <f t="shared" si="2"/>
        <v>205.57216811118852</v>
      </c>
      <c r="R25" s="59">
        <f t="shared" si="0"/>
        <v>489.12772366674403</v>
      </c>
      <c r="S25" s="59">
        <f ca="1">AVERAGE(OFFSET($R$3,0,0,'Données projet'!$E$9+1,1))-AVERAGE(OFFSET($H$3,0,0,'Données projet'!$E$9+1,1))</f>
        <v>347.01106511825213</v>
      </c>
      <c r="T25" s="59">
        <f t="shared" si="34"/>
        <v>329.53392323581539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</v>
      </c>
      <c r="AI25" s="13">
        <f>IF('Données projet'!$A$62&gt;35,AI24+AH25-AQ24,IF(A25&lt;'Données projet'!$A$62,$AF$205^A25,IF(A25='Données projet'!$A$62,'Données projet'!$B$62,AI24+AH25-AQ24)))</f>
        <v>44</v>
      </c>
      <c r="AJ25" s="13">
        <f>AI25*VLOOKUP('Données projet'!$B$10,Paramètres!$A$1:$I$89,3,0)*VLOOKUP('Données projet'!$B$10,Paramètres!$A$1:$I$89,5,0)</f>
        <v>39.811199999999999</v>
      </c>
      <c r="AK25" s="13">
        <f t="shared" si="35"/>
        <v>11.948591675101238</v>
      </c>
      <c r="AL25" s="20">
        <f t="shared" si="4"/>
        <v>90.148303834134651</v>
      </c>
      <c r="AM25" s="59">
        <f t="shared" si="5"/>
        <v>373.70385938969019</v>
      </c>
      <c r="AN25" s="59">
        <f ca="1">AVERAGE(OFFSET($AM$3,0,0,'Données projet'!$E$10+1,1))-AVERAGE(OFFSET($H$3,0,0,'Données projet'!$E$10+1,1))</f>
        <v>209.32570518924194</v>
      </c>
      <c r="AO25" s="59">
        <f t="shared" si="36"/>
        <v>138.10530102720475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16</v>
      </c>
      <c r="BD25" s="12">
        <f>IF('Données projet'!$A$88&gt;35,BD24+BC25-BL24,IF(A25&lt;'Données projet'!$A$88,$BA$205^A25,IF(A25='Données projet'!$A$88,'Données projet'!$B$88,BD24+BC25-BL24)))</f>
        <v>136</v>
      </c>
      <c r="BE25" s="13">
        <f>BD25*VLOOKUP('Données projet'!$B$11,Paramètres!$A$1:$I$89,3,0)*VLOOKUP('Données projet'!$B$11,Paramètres!$A$1:$I$89,5,0)</f>
        <v>84.864000000000004</v>
      </c>
      <c r="BF25" s="13">
        <f t="shared" si="37"/>
        <v>23.322341364766192</v>
      </c>
      <c r="BG25" s="20">
        <f t="shared" si="7"/>
        <v>188.42454454363443</v>
      </c>
      <c r="BH25" s="59">
        <f t="shared" si="8"/>
        <v>471.98010009918994</v>
      </c>
      <c r="BI25" s="59">
        <f ca="1">AVERAGE(OFFSET($BH$3,0,0,'Données projet'!$E$11+1,1))-AVERAGE(OFFSET($H$3,0,0,'Données projet'!$E$11+1,1))</f>
        <v>219.86035935827329</v>
      </c>
      <c r="BJ25" s="59">
        <f t="shared" si="38"/>
        <v>322.75312534885239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11.965127859389753</v>
      </c>
      <c r="BR25" s="21">
        <f>EXP(-LN(2)/2)*BR24+(1-EXP(-LN(2)/2))/(LN(2)/2)*BL25*BO25*VLOOKUP('Données projet'!$B$11,Paramètres!$A$1:$I$89,3,0)*0.475*44/12</f>
        <v>7.2695248480693069</v>
      </c>
      <c r="BS25" s="22">
        <f t="shared" si="9"/>
        <v>19.234652707459059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16.8</v>
      </c>
      <c r="BY25" s="12">
        <f>IF('Données projet'!$A$114&gt;35,BY24+BX25-CG24,IF(A25&lt;'Données projet'!$A$114,$BV$205^A25,IF(A25='Données projet'!$A$114,'Données projet'!$B$114,BY24+BX25-CG24)))</f>
        <v>114.60000000000001</v>
      </c>
      <c r="BZ25" s="13">
        <f>BY25*VLOOKUP('Données projet'!$B$12,Paramètres!$A$1:$I$89,3,0)*VLOOKUP('Données projet'!$B$12,Paramètres!$A$1:$I$89,5,0)</f>
        <v>91.175760000000011</v>
      </c>
      <c r="CA25" s="13">
        <f t="shared" si="39"/>
        <v>24.848575433138123</v>
      </c>
      <c r="CB25" s="20">
        <f t="shared" si="10"/>
        <v>202.07571754604893</v>
      </c>
      <c r="CC25" s="59">
        <f t="shared" si="11"/>
        <v>485.63127310160451</v>
      </c>
      <c r="CD25" s="59">
        <f ca="1">AVERAGE(OFFSET($CC$3,0,0,'Données projet'!$E$12+1,1))-AVERAGE(OFFSET($H$3,0,0,'Données projet'!$E$12+1,1))</f>
        <v>378.47278187128137</v>
      </c>
      <c r="CE25" s="59">
        <f t="shared" si="40"/>
        <v>372.59407061242604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6.6377999999999986</v>
      </c>
      <c r="D26" s="11">
        <f t="shared" si="32"/>
        <v>2.4541020323330347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35.09155170374153</v>
      </c>
      <c r="H26" s="67">
        <f t="shared" si="1"/>
        <v>272.50172937298004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</v>
      </c>
      <c r="N26" s="13">
        <f>IF('Données projet'!$A$36&gt;35,N25+M26-V25,IF(A26&lt;'Données projet'!$A$36,$K$205^A26,IF(A26='Données projet'!$A$36,'Données projet'!$B$36,N25+M26-V25)))</f>
        <v>185</v>
      </c>
      <c r="O26" s="13">
        <f>N26*VLOOKUP('Données projet'!$B$9,Paramètres!$A$1:$I$89,3,0)*VLOOKUP('Données projet'!$B$9,Paramètres!$A$1:$I$89,5,0)</f>
        <v>103.41500000000001</v>
      </c>
      <c r="P26" s="13">
        <f t="shared" si="33"/>
        <v>27.773977384564439</v>
      </c>
      <c r="Q26" s="20">
        <f t="shared" si="2"/>
        <v>228.48746894478305</v>
      </c>
      <c r="R26" s="59">
        <f t="shared" si="0"/>
        <v>513.26524672256085</v>
      </c>
      <c r="S26" s="59">
        <f ca="1">AVERAGE(OFFSET($R$3,0,0,'Données projet'!$E$9+1,1))-AVERAGE(OFFSET($H$3,0,0,'Données projet'!$E$9+1,1))</f>
        <v>347.01106511825213</v>
      </c>
      <c r="T26" s="59">
        <f t="shared" si="34"/>
        <v>329.53392323581539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</v>
      </c>
      <c r="AI26" s="13">
        <f>IF('Données projet'!$A$62&gt;35,AI25+AH26-AQ25,IF(A26&lt;'Données projet'!$A$62,$AF$205^A26,IF(A26='Données projet'!$A$62,'Données projet'!$B$62,AI25+AH26-AQ25)))</f>
        <v>46</v>
      </c>
      <c r="AJ26" s="13">
        <f>AI26*VLOOKUP('Données projet'!$B$10,Paramètres!$A$1:$I$89,3,0)*VLOOKUP('Données projet'!$B$10,Paramètres!$A$1:$I$89,5,0)</f>
        <v>41.620800000000003</v>
      </c>
      <c r="AK26" s="13">
        <f t="shared" si="35"/>
        <v>12.427241987862391</v>
      </c>
      <c r="AL26" s="20">
        <f t="shared" si="4"/>
        <v>94.133673128860323</v>
      </c>
      <c r="AM26" s="59">
        <f t="shared" si="5"/>
        <v>378.91145090663809</v>
      </c>
      <c r="AN26" s="59">
        <f ca="1">AVERAGE(OFFSET($AM$3,0,0,'Données projet'!$E$10+1,1))-AVERAGE(OFFSET($H$3,0,0,'Données projet'!$E$10+1,1))</f>
        <v>209.32570518924194</v>
      </c>
      <c r="AO26" s="59">
        <f t="shared" si="36"/>
        <v>138.10530102720475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16</v>
      </c>
      <c r="BD26" s="12">
        <f>IF('Données projet'!$A$88&gt;35,BD25+BC26-BL25,IF(A26&lt;'Données projet'!$A$88,$BA$205^A26,IF(A26='Données projet'!$A$88,'Données projet'!$B$88,BD25+BC26-BL25)))</f>
        <v>152</v>
      </c>
      <c r="BE26" s="13">
        <f>BD26*VLOOKUP('Données projet'!$B$11,Paramètres!$A$1:$I$89,3,0)*VLOOKUP('Données projet'!$B$11,Paramètres!$A$1:$I$89,5,0)</f>
        <v>94.847999999999999</v>
      </c>
      <c r="BF26" s="13">
        <f t="shared" si="37"/>
        <v>25.730851751939202</v>
      </c>
      <c r="BG26" s="20">
        <f t="shared" si="7"/>
        <v>210.0081668012941</v>
      </c>
      <c r="BH26" s="59">
        <f t="shared" si="8"/>
        <v>494.78594457907184</v>
      </c>
      <c r="BI26" s="59">
        <f ca="1">AVERAGE(OFFSET($BH$3,0,0,'Données projet'!$E$11+1,1))-AVERAGE(OFFSET($H$3,0,0,'Données projet'!$E$11+1,1))</f>
        <v>219.86035935827329</v>
      </c>
      <c r="BJ26" s="59">
        <f t="shared" si="38"/>
        <v>322.75312534885239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11.637940808856012</v>
      </c>
      <c r="BR26" s="21">
        <f>EXP(-LN(2)/2)*BR25+(1-EXP(-LN(2)/2))/(LN(2)/2)*BL26*BO26*VLOOKUP('Données projet'!$B$11,Paramètres!$A$1:$I$89,3,0)*0.475*44/12</f>
        <v>5.1403303160739142</v>
      </c>
      <c r="BS26" s="22">
        <f t="shared" si="9"/>
        <v>16.778271124929926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16.8</v>
      </c>
      <c r="BY26" s="12">
        <f>IF('Données projet'!$A$114&gt;35,BY25+BX26-CG25,IF(A26&lt;'Données projet'!$A$114,$BV$205^A26,IF(A26='Données projet'!$A$114,'Données projet'!$B$114,BY25+BX26-CG25)))</f>
        <v>131.4</v>
      </c>
      <c r="BZ26" s="13">
        <f>BY26*VLOOKUP('Données projet'!$B$12,Paramètres!$A$1:$I$89,3,0)*VLOOKUP('Données projet'!$B$12,Paramètres!$A$1:$I$89,5,0)</f>
        <v>104.54184000000002</v>
      </c>
      <c r="CA26" s="13">
        <f t="shared" si="39"/>
        <v>28.041215323191079</v>
      </c>
      <c r="CB26" s="20">
        <f t="shared" si="10"/>
        <v>230.91548802122449</v>
      </c>
      <c r="CC26" s="59">
        <f t="shared" si="11"/>
        <v>515.69326579900223</v>
      </c>
      <c r="CD26" s="59">
        <f ca="1">AVERAGE(OFFSET($CC$3,0,0,'Données projet'!$E$12+1,1))-AVERAGE(OFFSET($H$3,0,0,'Données projet'!$E$12+1,1))</f>
        <v>378.47278187128137</v>
      </c>
      <c r="CE26" s="59">
        <f t="shared" si="40"/>
        <v>372.59407061242604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6.9263999999999983</v>
      </c>
      <c r="D27" s="11">
        <f t="shared" si="32"/>
        <v>2.5481474340493011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36.568428692821861</v>
      </c>
      <c r="H27" s="67">
        <f t="shared" si="1"/>
        <v>273.16817011430254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19</v>
      </c>
      <c r="N27" s="13">
        <f>IF('Données projet'!$A$36&gt;35,N26+M27-V26,IF(A27&lt;'Données projet'!$A$36,$K$205^A27,IF(A27='Données projet'!$A$36,'Données projet'!$B$36,N26+M27-V26)))</f>
        <v>204</v>
      </c>
      <c r="O27" s="13">
        <f>N27*VLOOKUP('Données projet'!$B$9,Paramètres!$A$1:$I$89,3,0)*VLOOKUP('Données projet'!$B$9,Paramètres!$A$1:$I$89,5,0)</f>
        <v>114.036</v>
      </c>
      <c r="P27" s="13">
        <f t="shared" si="33"/>
        <v>30.279894261296121</v>
      </c>
      <c r="Q27" s="20">
        <f t="shared" si="2"/>
        <v>251.35018250509077</v>
      </c>
      <c r="R27" s="59">
        <f t="shared" si="0"/>
        <v>537.35018250509074</v>
      </c>
      <c r="S27" s="59">
        <f ca="1">AVERAGE(OFFSET($R$3,0,0,'Données projet'!$E$9+1,1))-AVERAGE(OFFSET($H$3,0,0,'Données projet'!$E$9+1,1))</f>
        <v>347.01106511825213</v>
      </c>
      <c r="T27" s="59">
        <f t="shared" si="34"/>
        <v>329.53392323581539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</v>
      </c>
      <c r="AI27" s="13">
        <f>IF('Données projet'!$A$62&gt;35,AI26+AH27-AQ26,IF(A27&lt;'Données projet'!$A$62,$AF$205^A27,IF(A27='Données projet'!$A$62,'Données projet'!$B$62,AI26+AH27-AQ26)))</f>
        <v>48</v>
      </c>
      <c r="AJ27" s="13">
        <f>AI27*VLOOKUP('Données projet'!$B$10,Paramètres!$A$1:$I$89,3,0)*VLOOKUP('Données projet'!$B$10,Paramètres!$A$1:$I$89,5,0)</f>
        <v>43.430399999999999</v>
      </c>
      <c r="AK27" s="13">
        <f t="shared" si="35"/>
        <v>12.903475229013621</v>
      </c>
      <c r="AL27" s="20">
        <f t="shared" si="4"/>
        <v>98.114832690532054</v>
      </c>
      <c r="AM27" s="59">
        <f t="shared" si="5"/>
        <v>384.11483269053207</v>
      </c>
      <c r="AN27" s="59">
        <f ca="1">AVERAGE(OFFSET($AM$3,0,0,'Données projet'!$E$10+1,1))-AVERAGE(OFFSET($H$3,0,0,'Données projet'!$E$10+1,1))</f>
        <v>209.32570518924194</v>
      </c>
      <c r="AO27" s="59">
        <f t="shared" si="36"/>
        <v>138.10530102720475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>
        <f>VLOOKUP(A27,'Données projet'!$A$87:$I$107,2,0)</f>
        <v>168</v>
      </c>
      <c r="BB27" s="12">
        <f>VLOOKUP(A27,'Données projet'!$A$87:$I$107,9,0)</f>
        <v>16</v>
      </c>
      <c r="BC27" s="12">
        <f t="array" ref="BC27">INDEX(BB:BB,MIN(IF(ISNUMBER(BB27:BB223),ROW(BB27:BB223),"")))</f>
        <v>16</v>
      </c>
      <c r="BD27" s="12">
        <f>IF('Données projet'!$A$88&gt;35,BD26+BC27-BL26,IF(A27&lt;'Données projet'!$A$88,$BA$205^A27,IF(A27='Données projet'!$A$88,'Données projet'!$B$88,BD26+BC27-BL26)))</f>
        <v>168</v>
      </c>
      <c r="BE27" s="13">
        <f>BD27*VLOOKUP('Données projet'!$B$11,Paramètres!$A$1:$I$89,3,0)*VLOOKUP('Données projet'!$B$11,Paramètres!$A$1:$I$89,5,0)</f>
        <v>104.83200000000001</v>
      </c>
      <c r="BF27" s="13">
        <f t="shared" si="37"/>
        <v>28.109974371137717</v>
      </c>
      <c r="BG27" s="20">
        <f t="shared" si="7"/>
        <v>231.54060536306486</v>
      </c>
      <c r="BH27" s="59">
        <f t="shared" si="8"/>
        <v>517.54060536306486</v>
      </c>
      <c r="BI27" s="59">
        <f ca="1">AVERAGE(OFFSET($BH$3,0,0,'Données projet'!$E$11+1,1))-AVERAGE(OFFSET($H$3,0,0,'Données projet'!$E$11+1,1))</f>
        <v>219.86035935827329</v>
      </c>
      <c r="BJ27" s="59">
        <f t="shared" si="38"/>
        <v>322.75312534885239</v>
      </c>
      <c r="BK27" s="15">
        <f>IF(ISNA(VLOOKUP(A27,'Données projet'!$A$87:$I$107,3,0)),0,VLOOKUP(A27,'Données projet'!$A$87:$I$107,3,0))</f>
        <v>3</v>
      </c>
      <c r="BL27" s="15">
        <f>IF(ISNA(VLOOKUP(A27,'Données projet'!$A$87:$I$107,4,0)),0,VLOOKUP(A27,'Données projet'!$A$87:$I$107,4,0))</f>
        <v>29</v>
      </c>
      <c r="BM27" s="16">
        <f>IF(ISNA(VLOOKUP(A27,'Données projet'!$A$87:$I$107,5,0)),0%,VLOOKUP(A27,'Données projet'!$A$87:$I$107,5,0)*VLOOKUP('Données projet'!$B$11,Paramètres!$A$1:$I$89,7,0))</f>
        <v>0.42</v>
      </c>
      <c r="BN27" s="16">
        <f>IF(ISNA(VLOOKUP(A27,'Données projet'!$A$87:$I$107,6,0)),0%,VLOOKUP(A27,'Données projet'!$A$87:$I$107,6,0)*VLOOKUP('Données projet'!$B$11,Paramètres!$A$1:$I$89,7,0))</f>
        <v>0.1008</v>
      </c>
      <c r="BO27" s="16">
        <f>IF(ISNA(VLOOKUP(A27,'Données projet'!$A$87:$I$107,7,0)),0%,VLOOKUP(A27,'Données projet'!$A$87:$I$107,7,0))</f>
        <v>0.13200000000000001</v>
      </c>
      <c r="BP27" s="21">
        <f>EXP(-LN(2)/35)*BP26+(1-EXP(-LN(2)/35))/(LN(2)/35)*BL27*BM27*VLOOKUP('Données projet'!$B$11,Paramètres!$A$1:$I$89,3,0)*0.475*44/12</f>
        <v>10.082314361966246</v>
      </c>
      <c r="BQ27" s="21">
        <f>EXP(-LN(2)/25)*BQ26+(1-EXP(-LN(2)/25))/(LN(2)/25)*Calculateur!BL27*Calculateur!BN27*VLOOKUP('Données projet'!$B$11,Paramètres!$A$1:$I$89,3,0)*0.475*44/12</f>
        <v>13.729928653103592</v>
      </c>
      <c r="BR27" s="21">
        <f>EXP(-LN(2)/2)*BR26+(1-EXP(-LN(2)/2))/(LN(2)/2)*BL27*BO27*VLOOKUP('Données projet'!$B$11,Paramètres!$A$1:$I$89,3,0)*0.475*44/12</f>
        <v>6.339294010631793</v>
      </c>
      <c r="BS27" s="22">
        <f t="shared" si="9"/>
        <v>30.151537025701632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16.8</v>
      </c>
      <c r="BY27" s="12">
        <f>IF('Données projet'!$A$114&gt;35,BY26+BX27-CG26,IF(A27&lt;'Données projet'!$A$114,$BV$205^A27,IF(A27='Données projet'!$A$114,'Données projet'!$B$114,BY26+BX27-CG26)))</f>
        <v>148.20000000000002</v>
      </c>
      <c r="BZ27" s="13">
        <f>BY27*VLOOKUP('Données projet'!$B$12,Paramètres!$A$1:$I$89,3,0)*VLOOKUP('Données projet'!$B$12,Paramètres!$A$1:$I$89,5,0)</f>
        <v>117.90792000000002</v>
      </c>
      <c r="CA27" s="13">
        <f t="shared" si="39"/>
        <v>31.186557651984323</v>
      </c>
      <c r="CB27" s="20">
        <f t="shared" si="10"/>
        <v>259.67288191053939</v>
      </c>
      <c r="CC27" s="59">
        <f t="shared" si="11"/>
        <v>545.67288191053945</v>
      </c>
      <c r="CD27" s="59">
        <f ca="1">AVERAGE(OFFSET($CC$3,0,0,'Données projet'!$E$12+1,1))-AVERAGE(OFFSET($H$3,0,0,'Données projet'!$E$12+1,1))</f>
        <v>378.47278187128137</v>
      </c>
      <c r="CE27" s="59">
        <f t="shared" si="40"/>
        <v>372.59407061242604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7.2149999999999981</v>
      </c>
      <c r="D28" s="11">
        <f t="shared" si="32"/>
        <v>2.6417376807869735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38.043548943388309</v>
      </c>
      <c r="H28" s="67">
        <f t="shared" si="1"/>
        <v>273.83381812737065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</v>
      </c>
      <c r="N28" s="13">
        <f>IF('Données projet'!$A$36&gt;35,N27+M28-V27,IF(A28&lt;'Données projet'!$A$36,$K$205^A28,IF(A28='Données projet'!$A$36,'Données projet'!$B$36,N27+M28-V27)))</f>
        <v>223</v>
      </c>
      <c r="O28" s="13">
        <f>N28*VLOOKUP('Données projet'!$B$9,Paramètres!$A$1:$I$89,3,0)*VLOOKUP('Données projet'!$B$9,Paramètres!$A$1:$I$89,5,0)</f>
        <v>124.65700000000001</v>
      </c>
      <c r="P28" s="13">
        <f t="shared" si="33"/>
        <v>32.758749517288294</v>
      </c>
      <c r="Q28" s="20">
        <f t="shared" si="2"/>
        <v>274.16576374261041</v>
      </c>
      <c r="R28" s="59">
        <f t="shared" si="0"/>
        <v>561.38798596483264</v>
      </c>
      <c r="S28" s="59">
        <f ca="1">AVERAGE(OFFSET($R$3,0,0,'Données projet'!$E$9+1,1))-AVERAGE(OFFSET($H$3,0,0,'Données projet'!$E$9+1,1))</f>
        <v>347.01106511825213</v>
      </c>
      <c r="T28" s="59">
        <f t="shared" si="34"/>
        <v>329.53392323581539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0</v>
      </c>
      <c r="AC28" s="22">
        <f t="shared" si="3"/>
        <v>0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</v>
      </c>
      <c r="AI28" s="13">
        <f>IF('Données projet'!$A$62&gt;35,AI27+AH28-AQ27,IF(A28&lt;'Données projet'!$A$62,$AF$205^A28,IF(A28='Données projet'!$A$62,'Données projet'!$B$62,AI27+AH28-AQ27)))</f>
        <v>50</v>
      </c>
      <c r="AJ28" s="13">
        <f>AI28*VLOOKUP('Données projet'!$B$10,Paramètres!$A$1:$I$89,3,0)*VLOOKUP('Données projet'!$B$10,Paramètres!$A$1:$I$89,5,0)</f>
        <v>45.239999999999995</v>
      </c>
      <c r="AK28" s="13">
        <f t="shared" si="35"/>
        <v>13.377403626687906</v>
      </c>
      <c r="AL28" s="20">
        <f t="shared" si="4"/>
        <v>102.09197798314808</v>
      </c>
      <c r="AM28" s="59">
        <f t="shared" si="5"/>
        <v>389.3142002053703</v>
      </c>
      <c r="AN28" s="59">
        <f ca="1">AVERAGE(OFFSET($AM$3,0,0,'Données projet'!$E$10+1,1))-AVERAGE(OFFSET($H$3,0,0,'Données projet'!$E$10+1,1))</f>
        <v>209.32570518924194</v>
      </c>
      <c r="AO28" s="59">
        <f t="shared" si="36"/>
        <v>138.10530102720475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14.166666666666666</v>
      </c>
      <c r="BD28" s="12">
        <f>IF('Données projet'!$A$88&gt;35,BD27+BC28-BL27,IF(A28&lt;'Données projet'!$A$88,$BA$205^A28,IF(A28='Données projet'!$A$88,'Données projet'!$B$88,BD27+BC28-BL27)))</f>
        <v>153.16666666666666</v>
      </c>
      <c r="BE28" s="13">
        <f>BD28*VLOOKUP('Données projet'!$B$11,Paramètres!$A$1:$I$89,3,0)*VLOOKUP('Données projet'!$B$11,Paramètres!$A$1:$I$89,5,0)</f>
        <v>95.575999999999993</v>
      </c>
      <c r="BF28" s="13">
        <f t="shared" si="37"/>
        <v>25.905281107545633</v>
      </c>
      <c r="BG28" s="20">
        <f t="shared" si="7"/>
        <v>211.57989792897527</v>
      </c>
      <c r="BH28" s="59">
        <f t="shared" si="8"/>
        <v>498.80212015119753</v>
      </c>
      <c r="BI28" s="59">
        <f ca="1">AVERAGE(OFFSET($BH$3,0,0,'Données projet'!$E$11+1,1))-AVERAGE(OFFSET($H$3,0,0,'Données projet'!$E$11+1,1))</f>
        <v>219.86035935827329</v>
      </c>
      <c r="BJ28" s="59">
        <f t="shared" si="38"/>
        <v>322.75312534885239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9.8846063269326248</v>
      </c>
      <c r="BQ28" s="21">
        <f>EXP(-LN(2)/25)*BQ27+(1-EXP(-LN(2)/25))/(LN(2)/25)*Calculateur!BL28*Calculateur!BN28*VLOOKUP('Données projet'!$B$11,Paramètres!$A$1:$I$89,3,0)*0.475*44/12</f>
        <v>13.354483032058907</v>
      </c>
      <c r="BR28" s="21">
        <f>EXP(-LN(2)/2)*BR27+(1-EXP(-LN(2)/2))/(LN(2)/2)*BL28*BO28*VLOOKUP('Données projet'!$B$11,Paramètres!$A$1:$I$89,3,0)*0.475*44/12</f>
        <v>4.4825577828530072</v>
      </c>
      <c r="BS28" s="22">
        <f t="shared" si="9"/>
        <v>27.721647141844539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>
        <f>VLOOKUP(A28,'Données projet'!$A$113:$I$133,2,0)</f>
        <v>165</v>
      </c>
      <c r="BW28" s="12">
        <f>VLOOKUP(A28,'Données projet'!$A$113:$I$133,9,0)</f>
        <v>16.8</v>
      </c>
      <c r="BX28" s="12">
        <f t="array" ref="BX28">INDEX(BW:BW,MIN(IF(ISNUMBER(BW28:BW224),ROW(BW28:BW224),"")))</f>
        <v>16.8</v>
      </c>
      <c r="BY28" s="12">
        <f>IF('Données projet'!$A$114&gt;35,BY27+BX28-CG27,IF(A28&lt;'Données projet'!$A$114,$BV$205^A28,IF(A28='Données projet'!$A$114,'Données projet'!$B$114,BY27+BX28-CG27)))</f>
        <v>165.00000000000003</v>
      </c>
      <c r="BZ28" s="13">
        <f>BY28*VLOOKUP('Données projet'!$B$12,Paramètres!$A$1:$I$89,3,0)*VLOOKUP('Données projet'!$B$12,Paramètres!$A$1:$I$89,5,0)</f>
        <v>131.27400000000003</v>
      </c>
      <c r="CA28" s="13">
        <f t="shared" si="39"/>
        <v>34.290576031111669</v>
      </c>
      <c r="CB28" s="20">
        <f t="shared" si="10"/>
        <v>288.35830325418618</v>
      </c>
      <c r="CC28" s="59">
        <f t="shared" si="11"/>
        <v>575.58052547640841</v>
      </c>
      <c r="CD28" s="59">
        <f ca="1">AVERAGE(OFFSET($CC$3,0,0,'Données projet'!$E$12+1,1))-AVERAGE(OFFSET($H$3,0,0,'Données projet'!$E$12+1,1))</f>
        <v>378.47278187128137</v>
      </c>
      <c r="CE28" s="59">
        <f t="shared" si="40"/>
        <v>372.59407061242604</v>
      </c>
      <c r="CF28" s="15">
        <f>IF(ISNA(VLOOKUP(A28,'Données projet'!$A$113:$I$133,3,0)),0,VLOOKUP(A28,'Données projet'!$A$113:$I$133,3,0))</f>
        <v>1</v>
      </c>
      <c r="CG28" s="15">
        <f>IF(ISNA(VLOOKUP(A28,'Données projet'!$A$113:$I$133,4,0)),0,VLOOKUP(A28,'Données projet'!$A$113:$I$133,4,0))</f>
        <v>42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7.5035999999999978</v>
      </c>
      <c r="D29" s="11">
        <f t="shared" si="32"/>
        <v>2.7348930617282723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39.516990764565257</v>
      </c>
      <c r="H29" s="67">
        <f t="shared" si="1"/>
        <v>274.49870874917679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</v>
      </c>
      <c r="N29" s="13">
        <f>IF('Données projet'!$A$36&gt;35,N28+M29-V28,IF(A29&lt;'Données projet'!$A$36,$K$205^A29,IF(A29='Données projet'!$A$36,'Données projet'!$B$36,N28+M29-V28)))</f>
        <v>242</v>
      </c>
      <c r="O29" s="13">
        <f>N29*VLOOKUP('Données projet'!$B$9,Paramètres!$A$1:$I$89,3,0)*VLOOKUP('Données projet'!$B$9,Paramètres!$A$1:$I$89,5,0)</f>
        <v>135.27800000000002</v>
      </c>
      <c r="P29" s="13">
        <f t="shared" si="33"/>
        <v>35.213110998543605</v>
      </c>
      <c r="Q29" s="20">
        <f t="shared" si="2"/>
        <v>296.93868498913014</v>
      </c>
      <c r="R29" s="59">
        <f t="shared" si="0"/>
        <v>585.3831294335746</v>
      </c>
      <c r="S29" s="59">
        <f ca="1">AVERAGE(OFFSET($R$3,0,0,'Données projet'!$E$9+1,1))-AVERAGE(OFFSET($H$3,0,0,'Données projet'!$E$9+1,1))</f>
        <v>347.01106511825213</v>
      </c>
      <c r="T29" s="59">
        <f t="shared" si="34"/>
        <v>329.53392323581539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0</v>
      </c>
      <c r="AC29" s="22">
        <f t="shared" si="3"/>
        <v>0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</v>
      </c>
      <c r="AI29" s="13">
        <f>IF('Données projet'!$A$62&gt;35,AI28+AH29-AQ28,IF(A29&lt;'Données projet'!$A$62,$AF$205^A29,IF(A29='Données projet'!$A$62,'Données projet'!$B$62,AI28+AH29-AQ28)))</f>
        <v>52</v>
      </c>
      <c r="AJ29" s="13">
        <f>AI29*VLOOKUP('Données projet'!$B$10,Paramètres!$A$1:$I$89,3,0)*VLOOKUP('Données projet'!$B$10,Paramètres!$A$1:$I$89,5,0)</f>
        <v>47.049599999999998</v>
      </c>
      <c r="AK29" s="13">
        <f t="shared" si="35"/>
        <v>13.849129922569936</v>
      </c>
      <c r="AL29" s="20">
        <f t="shared" si="4"/>
        <v>106.06528794847596</v>
      </c>
      <c r="AM29" s="59">
        <f t="shared" si="5"/>
        <v>394.5097323929204</v>
      </c>
      <c r="AN29" s="59">
        <f ca="1">AVERAGE(OFFSET($AM$3,0,0,'Données projet'!$E$10+1,1))-AVERAGE(OFFSET($H$3,0,0,'Données projet'!$E$10+1,1))</f>
        <v>209.32570518924194</v>
      </c>
      <c r="AO29" s="59">
        <f t="shared" si="36"/>
        <v>138.10530102720475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14.166666666666666</v>
      </c>
      <c r="BD29" s="12">
        <f>IF('Données projet'!$A$88&gt;35,BD28+BC29-BL28,IF(A29&lt;'Données projet'!$A$88,$BA$205^A29,IF(A29='Données projet'!$A$88,'Données projet'!$B$88,BD28+BC29-BL28)))</f>
        <v>167.33333333333331</v>
      </c>
      <c r="BE29" s="13">
        <f>BD29*VLOOKUP('Données projet'!$B$11,Paramètres!$A$1:$I$89,3,0)*VLOOKUP('Données projet'!$B$11,Paramètres!$A$1:$I$89,5,0)</f>
        <v>104.416</v>
      </c>
      <c r="BF29" s="13">
        <f t="shared" si="37"/>
        <v>28.01138818767625</v>
      </c>
      <c r="BG29" s="20">
        <f t="shared" si="7"/>
        <v>230.64436776020281</v>
      </c>
      <c r="BH29" s="59">
        <f t="shared" si="8"/>
        <v>519.0888122046473</v>
      </c>
      <c r="BI29" s="59">
        <f ca="1">AVERAGE(OFFSET($BH$3,0,0,'Données projet'!$E$11+1,1))-AVERAGE(OFFSET($H$3,0,0,'Données projet'!$E$11+1,1))</f>
        <v>219.86035935827329</v>
      </c>
      <c r="BJ29" s="59">
        <f t="shared" si="38"/>
        <v>322.75312534885239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9.6907752258760205</v>
      </c>
      <c r="BQ29" s="21">
        <f>EXP(-LN(2)/25)*BQ28+(1-EXP(-LN(2)/25))/(LN(2)/25)*Calculateur!BL29*Calculateur!BN29*VLOOKUP('Données projet'!$B$11,Paramètres!$A$1:$I$89,3,0)*0.475*44/12</f>
        <v>12.989303991265515</v>
      </c>
      <c r="BR29" s="21">
        <f>EXP(-LN(2)/2)*BR28+(1-EXP(-LN(2)/2))/(LN(2)/2)*BL29*BO29*VLOOKUP('Données projet'!$B$11,Paramètres!$A$1:$I$89,3,0)*0.475*44/12</f>
        <v>3.1696470053158974</v>
      </c>
      <c r="BS29" s="22">
        <f t="shared" si="9"/>
        <v>25.849726222457434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16.399999999999999</v>
      </c>
      <c r="BY29" s="12">
        <f>IF('Données projet'!$A$114&gt;35,BY28+BX29-CG28,IF(A29&lt;'Données projet'!$A$114,$BV$205^A29,IF(A29='Données projet'!$A$114,'Données projet'!$B$114,BY28+BX29-CG28)))</f>
        <v>139.40000000000003</v>
      </c>
      <c r="BZ29" s="13">
        <f>BY29*VLOOKUP('Données projet'!$B$12,Paramètres!$A$1:$I$89,3,0)*VLOOKUP('Données projet'!$B$12,Paramètres!$A$1:$I$89,5,0)</f>
        <v>110.90664000000004</v>
      </c>
      <c r="CA29" s="13">
        <f t="shared" si="39"/>
        <v>29.544493872672952</v>
      </c>
      <c r="CB29" s="20">
        <f t="shared" si="10"/>
        <v>244.6190581615721</v>
      </c>
      <c r="CC29" s="59">
        <f t="shared" si="11"/>
        <v>533.06350260601653</v>
      </c>
      <c r="CD29" s="59">
        <f ca="1">AVERAGE(OFFSET($CC$3,0,0,'Données projet'!$E$12+1,1))-AVERAGE(OFFSET($H$3,0,0,'Données projet'!$E$12+1,1))</f>
        <v>378.47278187128137</v>
      </c>
      <c r="CE29" s="59">
        <f t="shared" si="40"/>
        <v>372.59407061242604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7.7921999999999976</v>
      </c>
      <c r="D30" s="11">
        <f t="shared" si="32"/>
        <v>2.827632216964322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40.988826100564047</v>
      </c>
      <c r="H30" s="67">
        <f t="shared" si="1"/>
        <v>275.16287444454622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</v>
      </c>
      <c r="N30" s="13">
        <f>IF('Données projet'!$A$36&gt;35,N29+M30-V29,IF(A30&lt;'Données projet'!$A$36,$K$205^A30,IF(A30='Données projet'!$A$36,'Données projet'!$B$36,N29+M30-V29)))</f>
        <v>261</v>
      </c>
      <c r="O30" s="13">
        <f>N30*VLOOKUP('Données projet'!$B$9,Paramètres!$A$1:$I$89,3,0)*VLOOKUP('Données projet'!$B$9,Paramètres!$A$1:$I$89,5,0)</f>
        <v>145.899</v>
      </c>
      <c r="P30" s="13">
        <f t="shared" si="33"/>
        <v>37.645120410716935</v>
      </c>
      <c r="Q30" s="20">
        <f t="shared" si="2"/>
        <v>319.67267638199866</v>
      </c>
      <c r="R30" s="59">
        <f t="shared" si="0"/>
        <v>609.33934304866534</v>
      </c>
      <c r="S30" s="59">
        <f ca="1">AVERAGE(OFFSET($R$3,0,0,'Données projet'!$E$9+1,1))-AVERAGE(OFFSET($H$3,0,0,'Données projet'!$E$9+1,1))</f>
        <v>347.01106511825213</v>
      </c>
      <c r="T30" s="59">
        <f t="shared" si="34"/>
        <v>329.53392323581539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0</v>
      </c>
      <c r="AC30" s="22">
        <f t="shared" si="3"/>
        <v>0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</v>
      </c>
      <c r="AI30" s="13">
        <f>IF('Données projet'!$A$62&gt;35,AI29+AH30-AQ29,IF(A30&lt;'Données projet'!$A$62,$AF$205^A30,IF(A30='Données projet'!$A$62,'Données projet'!$B$62,AI29+AH30-AQ29)))</f>
        <v>54</v>
      </c>
      <c r="AJ30" s="13">
        <f>AI30*VLOOKUP('Données projet'!$B$10,Paramètres!$A$1:$I$89,3,0)*VLOOKUP('Données projet'!$B$10,Paramètres!$A$1:$I$89,5,0)</f>
        <v>48.859199999999994</v>
      </c>
      <c r="AK30" s="13">
        <f t="shared" si="35"/>
        <v>14.318748507569314</v>
      </c>
      <c r="AL30" s="20">
        <f t="shared" si="4"/>
        <v>110.03492698401654</v>
      </c>
      <c r="AM30" s="59">
        <f t="shared" si="5"/>
        <v>399.70159365068321</v>
      </c>
      <c r="AN30" s="59">
        <f ca="1">AVERAGE(OFFSET($AM$3,0,0,'Données projet'!$E$10+1,1))-AVERAGE(OFFSET($H$3,0,0,'Données projet'!$E$10+1,1))</f>
        <v>209.32570518924194</v>
      </c>
      <c r="AO30" s="59">
        <f t="shared" si="36"/>
        <v>138.10530102720475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14.166666666666666</v>
      </c>
      <c r="BD30" s="12">
        <f>IF('Données projet'!$A$88&gt;35,BD29+BC30-BL29,IF(A30&lt;'Données projet'!$A$88,$BA$205^A30,IF(A30='Données projet'!$A$88,'Données projet'!$B$88,BD29+BC30-BL29)))</f>
        <v>181.49999999999997</v>
      </c>
      <c r="BE30" s="13">
        <f>BD30*VLOOKUP('Données projet'!$B$11,Paramètres!$A$1:$I$89,3,0)*VLOOKUP('Données projet'!$B$11,Paramètres!$A$1:$I$89,5,0)</f>
        <v>113.25599999999997</v>
      </c>
      <c r="BF30" s="13">
        <f t="shared" si="37"/>
        <v>30.096816336106439</v>
      </c>
      <c r="BG30" s="20">
        <f t="shared" si="7"/>
        <v>249.67282178538531</v>
      </c>
      <c r="BH30" s="59">
        <f t="shared" si="8"/>
        <v>539.33948845205202</v>
      </c>
      <c r="BI30" s="59">
        <f ca="1">AVERAGE(OFFSET($BH$3,0,0,'Données projet'!$E$11+1,1))-AVERAGE(OFFSET($H$3,0,0,'Données projet'!$E$11+1,1))</f>
        <v>219.86035935827329</v>
      </c>
      <c r="BJ30" s="59">
        <f t="shared" si="38"/>
        <v>322.75312534885239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9.5007450344858384</v>
      </c>
      <c r="BQ30" s="21">
        <f>EXP(-LN(2)/25)*BQ29+(1-EXP(-LN(2)/25))/(LN(2)/25)*Calculateur!BL30*Calculateur!BN30*VLOOKUP('Données projet'!$B$11,Paramètres!$A$1:$I$89,3,0)*0.475*44/12</f>
        <v>12.634110790546551</v>
      </c>
      <c r="BR30" s="21">
        <f>EXP(-LN(2)/2)*BR29+(1-EXP(-LN(2)/2))/(LN(2)/2)*BL30*BO30*VLOOKUP('Données projet'!$B$11,Paramètres!$A$1:$I$89,3,0)*0.475*44/12</f>
        <v>2.241278891426504</v>
      </c>
      <c r="BS30" s="22">
        <f t="shared" si="9"/>
        <v>24.376134716458893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16.399999999999999</v>
      </c>
      <c r="BY30" s="12">
        <f>IF('Données projet'!$A$114&gt;35,BY29+BX30-CG29,IF(A30&lt;'Données projet'!$A$114,$BV$205^A30,IF(A30='Données projet'!$A$114,'Données projet'!$B$114,BY29+BX30-CG29)))</f>
        <v>155.80000000000004</v>
      </c>
      <c r="BZ30" s="13">
        <f>BY30*VLOOKUP('Données projet'!$B$12,Paramètres!$A$1:$I$89,3,0)*VLOOKUP('Données projet'!$B$12,Paramètres!$A$1:$I$89,5,0)</f>
        <v>123.95448000000005</v>
      </c>
      <c r="CA30" s="13">
        <f t="shared" si="39"/>
        <v>32.595569202682604</v>
      </c>
      <c r="CB30" s="20">
        <f t="shared" si="10"/>
        <v>272.65800236133896</v>
      </c>
      <c r="CC30" s="59">
        <f t="shared" si="11"/>
        <v>562.3246690280057</v>
      </c>
      <c r="CD30" s="59">
        <f ca="1">AVERAGE(OFFSET($CC$3,0,0,'Données projet'!$E$12+1,1))-AVERAGE(OFFSET($H$3,0,0,'Données projet'!$E$12+1,1))</f>
        <v>378.47278187128137</v>
      </c>
      <c r="CE30" s="59">
        <f t="shared" si="40"/>
        <v>372.59407061242604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8.0807999999999982</v>
      </c>
      <c r="D31" s="11">
        <f t="shared" si="32"/>
        <v>2.9199723276059726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42.4591212644441</v>
      </c>
      <c r="H31" s="67">
        <f t="shared" si="1"/>
        <v>275.82634513724707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>
        <f>VLOOKUP(A31,'Données projet'!$A$35:$I$55,2,0)</f>
        <v>280</v>
      </c>
      <c r="L31" s="12">
        <f>VLOOKUP(A31,'Données projet'!$A$35:$I$55,9,0)</f>
        <v>19</v>
      </c>
      <c r="M31" s="12">
        <f t="array" ref="M31">INDEX(L:L,MIN(IF(ISNUMBER(L31:L227),ROW(L31:L227),"")))</f>
        <v>19</v>
      </c>
      <c r="N31" s="13">
        <f>IF('Données projet'!$A$36&gt;35,N30+M31-V30,IF(A31&lt;'Données projet'!$A$36,$K$205^A31,IF(A31='Données projet'!$A$36,'Données projet'!$B$36,N30+M31-V30)))</f>
        <v>280</v>
      </c>
      <c r="O31" s="13">
        <f>N31*VLOOKUP('Données projet'!$B$9,Paramètres!$A$1:$I$89,3,0)*VLOOKUP('Données projet'!$B$9,Paramètres!$A$1:$I$89,5,0)</f>
        <v>156.51999999999998</v>
      </c>
      <c r="P31" s="13">
        <f t="shared" si="33"/>
        <v>40.056589961286939</v>
      </c>
      <c r="Q31" s="20">
        <f t="shared" si="2"/>
        <v>342.37089418257466</v>
      </c>
      <c r="R31" s="59">
        <f t="shared" si="0"/>
        <v>633.25978307146352</v>
      </c>
      <c r="S31" s="59">
        <f ca="1">AVERAGE(OFFSET($R$3,0,0,'Données projet'!$E$9+1,1))-AVERAGE(OFFSET($H$3,0,0,'Données projet'!$E$9+1,1))</f>
        <v>347.01106511825213</v>
      </c>
      <c r="T31" s="59">
        <f t="shared" si="34"/>
        <v>329.53392323581539</v>
      </c>
      <c r="U31" s="15">
        <f>IF(ISNA(VLOOKUP(A31,'Données projet'!$A$35:$I$55,3,0)),0,VLOOKUP(A31,'Données projet'!$A$35:$I$55,3,0))</f>
        <v>1</v>
      </c>
      <c r="V31" s="15">
        <f>IF(ISNA(VLOOKUP(A31,'Données projet'!$A$35:$I$55,4,0)),0,VLOOKUP(A31,'Données projet'!$A$35:$I$55,4,0))</f>
        <v>64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0.33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15.599860690365484</v>
      </c>
      <c r="AB31" s="21">
        <f>EXP(-LN(2)/2)*AB30+(1-EXP(-LN(2)/2))/(LN(2)/2)*V31*Y31*VLOOKUP('Données projet'!$B$9,Paramètres!$A$1:$I$89,3,0)*0.475*44/12</f>
        <v>16.202697070522738</v>
      </c>
      <c r="AC31" s="22">
        <f t="shared" si="3"/>
        <v>31.80255776088822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</v>
      </c>
      <c r="AI31" s="13">
        <f>IF('Données projet'!$A$62&gt;35,AI30+AH31-AQ30,IF(A31&lt;'Données projet'!$A$62,$AF$205^A31,IF(A31='Données projet'!$A$62,'Données projet'!$B$62,AI30+AH31-AQ30)))</f>
        <v>56</v>
      </c>
      <c r="AJ31" s="13">
        <f>AI31*VLOOKUP('Données projet'!$B$10,Paramètres!$A$1:$I$89,3,0)*VLOOKUP('Données projet'!$B$10,Paramètres!$A$1:$I$89,5,0)</f>
        <v>50.668799999999997</v>
      </c>
      <c r="AK31" s="13">
        <f t="shared" si="35"/>
        <v>14.786346384516113</v>
      </c>
      <c r="AL31" s="20">
        <f t="shared" si="4"/>
        <v>114.0010466196989</v>
      </c>
      <c r="AM31" s="59">
        <f t="shared" si="5"/>
        <v>404.88993550858777</v>
      </c>
      <c r="AN31" s="59">
        <f ca="1">AVERAGE(OFFSET($AM$3,0,0,'Données projet'!$E$10+1,1))-AVERAGE(OFFSET($H$3,0,0,'Données projet'!$E$10+1,1))</f>
        <v>209.32570518924194</v>
      </c>
      <c r="AO31" s="59">
        <f t="shared" si="36"/>
        <v>138.10530102720475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14.166666666666666</v>
      </c>
      <c r="BD31" s="12">
        <f>IF('Données projet'!$A$88&gt;35,BD30+BC31-BL30,IF(A31&lt;'Données projet'!$A$88,$BA$205^A31,IF(A31='Données projet'!$A$88,'Données projet'!$B$88,BD30+BC31-BL30)))</f>
        <v>195.66666666666663</v>
      </c>
      <c r="BE31" s="13">
        <f>BD31*VLOOKUP('Données projet'!$B$11,Paramètres!$A$1:$I$89,3,0)*VLOOKUP('Données projet'!$B$11,Paramètres!$A$1:$I$89,5,0)</f>
        <v>122.09599999999998</v>
      </c>
      <c r="BF31" s="13">
        <f t="shared" si="37"/>
        <v>32.163363121463028</v>
      </c>
      <c r="BG31" s="20">
        <f t="shared" si="7"/>
        <v>268.6683907698814</v>
      </c>
      <c r="BH31" s="59">
        <f t="shared" si="8"/>
        <v>559.55727965877031</v>
      </c>
      <c r="BI31" s="59">
        <f ca="1">AVERAGE(OFFSET($BH$3,0,0,'Données projet'!$E$11+1,1))-AVERAGE(OFFSET($H$3,0,0,'Données projet'!$E$11+1,1))</f>
        <v>219.86035935827329</v>
      </c>
      <c r="BJ31" s="59">
        <f t="shared" si="38"/>
        <v>322.75312534885239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9.3144412192418446</v>
      </c>
      <c r="BQ31" s="21">
        <f>EXP(-LN(2)/25)*BQ30+(1-EXP(-LN(2)/25))/(LN(2)/25)*Calculateur!BL31*Calculateur!BN31*VLOOKUP('Données projet'!$B$11,Paramètres!$A$1:$I$89,3,0)*0.475*44/12</f>
        <v>12.288630366580044</v>
      </c>
      <c r="BR31" s="21">
        <f>EXP(-LN(2)/2)*BR30+(1-EXP(-LN(2)/2))/(LN(2)/2)*BL31*BO31*VLOOKUP('Données projet'!$B$11,Paramètres!$A$1:$I$89,3,0)*0.475*44/12</f>
        <v>1.5848235026579489</v>
      </c>
      <c r="BS31" s="22">
        <f t="shared" si="9"/>
        <v>23.187895088479834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16.399999999999999</v>
      </c>
      <c r="BY31" s="12">
        <f>IF('Données projet'!$A$114&gt;35,BY30+BX31-CG30,IF(A31&lt;'Données projet'!$A$114,$BV$205^A31,IF(A31='Données projet'!$A$114,'Données projet'!$B$114,BY30+BX31-CG30)))</f>
        <v>172.20000000000005</v>
      </c>
      <c r="BZ31" s="13">
        <f>BY31*VLOOKUP('Données projet'!$B$12,Paramètres!$A$1:$I$89,3,0)*VLOOKUP('Données projet'!$B$12,Paramètres!$A$1:$I$89,5,0)</f>
        <v>137.00232000000005</v>
      </c>
      <c r="CA31" s="13">
        <f t="shared" si="39"/>
        <v>35.609416420931346</v>
      </c>
      <c r="CB31" s="20">
        <f t="shared" si="10"/>
        <v>300.63210759978887</v>
      </c>
      <c r="CC31" s="59">
        <f t="shared" si="11"/>
        <v>591.52099648867772</v>
      </c>
      <c r="CD31" s="59">
        <f ca="1">AVERAGE(OFFSET($CC$3,0,0,'Données projet'!$E$12+1,1))-AVERAGE(OFFSET($H$3,0,0,'Données projet'!$E$12+1,1))</f>
        <v>378.47278187128137</v>
      </c>
      <c r="CE31" s="59">
        <f t="shared" si="40"/>
        <v>372.59407061242604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8.3693999999999988</v>
      </c>
      <c r="D32" s="11">
        <f t="shared" si="32"/>
        <v>3.0119292779727393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43.927937564105314</v>
      </c>
      <c r="H32" s="67">
        <f t="shared" si="1"/>
        <v>276.48914849246921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19.857142857142858</v>
      </c>
      <c r="N32" s="13">
        <f>IF('Données projet'!$A$36&gt;35,N31+M32-V31,IF(A32&lt;'Données projet'!$A$36,$K$205^A32,IF(A32='Données projet'!$A$36,'Données projet'!$B$36,N31+M32-V31)))</f>
        <v>235.85714285714283</v>
      </c>
      <c r="O32" s="13">
        <f>N32*VLOOKUP('Données projet'!$B$9,Paramètres!$A$1:$I$89,3,0)*VLOOKUP('Données projet'!$B$9,Paramètres!$A$1:$I$89,5,0)</f>
        <v>131.84414285714283</v>
      </c>
      <c r="P32" s="13">
        <f t="shared" si="33"/>
        <v>34.422136630345072</v>
      </c>
      <c r="Q32" s="20">
        <f t="shared" si="2"/>
        <v>289.5804367740414</v>
      </c>
      <c r="R32" s="59">
        <f t="shared" si="0"/>
        <v>581.69154788515254</v>
      </c>
      <c r="S32" s="59">
        <f ca="1">AVERAGE(OFFSET($R$3,0,0,'Données projet'!$E$9+1,1))-AVERAGE(OFFSET($H$3,0,0,'Données projet'!$E$9+1,1))</f>
        <v>347.01106511825213</v>
      </c>
      <c r="T32" s="59">
        <f t="shared" si="34"/>
        <v>329.53392323581539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15.17328167942642</v>
      </c>
      <c r="AB32" s="21">
        <f>EXP(-LN(2)/2)*AB31+(1-EXP(-LN(2)/2))/(LN(2)/2)*V32*Y32*VLOOKUP('Données projet'!$B$9,Paramètres!$A$1:$I$89,3,0)*0.475*44/12</f>
        <v>11.457036972078038</v>
      </c>
      <c r="AC32" s="22">
        <f t="shared" si="3"/>
        <v>26.63031865150446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</v>
      </c>
      <c r="AI32" s="13">
        <f>IF('Données projet'!$A$62&gt;35,AI31+AH32-AQ31,IF(A32&lt;'Données projet'!$A$62,$AF$205^A32,IF(A32='Données projet'!$A$62,'Données projet'!$B$62,AI31+AH32-AQ31)))</f>
        <v>58</v>
      </c>
      <c r="AJ32" s="13">
        <f>AI32*VLOOKUP('Données projet'!$B$10,Paramètres!$A$1:$I$89,3,0)*VLOOKUP('Données projet'!$B$10,Paramètres!$A$1:$I$89,5,0)</f>
        <v>52.478400000000001</v>
      </c>
      <c r="AK32" s="13">
        <f t="shared" si="35"/>
        <v>15.252003989463883</v>
      </c>
      <c r="AL32" s="20">
        <f t="shared" si="4"/>
        <v>117.96378694831624</v>
      </c>
      <c r="AM32" s="59">
        <f t="shared" si="5"/>
        <v>410.07489805942737</v>
      </c>
      <c r="AN32" s="59">
        <f ca="1">AVERAGE(OFFSET($AM$3,0,0,'Données projet'!$E$10+1,1))-AVERAGE(OFFSET($H$3,0,0,'Données projet'!$E$10+1,1))</f>
        <v>209.32570518924194</v>
      </c>
      <c r="AO32" s="59">
        <f t="shared" si="36"/>
        <v>138.10530102720475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14.166666666666666</v>
      </c>
      <c r="BD32" s="12">
        <f>IF('Données projet'!$A$88&gt;35,BD31+BC32-BL31,IF(A32&lt;'Données projet'!$A$88,$BA$205^A32,IF(A32='Données projet'!$A$88,'Données projet'!$B$88,BD31+BC32-BL31)))</f>
        <v>209.83333333333329</v>
      </c>
      <c r="BE32" s="13">
        <f>BD32*VLOOKUP('Données projet'!$B$11,Paramètres!$A$1:$I$89,3,0)*VLOOKUP('Données projet'!$B$11,Paramètres!$A$1:$I$89,5,0)</f>
        <v>130.93599999999998</v>
      </c>
      <c r="BF32" s="13">
        <f t="shared" si="37"/>
        <v>34.21255106176632</v>
      </c>
      <c r="BG32" s="20">
        <f t="shared" si="7"/>
        <v>287.63372643257628</v>
      </c>
      <c r="BH32" s="59">
        <f t="shared" si="8"/>
        <v>579.74483754368748</v>
      </c>
      <c r="BI32" s="59">
        <f ca="1">AVERAGE(OFFSET($BH$3,0,0,'Données projet'!$E$11+1,1))-AVERAGE(OFFSET($H$3,0,0,'Données projet'!$E$11+1,1))</f>
        <v>219.86035935827329</v>
      </c>
      <c r="BJ32" s="59">
        <f t="shared" si="38"/>
        <v>322.75312534885239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9.1317907081806791</v>
      </c>
      <c r="BQ32" s="21">
        <f>EXP(-LN(2)/25)*BQ31+(1-EXP(-LN(2)/25))/(LN(2)/25)*Calculateur!BL32*Calculateur!BN32*VLOOKUP('Données projet'!$B$11,Paramètres!$A$1:$I$89,3,0)*0.475*44/12</f>
        <v>11.952597122974927</v>
      </c>
      <c r="BR32" s="21">
        <f>EXP(-LN(2)/2)*BR31+(1-EXP(-LN(2)/2))/(LN(2)/2)*BL32*BO32*VLOOKUP('Données projet'!$B$11,Paramètres!$A$1:$I$89,3,0)*0.475*44/12</f>
        <v>1.1206394457132522</v>
      </c>
      <c r="BS32" s="22">
        <f t="shared" si="9"/>
        <v>22.205027276868858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16.399999999999999</v>
      </c>
      <c r="BY32" s="12">
        <f>IF('Données projet'!$A$114&gt;35,BY31+BX32-CG31,IF(A32&lt;'Données projet'!$A$114,$BV$205^A32,IF(A32='Données projet'!$A$114,'Données projet'!$B$114,BY31+BX32-CG31)))</f>
        <v>188.60000000000005</v>
      </c>
      <c r="BZ32" s="13">
        <f>BY32*VLOOKUP('Données projet'!$B$12,Paramètres!$A$1:$I$89,3,0)*VLOOKUP('Données projet'!$B$12,Paramètres!$A$1:$I$89,5,0)</f>
        <v>150.05016000000003</v>
      </c>
      <c r="CA32" s="13">
        <f t="shared" si="39"/>
        <v>38.589984439024605</v>
      </c>
      <c r="CB32" s="20">
        <f t="shared" si="10"/>
        <v>328.5482515646346</v>
      </c>
      <c r="CC32" s="59">
        <f t="shared" si="11"/>
        <v>620.6593626757458</v>
      </c>
      <c r="CD32" s="59">
        <f ca="1">AVERAGE(OFFSET($CC$3,0,0,'Données projet'!$E$12+1,1))-AVERAGE(OFFSET($H$3,0,0,'Données projet'!$E$12+1,1))</f>
        <v>378.47278187128137</v>
      </c>
      <c r="CE32" s="59">
        <f t="shared" si="40"/>
        <v>372.59407061242604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33" s="11">
        <f t="shared" si="32"/>
        <v>3.1035177947823605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45.395331839510867</v>
      </c>
      <c r="H33" s="67">
        <f t="shared" si="1"/>
        <v>277.15131015924595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19.857142857142858</v>
      </c>
      <c r="N33" s="13">
        <f>IF('Données projet'!$A$36&gt;35,N32+M33-V32,IF(A33&lt;'Données projet'!$A$36,$K$205^A33,IF(A33='Données projet'!$A$36,'Données projet'!$B$36,N32+M33-V32)))</f>
        <v>255.71428571428569</v>
      </c>
      <c r="O33" s="13">
        <f>N33*VLOOKUP('Données projet'!$B$9,Paramètres!$A$1:$I$89,3,0)*VLOOKUP('Données projet'!$B$9,Paramètres!$A$1:$I$89,5,0)</f>
        <v>142.94428571428571</v>
      </c>
      <c r="P33" s="13">
        <f t="shared" si="33"/>
        <v>36.970680828333286</v>
      </c>
      <c r="Q33" s="20">
        <f t="shared" si="2"/>
        <v>313.35190006172803</v>
      </c>
      <c r="R33" s="59">
        <f t="shared" si="0"/>
        <v>606.68523339506135</v>
      </c>
      <c r="S33" s="59">
        <f ca="1">AVERAGE(OFFSET($R$3,0,0,'Données projet'!$E$9+1,1))-AVERAGE(OFFSET($H$3,0,0,'Données projet'!$E$9+1,1))</f>
        <v>347.01106511825213</v>
      </c>
      <c r="T33" s="59">
        <f t="shared" si="34"/>
        <v>329.53392323581539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14.758367493974299</v>
      </c>
      <c r="AB33" s="21">
        <f>EXP(-LN(2)/2)*AB32+(1-EXP(-LN(2)/2))/(LN(2)/2)*V33*Y33*VLOOKUP('Données projet'!$B$9,Paramètres!$A$1:$I$89,3,0)*0.475*44/12</f>
        <v>8.101348535261371</v>
      </c>
      <c r="AC33" s="22">
        <f t="shared" si="3"/>
        <v>22.85971602923567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2</v>
      </c>
      <c r="AI33" s="13">
        <f>IF('Données projet'!$A$62&gt;35,AI32+AH33-AQ32,IF(A33&lt;'Données projet'!$A$62,$AF$205^A33,IF(A33='Données projet'!$A$62,'Données projet'!$B$62,AI32+AH33-AQ32)))</f>
        <v>60</v>
      </c>
      <c r="AJ33" s="13">
        <f>AI33*VLOOKUP('Données projet'!$B$10,Paramètres!$A$1:$I$89,3,0)*VLOOKUP('Données projet'!$B$10,Paramètres!$A$1:$I$89,5,0)</f>
        <v>54.287999999999997</v>
      </c>
      <c r="AK33" s="13">
        <f t="shared" si="35"/>
        <v>15.715795896526746</v>
      </c>
      <c r="AL33" s="20">
        <f t="shared" si="4"/>
        <v>121.9232778531174</v>
      </c>
      <c r="AM33" s="59">
        <f t="shared" si="5"/>
        <v>415.2566111864507</v>
      </c>
      <c r="AN33" s="59">
        <f ca="1">AVERAGE(OFFSET($AM$3,0,0,'Données projet'!$E$10+1,1))-AVERAGE(OFFSET($H$3,0,0,'Données projet'!$E$10+1,1))</f>
        <v>209.32570518924194</v>
      </c>
      <c r="AO33" s="59">
        <f t="shared" si="36"/>
        <v>138.10530102720475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0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224</v>
      </c>
      <c r="BB33" s="12">
        <f>VLOOKUP(A33,'Données projet'!$A$87:$I$107,9,0)</f>
        <v>14.166666666666666</v>
      </c>
      <c r="BC33" s="12">
        <f t="array" ref="BC33">INDEX(BB:BB,MIN(IF(ISNUMBER(BB33:BB229),ROW(BB33:BB229),"")))</f>
        <v>14.166666666666666</v>
      </c>
      <c r="BD33" s="12">
        <f>IF('Données projet'!$A$88&gt;35,BD32+BC33-BL32,IF(A33&lt;'Données projet'!$A$88,$BA$205^A33,IF(A33='Données projet'!$A$88,'Données projet'!$B$88,BD32+BC33-BL32)))</f>
        <v>223.99999999999994</v>
      </c>
      <c r="BE33" s="13">
        <f>BD33*VLOOKUP('Données projet'!$B$11,Paramètres!$A$1:$I$89,3,0)*VLOOKUP('Données projet'!$B$11,Paramètres!$A$1:$I$89,5,0)</f>
        <v>139.77599999999995</v>
      </c>
      <c r="BF33" s="13">
        <f t="shared" si="37"/>
        <v>36.245685459195258</v>
      </c>
      <c r="BG33" s="20">
        <f t="shared" si="7"/>
        <v>306.57110217476503</v>
      </c>
      <c r="BH33" s="59">
        <f t="shared" si="8"/>
        <v>599.90443550809835</v>
      </c>
      <c r="BI33" s="59">
        <f ca="1">AVERAGE(OFFSET($BH$3,0,0,'Données projet'!$E$11+1,1))-AVERAGE(OFFSET($H$3,0,0,'Données projet'!$E$11+1,1))</f>
        <v>219.86035935827329</v>
      </c>
      <c r="BJ33" s="59">
        <f t="shared" si="38"/>
        <v>322.75312534885239</v>
      </c>
      <c r="BK33" s="15">
        <f>IF(ISNA(VLOOKUP(A33,'Données projet'!$A$87:$I$107,3,0)),0,VLOOKUP(A33,'Données projet'!$A$87:$I$107,3,0))</f>
        <v>4</v>
      </c>
      <c r="BL33" s="15">
        <f>IF(ISNA(VLOOKUP(A33,'Données projet'!$A$87:$I$107,4,0)),0,VLOOKUP(A33,'Données projet'!$A$87:$I$107,4,0))</f>
        <v>53</v>
      </c>
      <c r="BM33" s="16">
        <f>IF(ISNA(VLOOKUP(A33,'Données projet'!$A$87:$I$107,5,0)),0%,VLOOKUP(A33,'Données projet'!$A$87:$I$107,5,0)*VLOOKUP('Données projet'!$B$11,Paramètres!$A$1:$I$89,7,0))</f>
        <v>0.42</v>
      </c>
      <c r="BN33" s="16">
        <f>IF(ISNA(VLOOKUP(A33,'Données projet'!$A$87:$I$107,6,0)),0%,VLOOKUP(A33,'Données projet'!$A$87:$I$107,6,0)*VLOOKUP('Données projet'!$B$11,Paramètres!$A$1:$I$89,7,0))</f>
        <v>0.1008</v>
      </c>
      <c r="BO33" s="16">
        <f>IF(ISNA(VLOOKUP(A33,'Données projet'!$A$87:$I$107,7,0)),0%,VLOOKUP(A33,'Données projet'!$A$87:$I$107,7,0))</f>
        <v>0.13200000000000001</v>
      </c>
      <c r="BP33" s="21">
        <f>EXP(-LN(2)/35)*BP32+(1-EXP(-LN(2)/35))/(LN(2)/35)*BL33*BM33*VLOOKUP('Données projet'!$B$11,Paramètres!$A$1:$I$89,3,0)*0.475*44/12</f>
        <v>27.379020523760126</v>
      </c>
      <c r="BQ33" s="21">
        <f>EXP(-LN(2)/25)*BQ32+(1-EXP(-LN(2)/25))/(LN(2)/25)*Calculateur!BL33*Calculateur!BN33*VLOOKUP('Données projet'!$B$11,Paramètres!$A$1:$I$89,3,0)*0.475*44/12</f>
        <v>16.030652078741142</v>
      </c>
      <c r="BR33" s="21">
        <f>EXP(-LN(2)/2)*BR32+(1-EXP(-LN(2)/2))/(LN(2)/2)*BL33*BO33*VLOOKUP('Données projet'!$B$11,Paramètres!$A$1:$I$89,3,0)*0.475*44/12</f>
        <v>5.7351763751099512</v>
      </c>
      <c r="BS33" s="22">
        <f t="shared" si="9"/>
        <v>49.144848977611218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205</v>
      </c>
      <c r="BW33" s="12">
        <f>VLOOKUP(A33,'Données projet'!$A$113:$I$133,9,0)</f>
        <v>16.399999999999999</v>
      </c>
      <c r="BX33" s="12">
        <f t="array" ref="BX33">INDEX(BW:BW,MIN(IF(ISNUMBER(BW33:BW229),ROW(BW33:BW229),"")))</f>
        <v>16.399999999999999</v>
      </c>
      <c r="BY33" s="12">
        <f>IF('Données projet'!$A$114&gt;35,BY32+BX33-CG32,IF(A33&lt;'Données projet'!$A$114,$BV$205^A33,IF(A33='Données projet'!$A$114,'Données projet'!$B$114,BY32+BX33-CG32)))</f>
        <v>205.00000000000006</v>
      </c>
      <c r="BZ33" s="13">
        <f>BY33*VLOOKUP('Données projet'!$B$12,Paramètres!$A$1:$I$89,3,0)*VLOOKUP('Données projet'!$B$12,Paramètres!$A$1:$I$89,5,0)</f>
        <v>163.09800000000004</v>
      </c>
      <c r="CA33" s="13">
        <f t="shared" si="39"/>
        <v>41.540496136845142</v>
      </c>
      <c r="CB33" s="20">
        <f t="shared" si="10"/>
        <v>356.41204743833867</v>
      </c>
      <c r="CC33" s="59">
        <f t="shared" si="11"/>
        <v>649.74538077167199</v>
      </c>
      <c r="CD33" s="59">
        <f ca="1">AVERAGE(OFFSET($CC$3,0,0,'Données projet'!$E$12+1,1))-AVERAGE(OFFSET($H$3,0,0,'Données projet'!$E$12+1,1))</f>
        <v>378.47278187128137</v>
      </c>
      <c r="CE33" s="59">
        <f t="shared" si="40"/>
        <v>372.59407061242604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42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8.9466000000000001</v>
      </c>
      <c r="D34" s="11">
        <f t="shared" si="32"/>
        <v>3.1947515672604077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46.86135692626825</v>
      </c>
      <c r="H34" s="67">
        <f t="shared" si="1"/>
        <v>277.81285397964524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19.857142857142858</v>
      </c>
      <c r="N34" s="13">
        <f>IF('Données projet'!$A$36&gt;35,N33+M34-V33,IF(A34&lt;'Données projet'!$A$36,$K$205^A34,IF(A34='Données projet'!$A$36,'Données projet'!$B$36,N33+M34-V33)))</f>
        <v>275.57142857142856</v>
      </c>
      <c r="O34" s="13">
        <f>N34*VLOOKUP('Données projet'!$B$9,Paramètres!$A$1:$I$89,3,0)*VLOOKUP('Données projet'!$B$9,Paramètres!$A$1:$I$89,5,0)</f>
        <v>154.04442857142857</v>
      </c>
      <c r="P34" s="13">
        <f t="shared" si="33"/>
        <v>39.496268491280283</v>
      </c>
      <c r="Q34" s="20">
        <f t="shared" si="2"/>
        <v>337.08338071755128</v>
      </c>
      <c r="R34" s="59">
        <f t="shared" si="0"/>
        <v>630.41671405088459</v>
      </c>
      <c r="S34" s="59">
        <f ca="1">AVERAGE(OFFSET($R$3,0,0,'Données projet'!$E$9+1,1))-AVERAGE(OFFSET($H$3,0,0,'Données projet'!$E$9+1,1))</f>
        <v>347.01106511825213</v>
      </c>
      <c r="T34" s="59">
        <f t="shared" si="34"/>
        <v>329.53392323581539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14.354799158742756</v>
      </c>
      <c r="AB34" s="21">
        <f>EXP(-LN(2)/2)*AB33+(1-EXP(-LN(2)/2))/(LN(2)/2)*V34*Y34*VLOOKUP('Données projet'!$B$9,Paramètres!$A$1:$I$89,3,0)*0.475*44/12</f>
        <v>5.7285184860390199</v>
      </c>
      <c r="AC34" s="22">
        <f t="shared" si="3"/>
        <v>20.083317644781776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</v>
      </c>
      <c r="AI34" s="13">
        <f>IF('Données projet'!$A$62&gt;35,AI33+AH34-AQ33,IF(A34&lt;'Données projet'!$A$62,$AF$205^A34,IF(A34='Données projet'!$A$62,'Données projet'!$B$62,AI33+AH34-AQ33)))</f>
        <v>62</v>
      </c>
      <c r="AJ34" s="13">
        <f>AI34*VLOOKUP('Données projet'!$B$10,Paramètres!$A$1:$I$89,3,0)*VLOOKUP('Données projet'!$B$10,Paramètres!$A$1:$I$89,5,0)</f>
        <v>56.0976</v>
      </c>
      <c r="AK34" s="13">
        <f t="shared" si="35"/>
        <v>16.177791426098278</v>
      </c>
      <c r="AL34" s="20">
        <f t="shared" si="4"/>
        <v>125.87964006712117</v>
      </c>
      <c r="AM34" s="59">
        <f t="shared" si="5"/>
        <v>419.21297340045447</v>
      </c>
      <c r="AN34" s="59">
        <f ca="1">AVERAGE(OFFSET($AM$3,0,0,'Données projet'!$E$10+1,1))-AVERAGE(OFFSET($H$3,0,0,'Données projet'!$E$10+1,1))</f>
        <v>209.32570518924194</v>
      </c>
      <c r="AO34" s="59">
        <f t="shared" si="36"/>
        <v>138.10530102720475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0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12.833333333333334</v>
      </c>
      <c r="BD34" s="12">
        <f>IF('Données projet'!$A$88&gt;35,BD33+BC34-BL33,IF(A34&lt;'Données projet'!$A$88,$BA$205^A34,IF(A34='Données projet'!$A$88,'Données projet'!$B$88,BD33+BC34-BL33)))</f>
        <v>183.83333333333329</v>
      </c>
      <c r="BE34" s="13">
        <f>BD34*VLOOKUP('Données projet'!$B$11,Paramètres!$A$1:$I$89,3,0)*VLOOKUP('Données projet'!$B$11,Paramètres!$A$1:$I$89,5,0)</f>
        <v>114.71199999999997</v>
      </c>
      <c r="BF34" s="13">
        <f t="shared" si="37"/>
        <v>30.438443898016164</v>
      </c>
      <c r="BG34" s="20">
        <f t="shared" si="7"/>
        <v>252.80368978904474</v>
      </c>
      <c r="BH34" s="59">
        <f t="shared" si="8"/>
        <v>546.13702312237808</v>
      </c>
      <c r="BI34" s="59">
        <f ca="1">AVERAGE(OFFSET($BH$3,0,0,'Données projet'!$E$11+1,1))-AVERAGE(OFFSET($H$3,0,0,'Données projet'!$E$11+1,1))</f>
        <v>219.86035935827329</v>
      </c>
      <c r="BJ34" s="59">
        <f t="shared" si="38"/>
        <v>322.75312534885239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26.842134630842764</v>
      </c>
      <c r="BQ34" s="21">
        <f>EXP(-LN(2)/25)*BQ33+(1-EXP(-LN(2)/25))/(LN(2)/25)*Calculateur!BL34*Calculateur!BN34*VLOOKUP('Données projet'!$B$11,Paramètres!$A$1:$I$89,3,0)*0.475*44/12</f>
        <v>15.592293054632611</v>
      </c>
      <c r="BR34" s="21">
        <f>EXP(-LN(2)/2)*BR33+(1-EXP(-LN(2)/2))/(LN(2)/2)*BL34*BO34*VLOOKUP('Données projet'!$B$11,Paramètres!$A$1:$I$89,3,0)*0.475*44/12</f>
        <v>4.0553821061411295</v>
      </c>
      <c r="BS34" s="22">
        <f t="shared" si="9"/>
        <v>46.489809791616509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15.2</v>
      </c>
      <c r="BY34" s="12">
        <f>IF('Données projet'!$A$114&gt;35,BY33+BX34-CG33,IF(A34&lt;'Données projet'!$A$114,$BV$205^A34,IF(A34='Données projet'!$A$114,'Données projet'!$B$114,BY33+BX34-CG33)))</f>
        <v>178.20000000000005</v>
      </c>
      <c r="BZ34" s="13">
        <f>BY34*VLOOKUP('Données projet'!$B$12,Paramètres!$A$1:$I$89,3,0)*VLOOKUP('Données projet'!$B$12,Paramètres!$A$1:$I$89,5,0)</f>
        <v>141.77592000000004</v>
      </c>
      <c r="CA34" s="13">
        <f t="shared" si="39"/>
        <v>36.703544878441981</v>
      </c>
      <c r="CB34" s="20">
        <f t="shared" si="10"/>
        <v>310.85173466328649</v>
      </c>
      <c r="CC34" s="59">
        <f t="shared" si="11"/>
        <v>604.18506799661986</v>
      </c>
      <c r="CD34" s="59">
        <f ca="1">AVERAGE(OFFSET($CC$3,0,0,'Données projet'!$E$12+1,1))-AVERAGE(OFFSET($H$3,0,0,'Données projet'!$E$12+1,1))</f>
        <v>378.47278187128137</v>
      </c>
      <c r="CE34" s="59">
        <f t="shared" si="40"/>
        <v>372.59407061242604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9.2352000000000007</v>
      </c>
      <c r="D35" s="11">
        <f t="shared" si="32"/>
        <v>3.285643351316526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48.32606205771291</v>
      </c>
      <c r="H35" s="67">
        <f t="shared" si="1"/>
        <v>278.47380217020964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19.857142857142858</v>
      </c>
      <c r="N35" s="13">
        <f>IF('Données projet'!$A$36&gt;35,N34+M35-V34,IF(A35&lt;'Données projet'!$A$36,$K$205^A35,IF(A35='Données projet'!$A$36,'Données projet'!$B$36,N34+M35-V34)))</f>
        <v>295.42857142857139</v>
      </c>
      <c r="O35" s="13">
        <f>N35*VLOOKUP('Données projet'!$B$9,Paramètres!$A$1:$I$89,3,0)*VLOOKUP('Données projet'!$B$9,Paramètres!$A$1:$I$89,5,0)</f>
        <v>165.14457142857142</v>
      </c>
      <c r="P35" s="13">
        <f t="shared" si="33"/>
        <v>42.000741952671746</v>
      </c>
      <c r="Q35" s="20">
        <f t="shared" ref="Q35:Q66" si="53">(O35+P35)*0.475*44/12</f>
        <v>360.77808747233183</v>
      </c>
      <c r="R35" s="59">
        <f t="shared" si="0"/>
        <v>654.11142080566515</v>
      </c>
      <c r="S35" s="59">
        <f ca="1">AVERAGE(OFFSET($R$3,0,0,'Données projet'!$E$9+1,1))-AVERAGE(OFFSET($H$3,0,0,'Données projet'!$E$9+1,1))</f>
        <v>347.01106511825213</v>
      </c>
      <c r="T35" s="59">
        <f t="shared" si="34"/>
        <v>329.53392323581539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13.962266420860855</v>
      </c>
      <c r="AB35" s="21">
        <f>EXP(-LN(2)/2)*AB34+(1-EXP(-LN(2)/2))/(LN(2)/2)*V35*Y35*VLOOKUP('Données projet'!$B$9,Paramètres!$A$1:$I$89,3,0)*0.475*44/12</f>
        <v>4.0506742676306864</v>
      </c>
      <c r="AC35" s="22">
        <f t="shared" si="3"/>
        <v>18.01294068849154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</v>
      </c>
      <c r="AI35" s="13">
        <f>IF('Données projet'!$A$62&gt;35,AI34+AH35-AQ34,IF(A35&lt;'Données projet'!$A$62,$AF$205^A35,IF(A35='Données projet'!$A$62,'Données projet'!$B$62,AI34+AH35-AQ34)))</f>
        <v>64</v>
      </c>
      <c r="AJ35" s="13">
        <f>AI35*VLOOKUP('Données projet'!$B$10,Paramètres!$A$1:$I$89,3,0)*VLOOKUP('Données projet'!$B$10,Paramètres!$A$1:$I$89,5,0)</f>
        <v>57.907199999999996</v>
      </c>
      <c r="AK35" s="13">
        <f t="shared" si="35"/>
        <v>16.638055172386</v>
      </c>
      <c r="AL35" s="20">
        <f t="shared" si="4"/>
        <v>129.83298609190561</v>
      </c>
      <c r="AM35" s="59">
        <f t="shared" si="5"/>
        <v>423.16631942523895</v>
      </c>
      <c r="AN35" s="59">
        <f ca="1">AVERAGE(OFFSET($AM$3,0,0,'Données projet'!$E$10+1,1))-AVERAGE(OFFSET($H$3,0,0,'Données projet'!$E$10+1,1))</f>
        <v>209.32570518924194</v>
      </c>
      <c r="AO35" s="59">
        <f t="shared" si="36"/>
        <v>138.10530102720475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0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12.833333333333334</v>
      </c>
      <c r="BD35" s="12">
        <f>IF('Données projet'!$A$88&gt;35,BD34+BC35-BL34,IF(A35&lt;'Données projet'!$A$88,$BA$205^A35,IF(A35='Données projet'!$A$88,'Données projet'!$B$88,BD34+BC35-BL34)))</f>
        <v>196.66666666666663</v>
      </c>
      <c r="BE35" s="13">
        <f>BD35*VLOOKUP('Données projet'!$B$11,Paramètres!$A$1:$I$89,3,0)*VLOOKUP('Données projet'!$B$11,Paramètres!$A$1:$I$89,5,0)</f>
        <v>122.71999999999997</v>
      </c>
      <c r="BF35" s="13">
        <f t="shared" si="37"/>
        <v>32.308564708068729</v>
      </c>
      <c r="BG35" s="20">
        <f t="shared" si="7"/>
        <v>270.00808353321963</v>
      </c>
      <c r="BH35" s="59">
        <f t="shared" si="8"/>
        <v>563.34141686655289</v>
      </c>
      <c r="BI35" s="59">
        <f ca="1">AVERAGE(OFFSET($BH$3,0,0,'Données projet'!$E$11+1,1))-AVERAGE(OFFSET($H$3,0,0,'Données projet'!$E$11+1,1))</f>
        <v>219.86035935827329</v>
      </c>
      <c r="BJ35" s="59">
        <f t="shared" si="38"/>
        <v>322.75312534885239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26.315776742817455</v>
      </c>
      <c r="BQ35" s="21">
        <f>EXP(-LN(2)/25)*BQ34+(1-EXP(-LN(2)/25))/(LN(2)/25)*Calculateur!BL35*Calculateur!BN35*VLOOKUP('Données projet'!$B$11,Paramètres!$A$1:$I$89,3,0)*0.475*44/12</f>
        <v>15.165920981090627</v>
      </c>
      <c r="BR35" s="21">
        <f>EXP(-LN(2)/2)*BR34+(1-EXP(-LN(2)/2))/(LN(2)/2)*BL35*BO35*VLOOKUP('Données projet'!$B$11,Paramètres!$A$1:$I$89,3,0)*0.475*44/12</f>
        <v>2.867588187554976</v>
      </c>
      <c r="BS35" s="22">
        <f t="shared" si="9"/>
        <v>44.349285911463063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15.2</v>
      </c>
      <c r="BY35" s="12">
        <f>IF('Données projet'!$A$114&gt;35,BY34+BX35-CG34,IF(A35&lt;'Données projet'!$A$114,$BV$205^A35,IF(A35='Données projet'!$A$114,'Données projet'!$B$114,BY34+BX35-CG34)))</f>
        <v>193.40000000000003</v>
      </c>
      <c r="BZ35" s="13">
        <f>BY35*VLOOKUP('Données projet'!$B$12,Paramètres!$A$1:$I$89,3,0)*VLOOKUP('Données projet'!$B$12,Paramètres!$A$1:$I$89,5,0)</f>
        <v>153.86904000000004</v>
      </c>
      <c r="CA35" s="13">
        <f t="shared" si="39"/>
        <v>39.456531419736123</v>
      </c>
      <c r="CB35" s="20">
        <f t="shared" si="10"/>
        <v>336.70870355604046</v>
      </c>
      <c r="CC35" s="59">
        <f t="shared" si="11"/>
        <v>630.04203688937378</v>
      </c>
      <c r="CD35" s="59">
        <f ca="1">AVERAGE(OFFSET($CC$3,0,0,'Données projet'!$E$12+1,1))-AVERAGE(OFFSET($H$3,0,0,'Données projet'!$E$12+1,1))</f>
        <v>378.47278187128137</v>
      </c>
      <c r="CE35" s="59">
        <f t="shared" si="40"/>
        <v>372.59407061242604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9.5238000000000014</v>
      </c>
      <c r="D36" s="11">
        <f t="shared" si="32"/>
        <v>3.3762050603328273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49.789493215319688</v>
      </c>
      <c r="H36" s="67">
        <f t="shared" si="1"/>
        <v>279.1341754800797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19.857142857142858</v>
      </c>
      <c r="N36" s="13">
        <f>IF('Données projet'!$A$36&gt;35,N35+M36-V35,IF(A36&lt;'Données projet'!$A$36,$K$205^A36,IF(A36='Données projet'!$A$36,'Données projet'!$B$36,N35+M36-V35)))</f>
        <v>315.28571428571422</v>
      </c>
      <c r="O36" s="13">
        <f>N36*VLOOKUP('Données projet'!$B$9,Paramètres!$A$1:$I$89,3,0)*VLOOKUP('Données projet'!$B$9,Paramètres!$A$1:$I$89,5,0)</f>
        <v>176.24471428571425</v>
      </c>
      <c r="P36" s="13">
        <f t="shared" si="33"/>
        <v>44.485681868533291</v>
      </c>
      <c r="Q36" s="20">
        <f t="shared" si="53"/>
        <v>384.43877330198114</v>
      </c>
      <c r="R36" s="59">
        <f t="shared" si="0"/>
        <v>677.77210663531446</v>
      </c>
      <c r="S36" s="59">
        <f ca="1">AVERAGE(OFFSET($R$3,0,0,'Données projet'!$E$9+1,1))-AVERAGE(OFFSET($H$3,0,0,'Données projet'!$E$9+1,1))</f>
        <v>347.01106511825213</v>
      </c>
      <c r="T36" s="59">
        <f t="shared" si="34"/>
        <v>329.53392323581539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13.580467511338735</v>
      </c>
      <c r="AB36" s="21">
        <f>EXP(-LN(2)/2)*AB35+(1-EXP(-LN(2)/2))/(LN(2)/2)*V36*Y36*VLOOKUP('Données projet'!$B$9,Paramètres!$A$1:$I$89,3,0)*0.475*44/12</f>
        <v>2.8642592430195104</v>
      </c>
      <c r="AC36" s="22">
        <f t="shared" si="3"/>
        <v>16.444726754358246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</v>
      </c>
      <c r="AI36" s="13">
        <f>IF('Données projet'!$A$62&gt;35,AI35+AH36-AQ35,IF(A36&lt;'Données projet'!$A$62,$AF$205^A36,IF(A36='Données projet'!$A$62,'Données projet'!$B$62,AI35+AH36-AQ35)))</f>
        <v>66</v>
      </c>
      <c r="AJ36" s="13">
        <f>AI36*VLOOKUP('Données projet'!$B$10,Paramètres!$A$1:$I$89,3,0)*VLOOKUP('Données projet'!$B$10,Paramètres!$A$1:$I$89,5,0)</f>
        <v>59.716799999999992</v>
      </c>
      <c r="AK36" s="13">
        <f t="shared" si="35"/>
        <v>17.096647463151516</v>
      </c>
      <c r="AL36" s="20">
        <f t="shared" si="4"/>
        <v>133.78342099832221</v>
      </c>
      <c r="AM36" s="59">
        <f t="shared" si="5"/>
        <v>427.11675433165556</v>
      </c>
      <c r="AN36" s="59">
        <f ca="1">AVERAGE(OFFSET($AM$3,0,0,'Données projet'!$E$10+1,1))-AVERAGE(OFFSET($H$3,0,0,'Données projet'!$E$10+1,1))</f>
        <v>209.32570518924194</v>
      </c>
      <c r="AO36" s="59">
        <f t="shared" si="36"/>
        <v>138.10530102720475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0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12.833333333333334</v>
      </c>
      <c r="BD36" s="12">
        <f>IF('Données projet'!$A$88&gt;35,BD35+BC36-BL35,IF(A36&lt;'Données projet'!$A$88,$BA$205^A36,IF(A36='Données projet'!$A$88,'Données projet'!$B$88,BD35+BC36-BL35)))</f>
        <v>209.49999999999997</v>
      </c>
      <c r="BE36" s="13">
        <f>BD36*VLOOKUP('Données projet'!$B$11,Paramètres!$A$1:$I$89,3,0)*VLOOKUP('Données projet'!$B$11,Paramètres!$A$1:$I$89,5,0)</f>
        <v>130.72799999999998</v>
      </c>
      <c r="BF36" s="13">
        <f t="shared" si="37"/>
        <v>34.164524045585857</v>
      </c>
      <c r="BG36" s="20">
        <f t="shared" si="7"/>
        <v>287.18781271272866</v>
      </c>
      <c r="BH36" s="59">
        <f t="shared" si="8"/>
        <v>580.52114604606197</v>
      </c>
      <c r="BI36" s="59">
        <f ca="1">AVERAGE(OFFSET($BH$3,0,0,'Données projet'!$E$11+1,1))-AVERAGE(OFFSET($H$3,0,0,'Données projet'!$E$11+1,1))</f>
        <v>219.86035935827329</v>
      </c>
      <c r="BJ36" s="59">
        <f t="shared" si="38"/>
        <v>322.75312534885239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25.799740411929708</v>
      </c>
      <c r="BQ36" s="21">
        <f>EXP(-LN(2)/25)*BQ35+(1-EXP(-LN(2)/25))/(LN(2)/25)*Calculateur!BL36*Calculateur!BN36*VLOOKUP('Données projet'!$B$11,Paramètres!$A$1:$I$89,3,0)*0.475*44/12</f>
        <v>14.751208074321582</v>
      </c>
      <c r="BR36" s="21">
        <f>EXP(-LN(2)/2)*BR35+(1-EXP(-LN(2)/2))/(LN(2)/2)*BL36*BO36*VLOOKUP('Données projet'!$B$11,Paramètres!$A$1:$I$89,3,0)*0.475*44/12</f>
        <v>2.0276910530705652</v>
      </c>
      <c r="BS36" s="22">
        <f t="shared" si="9"/>
        <v>42.578639539321848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15.2</v>
      </c>
      <c r="BY36" s="12">
        <f>IF('Données projet'!$A$114&gt;35,BY35+BX36-CG35,IF(A36&lt;'Données projet'!$A$114,$BV$205^A36,IF(A36='Données projet'!$A$114,'Données projet'!$B$114,BY35+BX36-CG35)))</f>
        <v>208.60000000000002</v>
      </c>
      <c r="BZ36" s="13">
        <f>BY36*VLOOKUP('Données projet'!$B$12,Paramètres!$A$1:$I$89,3,0)*VLOOKUP('Données projet'!$B$12,Paramètres!$A$1:$I$89,5,0)</f>
        <v>165.96216000000001</v>
      </c>
      <c r="CA36" s="13">
        <f t="shared" si="39"/>
        <v>42.184420424142857</v>
      </c>
      <c r="CB36" s="20">
        <f t="shared" si="10"/>
        <v>362.52196090538217</v>
      </c>
      <c r="CC36" s="59">
        <f t="shared" si="11"/>
        <v>655.85529423871549</v>
      </c>
      <c r="CD36" s="59">
        <f ca="1">AVERAGE(OFFSET($CC$3,0,0,'Données projet'!$E$12+1,1))-AVERAGE(OFFSET($H$3,0,0,'Données projet'!$E$12+1,1))</f>
        <v>378.47278187128137</v>
      </c>
      <c r="CE36" s="59">
        <f t="shared" si="40"/>
        <v>372.59407061242604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9.812400000000002</v>
      </c>
      <c r="D37" s="11">
        <f t="shared" si="32"/>
        <v>3.4664478446384415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51.251693435446619</v>
      </c>
      <c r="H37" s="67">
        <f t="shared" si="1"/>
        <v>279.79399332941199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19.857142857142858</v>
      </c>
      <c r="N37" s="13">
        <f>IF('Données projet'!$A$36&gt;35,N36+M37-V36,IF(A37&lt;'Données projet'!$A$36,$K$205^A37,IF(A37='Données projet'!$A$36,'Données projet'!$B$36,N36+M37-V36)))</f>
        <v>335.14285714285705</v>
      </c>
      <c r="O37" s="13">
        <f>N37*VLOOKUP('Données projet'!$B$9,Paramètres!$A$1:$I$89,3,0)*VLOOKUP('Données projet'!$B$9,Paramètres!$A$1:$I$89,5,0)</f>
        <v>187.34485714285708</v>
      </c>
      <c r="P37" s="13">
        <f t="shared" si="33"/>
        <v>46.95245853654621</v>
      </c>
      <c r="Q37" s="20">
        <f t="shared" si="53"/>
        <v>408.06782480829406</v>
      </c>
      <c r="R37" s="59">
        <f t="shared" si="0"/>
        <v>701.40115814162732</v>
      </c>
      <c r="S37" s="59">
        <f ca="1">AVERAGE(OFFSET($R$3,0,0,'Données projet'!$E$9+1,1))-AVERAGE(OFFSET($H$3,0,0,'Données projet'!$E$9+1,1))</f>
        <v>347.01106511825213</v>
      </c>
      <c r="T37" s="59">
        <f t="shared" si="34"/>
        <v>329.53392323581539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13.209108913075429</v>
      </c>
      <c r="AB37" s="21">
        <f>EXP(-LN(2)/2)*AB36+(1-EXP(-LN(2)/2))/(LN(2)/2)*V37*Y37*VLOOKUP('Données projet'!$B$9,Paramètres!$A$1:$I$89,3,0)*0.475*44/12</f>
        <v>2.0253371338153432</v>
      </c>
      <c r="AC37" s="22">
        <f t="shared" si="3"/>
        <v>15.234446046890772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</v>
      </c>
      <c r="AI37" s="13">
        <f>IF('Données projet'!$A$62&gt;35,AI36+AH37-AQ36,IF(A37&lt;'Données projet'!$A$62,$AF$205^A37,IF(A37='Données projet'!$A$62,'Données projet'!$B$62,AI36+AH37-AQ36)))</f>
        <v>68</v>
      </c>
      <c r="AJ37" s="13">
        <f>AI37*VLOOKUP('Données projet'!$B$10,Paramètres!$A$1:$I$89,3,0)*VLOOKUP('Données projet'!$B$10,Paramètres!$A$1:$I$89,5,0)</f>
        <v>61.526399999999995</v>
      </c>
      <c r="AK37" s="13">
        <f t="shared" si="35"/>
        <v>17.553624762159014</v>
      </c>
      <c r="AL37" s="20">
        <f t="shared" si="4"/>
        <v>137.73104312742694</v>
      </c>
      <c r="AM37" s="59">
        <f t="shared" si="5"/>
        <v>431.06437646076029</v>
      </c>
      <c r="AN37" s="59">
        <f ca="1">AVERAGE(OFFSET($AM$3,0,0,'Données projet'!$E$10+1,1))-AVERAGE(OFFSET($H$3,0,0,'Données projet'!$E$10+1,1))</f>
        <v>209.32570518924194</v>
      </c>
      <c r="AO37" s="59">
        <f t="shared" si="36"/>
        <v>138.10530102720475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0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12.833333333333334</v>
      </c>
      <c r="BD37" s="12">
        <f>IF('Données projet'!$A$88&gt;35,BD36+BC37-BL36,IF(A37&lt;'Données projet'!$A$88,$BA$205^A37,IF(A37='Données projet'!$A$88,'Données projet'!$B$88,BD36+BC37-BL36)))</f>
        <v>222.33333333333331</v>
      </c>
      <c r="BE37" s="13">
        <f>BD37*VLOOKUP('Données projet'!$B$11,Paramètres!$A$1:$I$89,3,0)*VLOOKUP('Données projet'!$B$11,Paramètres!$A$1:$I$89,5,0)</f>
        <v>138.73599999999999</v>
      </c>
      <c r="BF37" s="13">
        <f t="shared" si="37"/>
        <v>36.007288175538044</v>
      </c>
      <c r="BG37" s="20">
        <f t="shared" si="7"/>
        <v>304.34456023906205</v>
      </c>
      <c r="BH37" s="59">
        <f t="shared" si="8"/>
        <v>597.67789357239531</v>
      </c>
      <c r="BI37" s="59">
        <f ca="1">AVERAGE(OFFSET($BH$3,0,0,'Données projet'!$E$11+1,1))-AVERAGE(OFFSET($H$3,0,0,'Données projet'!$E$11+1,1))</f>
        <v>219.86035935827329</v>
      </c>
      <c r="BJ37" s="59">
        <f t="shared" si="38"/>
        <v>322.75312534885239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25.293823238739588</v>
      </c>
      <c r="BQ37" s="21">
        <f>EXP(-LN(2)/25)*BQ36+(1-EXP(-LN(2)/25))/(LN(2)/25)*Calculateur!BL37*Calculateur!BN37*VLOOKUP('Données projet'!$B$11,Paramètres!$A$1:$I$89,3,0)*0.475*44/12</f>
        <v>14.347835513796939</v>
      </c>
      <c r="BR37" s="21">
        <f>EXP(-LN(2)/2)*BR36+(1-EXP(-LN(2)/2))/(LN(2)/2)*BL37*BO37*VLOOKUP('Données projet'!$B$11,Paramètres!$A$1:$I$89,3,0)*0.475*44/12</f>
        <v>1.4337940937774885</v>
      </c>
      <c r="BS37" s="22">
        <f t="shared" si="9"/>
        <v>41.075452846314015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15.2</v>
      </c>
      <c r="BY37" s="12">
        <f>IF('Données projet'!$A$114&gt;35,BY36+BX37-CG36,IF(A37&lt;'Données projet'!$A$114,$BV$205^A37,IF(A37='Données projet'!$A$114,'Données projet'!$B$114,BY36+BX37-CG36)))</f>
        <v>223.8</v>
      </c>
      <c r="BZ37" s="13">
        <f>BY37*VLOOKUP('Données projet'!$B$12,Paramètres!$A$1:$I$89,3,0)*VLOOKUP('Données projet'!$B$12,Paramètres!$A$1:$I$89,5,0)</f>
        <v>178.05528000000001</v>
      </c>
      <c r="CA37" s="13">
        <f t="shared" si="39"/>
        <v>44.889248639558041</v>
      </c>
      <c r="CB37" s="20">
        <f t="shared" si="10"/>
        <v>388.29505404723028</v>
      </c>
      <c r="CC37" s="59">
        <f t="shared" si="11"/>
        <v>681.62838738056359</v>
      </c>
      <c r="CD37" s="59">
        <f ca="1">AVERAGE(OFFSET($CC$3,0,0,'Données projet'!$E$12+1,1))-AVERAGE(OFFSET($H$3,0,0,'Données projet'!$E$12+1,1))</f>
        <v>378.47278187128137</v>
      </c>
      <c r="CE37" s="59">
        <f t="shared" si="40"/>
        <v>372.59407061242604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10.101000000000003</v>
      </c>
      <c r="D38" s="11">
        <f t="shared" si="32"/>
        <v>3.5563821613713857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52.712703078977285</v>
      </c>
      <c r="H38" s="67">
        <f t="shared" si="1"/>
        <v>280.45327393105521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355</v>
      </c>
      <c r="L38" s="12">
        <f>VLOOKUP(A38,'Données projet'!$A$35:$I$55,9,0)</f>
        <v>19.857142857142858</v>
      </c>
      <c r="M38" s="12">
        <f t="array" ref="M38">INDEX(L:L,MIN(IF(ISNUMBER(L38:L234),ROW(L38:L234),"")))</f>
        <v>19.857142857142858</v>
      </c>
      <c r="N38" s="13">
        <f>IF('Données projet'!$A$36&gt;35,N37+M38-V37,IF(A38&lt;'Données projet'!$A$36,$K$205^A38,IF(A38='Données projet'!$A$36,'Données projet'!$B$36,N37+M38-V37)))</f>
        <v>354.99999999999989</v>
      </c>
      <c r="O38" s="13">
        <f>N38*VLOOKUP('Données projet'!$B$9,Paramètres!$A$1:$I$89,3,0)*VLOOKUP('Données projet'!$B$9,Paramètres!$A$1:$I$89,5,0)</f>
        <v>198.44499999999994</v>
      </c>
      <c r="P38" s="13">
        <f t="shared" si="33"/>
        <v>49.40227070134226</v>
      </c>
      <c r="Q38" s="20">
        <f t="shared" si="53"/>
        <v>431.66732980483766</v>
      </c>
      <c r="R38" s="59">
        <f t="shared" si="0"/>
        <v>725.00066313817092</v>
      </c>
      <c r="S38" s="59">
        <f ca="1">AVERAGE(OFFSET($R$3,0,0,'Données projet'!$E$9+1,1))-AVERAGE(OFFSET($H$3,0,0,'Données projet'!$E$9+1,1))</f>
        <v>347.01106511825213</v>
      </c>
      <c r="T38" s="59">
        <f t="shared" si="34"/>
        <v>329.53392323581539</v>
      </c>
      <c r="U38" s="15">
        <f>IF(ISNA(VLOOKUP(A38,'Données projet'!$A$35:$I$55,3,0)),0,VLOOKUP(A38,'Données projet'!$A$35:$I$55,3,0))</f>
        <v>2</v>
      </c>
      <c r="V38" s="15">
        <f>IF(ISNA(VLOOKUP(A38,'Données projet'!$A$35:$I$55,4,0)),0,VLOOKUP(A38,'Données projet'!$A$35:$I$55,4,0))</f>
        <v>73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0.33</v>
      </c>
      <c r="Y38" s="16">
        <f>IF(ISNA(VLOOKUP(A38,'Données projet'!$A$35:$I$55,7,0)),0%,VLOOKUP(A38,'Données projet'!$A$35:$I$55,7,0))</f>
        <v>0.4</v>
      </c>
      <c r="Z38" s="21">
        <f>EXP(-LN(2)/35)*Z37+(1-EXP(-LN(2)/35))/(LN(2)/35)*V38*W38*VLOOKUP('Données projet'!$B$9,Paramètres!$A$1:$I$89,3,0)*0.475*44/12</f>
        <v>0</v>
      </c>
      <c r="AA38" s="21">
        <f>EXP(-LN(2)/25)*AA37+(1-EXP(-LN(2)/25))/(LN(2)/25)*Calculateur!V38*Calculateur!X38*VLOOKUP('Données projet'!$B$9,Paramètres!$A$1:$I$89,3,0)*0.475*44/12</f>
        <v>30.641496235158662</v>
      </c>
      <c r="AB38" s="21">
        <f>EXP(-LN(2)/2)*AB37+(1-EXP(-LN(2)/2))/(LN(2)/2)*V38*Y38*VLOOKUP('Données projet'!$B$9,Paramètres!$A$1:$I$89,3,0)*0.475*44/12</f>
        <v>19.913330967574751</v>
      </c>
      <c r="AC38" s="22">
        <f t="shared" si="3"/>
        <v>50.554827202733414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</v>
      </c>
      <c r="AI38" s="13">
        <f>IF('Données projet'!$A$62&gt;35,AI37+AH38-AQ37,IF(A38&lt;'Données projet'!$A$62,$AF$205^A38,IF(A38='Données projet'!$A$62,'Données projet'!$B$62,AI37+AH38-AQ37)))</f>
        <v>70</v>
      </c>
      <c r="AJ38" s="13">
        <f>AI38*VLOOKUP('Données projet'!$B$10,Paramètres!$A$1:$I$89,3,0)*VLOOKUP('Données projet'!$B$10,Paramètres!$A$1:$I$89,5,0)</f>
        <v>63.335999999999991</v>
      </c>
      <c r="AK38" s="13">
        <f t="shared" si="35"/>
        <v>18.009040022946227</v>
      </c>
      <c r="AL38" s="20">
        <f t="shared" si="4"/>
        <v>141.67594470663133</v>
      </c>
      <c r="AM38" s="59">
        <f t="shared" si="5"/>
        <v>435.00927803996467</v>
      </c>
      <c r="AN38" s="59">
        <f ca="1">AVERAGE(OFFSET($AM$3,0,0,'Données projet'!$E$10+1,1))-AVERAGE(OFFSET($H$3,0,0,'Données projet'!$E$10+1,1))</f>
        <v>209.32570518924194</v>
      </c>
      <c r="AO38" s="59">
        <f t="shared" si="36"/>
        <v>138.10530102720475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0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12.833333333333334</v>
      </c>
      <c r="BD38" s="12">
        <f>IF('Données projet'!$A$88&gt;35,BD37+BC38-BL37,IF(A38&lt;'Données projet'!$A$88,$BA$205^A38,IF(A38='Données projet'!$A$88,'Données projet'!$B$88,BD37+BC38-BL37)))</f>
        <v>235.16666666666666</v>
      </c>
      <c r="BE38" s="13">
        <f>BD38*VLOOKUP('Données projet'!$B$11,Paramètres!$A$1:$I$89,3,0)*VLOOKUP('Données projet'!$B$11,Paramètres!$A$1:$I$89,5,0)</f>
        <v>146.744</v>
      </c>
      <c r="BF38" s="13">
        <f t="shared" si="37"/>
        <v>37.837705514258651</v>
      </c>
      <c r="BG38" s="20">
        <f t="shared" si="7"/>
        <v>321.47980377066716</v>
      </c>
      <c r="BH38" s="59">
        <f t="shared" si="8"/>
        <v>614.81313710400048</v>
      </c>
      <c r="BI38" s="59">
        <f ca="1">AVERAGE(OFFSET($BH$3,0,0,'Données projet'!$E$11+1,1))-AVERAGE(OFFSET($H$3,0,0,'Données projet'!$E$11+1,1))</f>
        <v>219.86035935827329</v>
      </c>
      <c r="BJ38" s="59">
        <f t="shared" si="38"/>
        <v>322.75312534885239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24.797826792736721</v>
      </c>
      <c r="BQ38" s="21">
        <f>EXP(-LN(2)/25)*BQ37+(1-EXP(-LN(2)/25))/(LN(2)/25)*Calculateur!BL38*Calculateur!BN38*VLOOKUP('Données projet'!$B$11,Paramètres!$A$1:$I$89,3,0)*0.475*44/12</f>
        <v>13.955493197152284</v>
      </c>
      <c r="BR38" s="21">
        <f>EXP(-LN(2)/2)*BR37+(1-EXP(-LN(2)/2))/(LN(2)/2)*BL38*BO38*VLOOKUP('Données projet'!$B$11,Paramètres!$A$1:$I$89,3,0)*0.475*44/12</f>
        <v>1.0138455265352828</v>
      </c>
      <c r="BS38" s="22">
        <f t="shared" si="9"/>
        <v>39.767165516424292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>
        <f>VLOOKUP(A38,'Données projet'!$A$113:$I$133,2,0)</f>
        <v>239</v>
      </c>
      <c r="BW38" s="12">
        <f>VLOOKUP(A38,'Données projet'!$A$113:$I$133,9,0)</f>
        <v>15.2</v>
      </c>
      <c r="BX38" s="12">
        <f t="array" ref="BX38">INDEX(BW:BW,MIN(IF(ISNUMBER(BW38:BW234),ROW(BW38:BW234),"")))</f>
        <v>15.2</v>
      </c>
      <c r="BY38" s="12">
        <f>IF('Données projet'!$A$114&gt;35,BY37+BX38-CG37,IF(A38&lt;'Données projet'!$A$114,$BV$205^A38,IF(A38='Données projet'!$A$114,'Données projet'!$B$114,BY37+BX38-CG37)))</f>
        <v>239</v>
      </c>
      <c r="BZ38" s="13">
        <f>BY38*VLOOKUP('Données projet'!$B$12,Paramètres!$A$1:$I$89,3,0)*VLOOKUP('Données projet'!$B$12,Paramètres!$A$1:$I$89,5,0)</f>
        <v>190.14840000000001</v>
      </c>
      <c r="CA38" s="13">
        <f t="shared" si="39"/>
        <v>47.572760493232991</v>
      </c>
      <c r="CB38" s="20">
        <f t="shared" si="10"/>
        <v>414.03102119238082</v>
      </c>
      <c r="CC38" s="59">
        <f t="shared" si="11"/>
        <v>707.36435452571413</v>
      </c>
      <c r="CD38" s="59">
        <f ca="1">AVERAGE(OFFSET($CC$3,0,0,'Données projet'!$E$12+1,1))-AVERAGE(OFFSET($H$3,0,0,'Données projet'!$E$12+1,1))</f>
        <v>378.47278187128137</v>
      </c>
      <c r="CE38" s="59">
        <f t="shared" si="40"/>
        <v>372.59407061242604</v>
      </c>
      <c r="CF38" s="15">
        <f>IF(ISNA(VLOOKUP(A38,'Données projet'!$A$113:$I$133,3,0)),0,VLOOKUP(A38,'Données projet'!$A$113:$I$133,3,0))</f>
        <v>3</v>
      </c>
      <c r="CG38" s="15">
        <f>IF(ISNA(VLOOKUP(A38,'Données projet'!$A$113:$I$133,4,0)),0,VLOOKUP(A38,'Données projet'!$A$113:$I$133,4,0))</f>
        <v>42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10.389600000000003</v>
      </c>
      <c r="D39" s="11">
        <f t="shared" si="32"/>
        <v>3.6460178361318016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54.172560069280649</v>
      </c>
      <c r="H39" s="67">
        <f t="shared" si="1"/>
        <v>281.11203439792956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19.571428571428573</v>
      </c>
      <c r="N39" s="13">
        <f>IF('Données projet'!$A$36&gt;35,N38+M39-V38,IF(A39&lt;'Données projet'!$A$36,$K$205^A39,IF(A39='Données projet'!$A$36,'Données projet'!$B$36,N38+M39-V38)))</f>
        <v>301.57142857142844</v>
      </c>
      <c r="O39" s="13">
        <f>N39*VLOOKUP('Données projet'!$B$9,Paramètres!$A$1:$I$89,3,0)*VLOOKUP('Données projet'!$B$9,Paramètres!$A$1:$I$89,5,0)</f>
        <v>168.5784285714285</v>
      </c>
      <c r="P39" s="13">
        <f t="shared" si="33"/>
        <v>42.771483439273169</v>
      </c>
      <c r="Q39" s="20">
        <f t="shared" si="53"/>
        <v>368.10109675197208</v>
      </c>
      <c r="R39" s="59">
        <f t="shared" si="0"/>
        <v>661.43443008530539</v>
      </c>
      <c r="S39" s="59">
        <f ca="1">AVERAGE(OFFSET($R$3,0,0,'Données projet'!$E$9+1,1))-AVERAGE(OFFSET($H$3,0,0,'Données projet'!$E$9+1,1))</f>
        <v>347.01106511825213</v>
      </c>
      <c r="T39" s="59">
        <f t="shared" si="34"/>
        <v>329.53392323581539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0</v>
      </c>
      <c r="AA39" s="21">
        <f>EXP(-LN(2)/25)*AA38+(1-EXP(-LN(2)/25))/(LN(2)/25)*Calculateur!V39*Calculateur!X39*VLOOKUP('Données projet'!$B$9,Paramètres!$A$1:$I$89,3,0)*0.475*44/12</f>
        <v>29.803602909241995</v>
      </c>
      <c r="AB39" s="21">
        <f>EXP(-LN(2)/2)*AB38+(1-EXP(-LN(2)/2))/(LN(2)/2)*V39*Y39*VLOOKUP('Données projet'!$B$9,Paramètres!$A$1:$I$89,3,0)*0.475*44/12</f>
        <v>14.080851363184181</v>
      </c>
      <c r="AC39" s="22">
        <f t="shared" si="3"/>
        <v>43.884454272426176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</v>
      </c>
      <c r="AI39" s="13">
        <f>IF('Données projet'!$A$62&gt;35,AI38+AH39-AQ38,IF(A39&lt;'Données projet'!$A$62,$AF$205^A39,IF(A39='Données projet'!$A$62,'Données projet'!$B$62,AI38+AH39-AQ38)))</f>
        <v>72</v>
      </c>
      <c r="AJ39" s="13">
        <f>AI39*VLOOKUP('Données projet'!$B$10,Paramètres!$A$1:$I$89,3,0)*VLOOKUP('Données projet'!$B$10,Paramètres!$A$1:$I$89,5,0)</f>
        <v>65.145600000000002</v>
      </c>
      <c r="AK39" s="13">
        <f t="shared" si="35"/>
        <v>18.462943001028204</v>
      </c>
      <c r="AL39" s="20">
        <f t="shared" si="4"/>
        <v>145.61821239345747</v>
      </c>
      <c r="AM39" s="59">
        <f t="shared" si="5"/>
        <v>438.95154572679075</v>
      </c>
      <c r="AN39" s="59">
        <f ca="1">AVERAGE(OFFSET($AM$3,0,0,'Données projet'!$E$10+1,1))-AVERAGE(OFFSET($H$3,0,0,'Données projet'!$E$10+1,1))</f>
        <v>209.32570518924194</v>
      </c>
      <c r="AO39" s="59">
        <f t="shared" si="36"/>
        <v>138.10530102720475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0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>
        <f>VLOOKUP(A39,'Données projet'!$A$87:$I$107,2,0)</f>
        <v>248</v>
      </c>
      <c r="BB39" s="12">
        <f>VLOOKUP(A39,'Données projet'!$A$87:$I$107,9,0)</f>
        <v>12.833333333333334</v>
      </c>
      <c r="BC39" s="12">
        <f t="array" ref="BC39">INDEX(BB:BB,MIN(IF(ISNUMBER(BB39:BB235),ROW(BB39:BB235),"")))</f>
        <v>12.833333333333334</v>
      </c>
      <c r="BD39" s="12">
        <f>IF('Données projet'!$A$88&gt;35,BD38+BC39-BL38,IF(A39&lt;'Données projet'!$A$88,$BA$205^A39,IF(A39='Données projet'!$A$88,'Données projet'!$B$88,BD38+BC39-BL38)))</f>
        <v>248</v>
      </c>
      <c r="BE39" s="13">
        <f>BD39*VLOOKUP('Données projet'!$B$11,Paramètres!$A$1:$I$89,3,0)*VLOOKUP('Données projet'!$B$11,Paramètres!$A$1:$I$89,5,0)</f>
        <v>154.75199999999998</v>
      </c>
      <c r="BF39" s="13">
        <f t="shared" si="37"/>
        <v>39.656526650076415</v>
      </c>
      <c r="BG39" s="20">
        <f t="shared" si="7"/>
        <v>338.5948505822164</v>
      </c>
      <c r="BH39" s="59">
        <f t="shared" si="8"/>
        <v>631.92818391554965</v>
      </c>
      <c r="BI39" s="59">
        <f ca="1">AVERAGE(OFFSET($BH$3,0,0,'Données projet'!$E$11+1,1))-AVERAGE(OFFSET($H$3,0,0,'Données projet'!$E$11+1,1))</f>
        <v>219.86035935827329</v>
      </c>
      <c r="BJ39" s="59">
        <f t="shared" si="38"/>
        <v>322.75312534885239</v>
      </c>
      <c r="BK39" s="15">
        <f>IF(ISNA(VLOOKUP(A39,'Données projet'!$A$87:$I$107,3,0)),0,VLOOKUP(A39,'Données projet'!$A$87:$I$107,3,0))</f>
        <v>5</v>
      </c>
      <c r="BL39" s="15">
        <f>IF(ISNA(VLOOKUP(A39,'Données projet'!$A$87:$I$107,4,0)),0,VLOOKUP(A39,'Données projet'!$A$87:$I$107,4,0))</f>
        <v>62</v>
      </c>
      <c r="BM39" s="16">
        <f>IF(ISNA(VLOOKUP(A39,'Données projet'!$A$87:$I$107,5,0)),0%,VLOOKUP(A39,'Données projet'!$A$87:$I$107,5,0)*VLOOKUP('Données projet'!$B$11,Paramètres!$A$1:$I$89,7,0))</f>
        <v>0.42</v>
      </c>
      <c r="BN39" s="16">
        <f>IF(ISNA(VLOOKUP(A39,'Données projet'!$A$87:$I$107,6,0)),0%,VLOOKUP(A39,'Données projet'!$A$87:$I$107,6,0)*VLOOKUP('Données projet'!$B$11,Paramètres!$A$1:$I$89,7,0))</f>
        <v>0.1008</v>
      </c>
      <c r="BO39" s="16">
        <f>IF(ISNA(VLOOKUP(A39,'Données projet'!$A$87:$I$107,7,0)),0%,VLOOKUP(A39,'Données projet'!$A$87:$I$107,7,0))</f>
        <v>0.13200000000000001</v>
      </c>
      <c r="BP39" s="21">
        <f>EXP(-LN(2)/35)*BP38+(1-EXP(-LN(2)/35))/(LN(2)/35)*BL39*BM39*VLOOKUP('Données projet'!$B$11,Paramètres!$A$1:$I$89,3,0)*0.475*44/12</f>
        <v>45.866849308370881</v>
      </c>
      <c r="BQ39" s="21">
        <f>EXP(-LN(2)/25)*BQ38+(1-EXP(-LN(2)/25))/(LN(2)/25)*Calculateur!BL39*Calculateur!BN39*VLOOKUP('Données projet'!$B$11,Paramètres!$A$1:$I$89,3,0)*0.475*44/12</f>
        <v>18.72678063130812</v>
      </c>
      <c r="BR39" s="21">
        <f>EXP(-LN(2)/2)*BR38+(1-EXP(-LN(2)/2))/(LN(2)/2)*BL39*BO39*VLOOKUP('Données projet'!$B$11,Paramètres!$A$1:$I$89,3,0)*0.475*44/12</f>
        <v>6.4989990596136593</v>
      </c>
      <c r="BS39" s="22">
        <f t="shared" si="9"/>
        <v>71.092628999292657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13.2</v>
      </c>
      <c r="BY39" s="12">
        <f>IF('Données projet'!$A$114&gt;35,BY38+BX39-CG38,IF(A39&lt;'Données projet'!$A$114,$BV$205^A39,IF(A39='Données projet'!$A$114,'Données projet'!$B$114,BY38+BX39-CG38)))</f>
        <v>210.2</v>
      </c>
      <c r="BZ39" s="13">
        <f>BY39*VLOOKUP('Données projet'!$B$12,Paramètres!$A$1:$I$89,3,0)*VLOOKUP('Données projet'!$B$12,Paramètres!$A$1:$I$89,5,0)</f>
        <v>167.23511999999999</v>
      </c>
      <c r="CA39" s="13">
        <f t="shared" si="39"/>
        <v>42.470192710511604</v>
      </c>
      <c r="CB39" s="20">
        <f t="shared" si="10"/>
        <v>365.23675297080769</v>
      </c>
      <c r="CC39" s="59">
        <f t="shared" si="11"/>
        <v>658.570086304141</v>
      </c>
      <c r="CD39" s="59">
        <f ca="1">AVERAGE(OFFSET($CC$3,0,0,'Données projet'!$E$12+1,1))-AVERAGE(OFFSET($H$3,0,0,'Données projet'!$E$12+1,1))</f>
        <v>378.47278187128137</v>
      </c>
      <c r="CE39" s="59">
        <f t="shared" si="40"/>
        <v>372.59407061242604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10.678200000000004</v>
      </c>
      <c r="D40" s="11">
        <f t="shared" si="32"/>
        <v>3.7353641175922476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55.631300102987638</v>
      </c>
      <c r="H40" s="67">
        <f t="shared" si="1"/>
        <v>281.77029083813989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19.571428571428573</v>
      </c>
      <c r="N40" s="13">
        <f>IF('Données projet'!$A$36&gt;35,N39+M40-V39,IF(A40&lt;'Données projet'!$A$36,$K$205^A40,IF(A40='Données projet'!$A$36,'Données projet'!$B$36,N39+M40-V39)))</f>
        <v>321.142857142857</v>
      </c>
      <c r="O40" s="13">
        <f>N40*VLOOKUP('Données projet'!$B$9,Paramètres!$A$1:$I$89,3,0)*VLOOKUP('Données projet'!$B$9,Paramètres!$A$1:$I$89,5,0)</f>
        <v>179.51885714285706</v>
      </c>
      <c r="P40" s="13">
        <f t="shared" si="33"/>
        <v>45.215124075787188</v>
      </c>
      <c r="Q40" s="20">
        <f t="shared" si="53"/>
        <v>391.41168395580547</v>
      </c>
      <c r="R40" s="59">
        <f t="shared" si="0"/>
        <v>684.74501728913879</v>
      </c>
      <c r="S40" s="59">
        <f ca="1">AVERAGE(OFFSET($R$3,0,0,'Données projet'!$E$9+1,1))-AVERAGE(OFFSET($H$3,0,0,'Données projet'!$E$9+1,1))</f>
        <v>347.01106511825213</v>
      </c>
      <c r="T40" s="59">
        <f t="shared" si="34"/>
        <v>329.53392323581539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0</v>
      </c>
      <c r="AA40" s="21">
        <f>EXP(-LN(2)/25)*AA39+(1-EXP(-LN(2)/25))/(LN(2)/25)*Calculateur!V40*Calculateur!X40*VLOOKUP('Données projet'!$B$9,Paramètres!$A$1:$I$89,3,0)*0.475*44/12</f>
        <v>28.988621820385411</v>
      </c>
      <c r="AB40" s="21">
        <f>EXP(-LN(2)/2)*AB39+(1-EXP(-LN(2)/2))/(LN(2)/2)*V40*Y40*VLOOKUP('Données projet'!$B$9,Paramètres!$A$1:$I$89,3,0)*0.475*44/12</f>
        <v>9.9566654837873756</v>
      </c>
      <c r="AC40" s="22">
        <f t="shared" si="3"/>
        <v>38.945287304172787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</v>
      </c>
      <c r="AI40" s="13">
        <f>IF('Données projet'!$A$62&gt;35,AI39+AH40-AQ39,IF(A40&lt;'Données projet'!$A$62,$AF$205^A40,IF(A40='Données projet'!$A$62,'Données projet'!$B$62,AI39+AH40-AQ39)))</f>
        <v>74</v>
      </c>
      <c r="AJ40" s="13">
        <f>AI40*VLOOKUP('Données projet'!$B$10,Paramètres!$A$1:$I$89,3,0)*VLOOKUP('Données projet'!$B$10,Paramètres!$A$1:$I$89,5,0)</f>
        <v>66.955199999999991</v>
      </c>
      <c r="AK40" s="13">
        <f t="shared" si="35"/>
        <v>18.915380530436497</v>
      </c>
      <c r="AL40" s="20">
        <f t="shared" si="4"/>
        <v>149.55792775717688</v>
      </c>
      <c r="AM40" s="59">
        <f t="shared" si="5"/>
        <v>442.89126109051017</v>
      </c>
      <c r="AN40" s="59">
        <f ca="1">AVERAGE(OFFSET($AM$3,0,0,'Données projet'!$E$10+1,1))-AVERAGE(OFFSET($H$3,0,0,'Données projet'!$E$10+1,1))</f>
        <v>209.32570518924194</v>
      </c>
      <c r="AO40" s="59">
        <f t="shared" si="36"/>
        <v>138.10530102720475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0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11.5</v>
      </c>
      <c r="BD40" s="12">
        <f>IF('Données projet'!$A$88&gt;35,BD39+BC40-BL39,IF(A40&lt;'Données projet'!$A$88,$BA$205^A40,IF(A40='Données projet'!$A$88,'Données projet'!$B$88,BD39+BC40-BL39)))</f>
        <v>197.5</v>
      </c>
      <c r="BE40" s="13">
        <f>BD40*VLOOKUP('Données projet'!$B$11,Paramètres!$A$1:$I$89,3,0)*VLOOKUP('Données projet'!$B$11,Paramètres!$A$1:$I$89,5,0)</f>
        <v>123.24</v>
      </c>
      <c r="BF40" s="13">
        <f t="shared" si="37"/>
        <v>32.429500380369056</v>
      </c>
      <c r="BG40" s="20">
        <f t="shared" si="7"/>
        <v>271.12437982914275</v>
      </c>
      <c r="BH40" s="59">
        <f t="shared" si="8"/>
        <v>564.45771316247601</v>
      </c>
      <c r="BI40" s="59">
        <f ca="1">AVERAGE(OFFSET($BH$3,0,0,'Données projet'!$E$11+1,1))-AVERAGE(OFFSET($H$3,0,0,'Données projet'!$E$11+1,1))</f>
        <v>219.86035935827329</v>
      </c>
      <c r="BJ40" s="59">
        <f t="shared" si="38"/>
        <v>322.75312534885239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44.967428369449401</v>
      </c>
      <c r="BQ40" s="21">
        <f>EXP(-LN(2)/25)*BQ39+(1-EXP(-LN(2)/25))/(LN(2)/25)*Calculateur!BL40*Calculateur!BN40*VLOOKUP('Données projet'!$B$11,Paramètres!$A$1:$I$89,3,0)*0.475*44/12</f>
        <v>18.214695830146407</v>
      </c>
      <c r="BR40" s="21">
        <f>EXP(-LN(2)/2)*BR39+(1-EXP(-LN(2)/2))/(LN(2)/2)*BL40*BO40*VLOOKUP('Données projet'!$B$11,Paramètres!$A$1:$I$89,3,0)*0.475*44/12</f>
        <v>4.5954863059778139</v>
      </c>
      <c r="BS40" s="22">
        <f t="shared" si="9"/>
        <v>67.77761050557362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13.2</v>
      </c>
      <c r="BY40" s="12">
        <f>IF('Données projet'!$A$114&gt;35,BY39+BX40-CG39,IF(A40&lt;'Données projet'!$A$114,$BV$205^A40,IF(A40='Données projet'!$A$114,'Données projet'!$B$114,BY39+BX40-CG39)))</f>
        <v>223.39999999999998</v>
      </c>
      <c r="BZ40" s="13">
        <f>BY40*VLOOKUP('Données projet'!$B$12,Paramètres!$A$1:$I$89,3,0)*VLOOKUP('Données projet'!$B$12,Paramètres!$A$1:$I$89,5,0)</f>
        <v>177.73703999999998</v>
      </c>
      <c r="CA40" s="13">
        <f t="shared" si="39"/>
        <v>44.818349142210366</v>
      </c>
      <c r="CB40" s="20">
        <f t="shared" si="10"/>
        <v>387.61730275601627</v>
      </c>
      <c r="CC40" s="59">
        <f t="shared" si="11"/>
        <v>680.95063608934959</v>
      </c>
      <c r="CD40" s="59">
        <f ca="1">AVERAGE(OFFSET($CC$3,0,0,'Données projet'!$E$12+1,1))-AVERAGE(OFFSET($H$3,0,0,'Données projet'!$E$12+1,1))</f>
        <v>378.47278187128137</v>
      </c>
      <c r="CE40" s="59">
        <f t="shared" si="40"/>
        <v>372.59407061242604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10.966800000000005</v>
      </c>
      <c r="D41" s="11">
        <f t="shared" si="32"/>
        <v>3.8244297260381468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57.088956837340241</v>
      </c>
      <c r="H41" s="67">
        <f t="shared" si="1"/>
        <v>282.42805843951646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19.571428571428573</v>
      </c>
      <c r="N41" s="13">
        <f>IF('Données projet'!$A$36&gt;35,N40+M41-V40,IF(A41&lt;'Données projet'!$A$36,$K$205^A41,IF(A41='Données projet'!$A$36,'Données projet'!$B$36,N40+M41-V40)))</f>
        <v>340.71428571428555</v>
      </c>
      <c r="O41" s="13">
        <f>N41*VLOOKUP('Données projet'!$B$9,Paramètres!$A$1:$I$89,3,0)*VLOOKUP('Données projet'!$B$9,Paramètres!$A$1:$I$89,5,0)</f>
        <v>190.45928571428561</v>
      </c>
      <c r="P41" s="13">
        <f t="shared" si="33"/>
        <v>47.641480128932045</v>
      </c>
      <c r="Q41" s="20">
        <f t="shared" si="53"/>
        <v>414.6921671769374</v>
      </c>
      <c r="R41" s="59">
        <f t="shared" si="0"/>
        <v>708.02550051027072</v>
      </c>
      <c r="S41" s="59">
        <f ca="1">AVERAGE(OFFSET($R$3,0,0,'Données projet'!$E$9+1,1))-AVERAGE(OFFSET($H$3,0,0,'Données projet'!$E$9+1,1))</f>
        <v>347.01106511825213</v>
      </c>
      <c r="T41" s="59">
        <f t="shared" si="34"/>
        <v>329.53392323581539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0</v>
      </c>
      <c r="AA41" s="21">
        <f>EXP(-LN(2)/25)*AA40+(1-EXP(-LN(2)/25))/(LN(2)/25)*Calculateur!V41*Calculateur!X41*VLOOKUP('Données projet'!$B$9,Paramètres!$A$1:$I$89,3,0)*0.475*44/12</f>
        <v>28.195926432261604</v>
      </c>
      <c r="AB41" s="21">
        <f>EXP(-LN(2)/2)*AB40+(1-EXP(-LN(2)/2))/(LN(2)/2)*V41*Y41*VLOOKUP('Données projet'!$B$9,Paramètres!$A$1:$I$89,3,0)*0.475*44/12</f>
        <v>7.0404256815920903</v>
      </c>
      <c r="AC41" s="22">
        <f t="shared" si="3"/>
        <v>35.236352113853698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</v>
      </c>
      <c r="AI41" s="13">
        <f>IF('Données projet'!$A$62&gt;35,AI40+AH41-AQ40,IF(A41&lt;'Données projet'!$A$62,$AF$205^A41,IF(A41='Données projet'!$A$62,'Données projet'!$B$62,AI40+AH41-AQ40)))</f>
        <v>76</v>
      </c>
      <c r="AJ41" s="13">
        <f>AI41*VLOOKUP('Données projet'!$B$10,Paramètres!$A$1:$I$89,3,0)*VLOOKUP('Données projet'!$B$10,Paramètres!$A$1:$I$89,5,0)</f>
        <v>68.764799999999994</v>
      </c>
      <c r="AK41" s="13">
        <f t="shared" si="35"/>
        <v>19.366396769521369</v>
      </c>
      <c r="AL41" s="20">
        <f t="shared" si="4"/>
        <v>153.49516770691636</v>
      </c>
      <c r="AM41" s="59">
        <f t="shared" si="5"/>
        <v>446.82850104024965</v>
      </c>
      <c r="AN41" s="59">
        <f ca="1">AVERAGE(OFFSET($AM$3,0,0,'Données projet'!$E$10+1,1))-AVERAGE(OFFSET($H$3,0,0,'Données projet'!$E$10+1,1))</f>
        <v>209.32570518924194</v>
      </c>
      <c r="AO41" s="59">
        <f t="shared" si="36"/>
        <v>138.10530102720475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0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11.5</v>
      </c>
      <c r="BD41" s="12">
        <f>IF('Données projet'!$A$88&gt;35,BD40+BC41-BL40,IF(A41&lt;'Données projet'!$A$88,$BA$205^A41,IF(A41='Données projet'!$A$88,'Données projet'!$B$88,BD40+BC41-BL40)))</f>
        <v>209</v>
      </c>
      <c r="BE41" s="13">
        <f>BD41*VLOOKUP('Données projet'!$B$11,Paramètres!$A$1:$I$89,3,0)*VLOOKUP('Données projet'!$B$11,Paramètres!$A$1:$I$89,5,0)</f>
        <v>130.416</v>
      </c>
      <c r="BF41" s="13">
        <f t="shared" si="37"/>
        <v>34.092466837179941</v>
      </c>
      <c r="BG41" s="20">
        <f t="shared" si="7"/>
        <v>286.51891307475506</v>
      </c>
      <c r="BH41" s="59">
        <f t="shared" si="8"/>
        <v>579.85224640808838</v>
      </c>
      <c r="BI41" s="59">
        <f ca="1">AVERAGE(OFFSET($BH$3,0,0,'Données projet'!$E$11+1,1))-AVERAGE(OFFSET($H$3,0,0,'Données projet'!$E$11+1,1))</f>
        <v>219.86035935827329</v>
      </c>
      <c r="BJ41" s="59">
        <f t="shared" si="38"/>
        <v>322.75312534885239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44.085644526547568</v>
      </c>
      <c r="BQ41" s="21">
        <f>EXP(-LN(2)/25)*BQ40+(1-EXP(-LN(2)/25))/(LN(2)/25)*Calculateur!BL41*Calculateur!BN41*VLOOKUP('Données projet'!$B$11,Paramètres!$A$1:$I$89,3,0)*0.475*44/12</f>
        <v>17.716614014801831</v>
      </c>
      <c r="BR41" s="21">
        <f>EXP(-LN(2)/2)*BR40+(1-EXP(-LN(2)/2))/(LN(2)/2)*BL41*BO41*VLOOKUP('Données projet'!$B$11,Paramètres!$A$1:$I$89,3,0)*0.475*44/12</f>
        <v>3.2494995298068301</v>
      </c>
      <c r="BS41" s="22">
        <f t="shared" si="9"/>
        <v>65.051758071156229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13.2</v>
      </c>
      <c r="BY41" s="12">
        <f>IF('Données projet'!$A$114&gt;35,BY40+BX41-CG40,IF(A41&lt;'Données projet'!$A$114,$BV$205^A41,IF(A41='Données projet'!$A$114,'Données projet'!$B$114,BY40+BX41-CG40)))</f>
        <v>236.59999999999997</v>
      </c>
      <c r="BZ41" s="13">
        <f>BY41*VLOOKUP('Données projet'!$B$12,Paramètres!$A$1:$I$89,3,0)*VLOOKUP('Données projet'!$B$12,Paramètres!$A$1:$I$89,5,0)</f>
        <v>188.23895999999999</v>
      </c>
      <c r="CA41" s="13">
        <f t="shared" si="39"/>
        <v>47.150401158990007</v>
      </c>
      <c r="CB41" s="20">
        <f t="shared" si="10"/>
        <v>409.96980401857422</v>
      </c>
      <c r="CC41" s="59">
        <f t="shared" si="11"/>
        <v>703.30313735190748</v>
      </c>
      <c r="CD41" s="59">
        <f ca="1">AVERAGE(OFFSET($CC$3,0,0,'Données projet'!$E$12+1,1))-AVERAGE(OFFSET($H$3,0,0,'Données projet'!$E$12+1,1))</f>
        <v>378.47278187128137</v>
      </c>
      <c r="CE41" s="59">
        <f t="shared" si="40"/>
        <v>372.59407061242604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11.255400000000005</v>
      </c>
      <c r="D42" s="11">
        <f t="shared" si="32"/>
        <v>3.9132228966549945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58.54556205726491</v>
      </c>
      <c r="H42" s="67">
        <f t="shared" si="1"/>
        <v>283.08535154500748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19.571428571428573</v>
      </c>
      <c r="N42" s="13">
        <f>IF('Données projet'!$A$36&gt;35,N41+M42-V41,IF(A42&lt;'Données projet'!$A$36,$K$205^A42,IF(A42='Données projet'!$A$36,'Données projet'!$B$36,N41+M42-V41)))</f>
        <v>360.28571428571411</v>
      </c>
      <c r="O42" s="13">
        <f>N42*VLOOKUP('Données projet'!$B$9,Paramètres!$A$1:$I$89,3,0)*VLOOKUP('Données projet'!$B$9,Paramètres!$A$1:$I$89,5,0)</f>
        <v>201.39971428571417</v>
      </c>
      <c r="P42" s="13">
        <f t="shared" si="33"/>
        <v>50.051657588658017</v>
      </c>
      <c r="Q42" s="20">
        <f t="shared" si="53"/>
        <v>437.94447268119819</v>
      </c>
      <c r="R42" s="59">
        <f t="shared" si="0"/>
        <v>731.27780601453151</v>
      </c>
      <c r="S42" s="59">
        <f ca="1">AVERAGE(OFFSET($R$3,0,0,'Données projet'!$E$9+1,1))-AVERAGE(OFFSET($H$3,0,0,'Données projet'!$E$9+1,1))</f>
        <v>347.01106511825213</v>
      </c>
      <c r="T42" s="59">
        <f t="shared" si="34"/>
        <v>329.53392323581539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0</v>
      </c>
      <c r="AA42" s="21">
        <f>EXP(-LN(2)/25)*AA41+(1-EXP(-LN(2)/25))/(LN(2)/25)*Calculateur!V42*Calculateur!X42*VLOOKUP('Données projet'!$B$9,Paramètres!$A$1:$I$89,3,0)*0.475*44/12</f>
        <v>27.424907341212084</v>
      </c>
      <c r="AB42" s="21">
        <f>EXP(-LN(2)/2)*AB41+(1-EXP(-LN(2)/2))/(LN(2)/2)*V42*Y42*VLOOKUP('Données projet'!$B$9,Paramètres!$A$1:$I$89,3,0)*0.475*44/12</f>
        <v>4.9783327418936878</v>
      </c>
      <c r="AC42" s="22">
        <f t="shared" si="3"/>
        <v>32.403240083105771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</v>
      </c>
      <c r="AI42" s="13">
        <f>IF('Données projet'!$A$62&gt;35,AI41+AH42-AQ41,IF(A42&lt;'Données projet'!$A$62,$AF$205^A42,IF(A42='Données projet'!$A$62,'Données projet'!$B$62,AI41+AH42-AQ41)))</f>
        <v>78</v>
      </c>
      <c r="AJ42" s="13">
        <f>AI42*VLOOKUP('Données projet'!$B$10,Paramètres!$A$1:$I$89,3,0)*VLOOKUP('Données projet'!$B$10,Paramètres!$A$1:$I$89,5,0)</f>
        <v>70.574399999999997</v>
      </c>
      <c r="AK42" s="13">
        <f t="shared" si="35"/>
        <v>19.816033420152426</v>
      </c>
      <c r="AL42" s="20">
        <f t="shared" si="4"/>
        <v>157.43000487343213</v>
      </c>
      <c r="AM42" s="59">
        <f t="shared" si="5"/>
        <v>450.76333820676541</v>
      </c>
      <c r="AN42" s="59">
        <f ca="1">AVERAGE(OFFSET($AM$3,0,0,'Données projet'!$E$10+1,1))-AVERAGE(OFFSET($H$3,0,0,'Données projet'!$E$10+1,1))</f>
        <v>209.32570518924194</v>
      </c>
      <c r="AO42" s="59">
        <f t="shared" si="36"/>
        <v>138.10530102720475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0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11.5</v>
      </c>
      <c r="BD42" s="12">
        <f>IF('Données projet'!$A$88&gt;35,BD41+BC42-BL41,IF(A42&lt;'Données projet'!$A$88,$BA$205^A42,IF(A42='Données projet'!$A$88,'Données projet'!$B$88,BD41+BC42-BL41)))</f>
        <v>220.5</v>
      </c>
      <c r="BE42" s="13">
        <f>BD42*VLOOKUP('Données projet'!$B$11,Paramètres!$A$1:$I$89,3,0)*VLOOKUP('Données projet'!$B$11,Paramètres!$A$1:$I$89,5,0)</f>
        <v>137.59199999999998</v>
      </c>
      <c r="BF42" s="13">
        <f t="shared" si="37"/>
        <v>35.744810729505772</v>
      </c>
      <c r="BG42" s="20">
        <f t="shared" si="7"/>
        <v>301.89494535388923</v>
      </c>
      <c r="BH42" s="59">
        <f t="shared" si="8"/>
        <v>595.22827868722254</v>
      </c>
      <c r="BI42" s="59">
        <f ca="1">AVERAGE(OFFSET($BH$3,0,0,'Données projet'!$E$11+1,1))-AVERAGE(OFFSET($H$3,0,0,'Données projet'!$E$11+1,1))</f>
        <v>219.86035935827329</v>
      </c>
      <c r="BJ42" s="59">
        <f t="shared" si="38"/>
        <v>322.75312534885239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43.221151926970009</v>
      </c>
      <c r="BQ42" s="21">
        <f>EXP(-LN(2)/25)*BQ41+(1-EXP(-LN(2)/25))/(LN(2)/25)*Calculateur!BL42*Calculateur!BN42*VLOOKUP('Données projet'!$B$11,Paramètres!$A$1:$I$89,3,0)*0.475*44/12</f>
        <v>17.232152272890836</v>
      </c>
      <c r="BR42" s="21">
        <f>EXP(-LN(2)/2)*BR41+(1-EXP(-LN(2)/2))/(LN(2)/2)*BL42*BO42*VLOOKUP('Données projet'!$B$11,Paramètres!$A$1:$I$89,3,0)*0.475*44/12</f>
        <v>2.2977431529889074</v>
      </c>
      <c r="BS42" s="22">
        <f t="shared" si="9"/>
        <v>62.751047352849753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13.2</v>
      </c>
      <c r="BY42" s="12">
        <f>IF('Données projet'!$A$114&gt;35,BY41+BX42-CG41,IF(A42&lt;'Données projet'!$A$114,$BV$205^A42,IF(A42='Données projet'!$A$114,'Données projet'!$B$114,BY41+BX42-CG41)))</f>
        <v>249.79999999999995</v>
      </c>
      <c r="BZ42" s="13">
        <f>BY42*VLOOKUP('Données projet'!$B$12,Paramètres!$A$1:$I$89,3,0)*VLOOKUP('Données projet'!$B$12,Paramètres!$A$1:$I$89,5,0)</f>
        <v>198.74087999999998</v>
      </c>
      <c r="CA42" s="13">
        <f t="shared" si="39"/>
        <v>49.467349630825638</v>
      </c>
      <c r="CB42" s="20">
        <f t="shared" si="10"/>
        <v>432.29599994035453</v>
      </c>
      <c r="CC42" s="59">
        <f t="shared" si="11"/>
        <v>725.62933327368785</v>
      </c>
      <c r="CD42" s="59">
        <f ca="1">AVERAGE(OFFSET($CC$3,0,0,'Données projet'!$E$12+1,1))-AVERAGE(OFFSET($H$3,0,0,'Données projet'!$E$12+1,1))</f>
        <v>378.47278187128137</v>
      </c>
      <c r="CE42" s="59">
        <f t="shared" si="40"/>
        <v>372.59407061242604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11.544000000000006</v>
      </c>
      <c r="D43" s="11">
        <f t="shared" si="32"/>
        <v>4.0017514182509037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60.001145824828065</v>
      </c>
      <c r="H43" s="67">
        <f t="shared" si="1"/>
        <v>283.74218372012035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19.571428571428573</v>
      </c>
      <c r="N43" s="13">
        <f>IF('Données projet'!$A$36&gt;35,N42+M43-V42,IF(A43&lt;'Données projet'!$A$36,$K$205^A43,IF(A43='Données projet'!$A$36,'Données projet'!$B$36,N42+M43-V42)))</f>
        <v>379.85714285714266</v>
      </c>
      <c r="O43" s="13">
        <f>N43*VLOOKUP('Données projet'!$B$9,Paramètres!$A$1:$I$89,3,0)*VLOOKUP('Données projet'!$B$9,Paramètres!$A$1:$I$89,5,0)</f>
        <v>212.34014285714278</v>
      </c>
      <c r="P43" s="13">
        <f t="shared" si="33"/>
        <v>52.446635499473253</v>
      </c>
      <c r="Q43" s="20">
        <f t="shared" si="53"/>
        <v>461.17030563777286</v>
      </c>
      <c r="R43" s="59">
        <f t="shared" si="0"/>
        <v>754.50363897110617</v>
      </c>
      <c r="S43" s="59">
        <f ca="1">AVERAGE(OFFSET($R$3,0,0,'Données projet'!$E$9+1,1))-AVERAGE(OFFSET($H$3,0,0,'Données projet'!$E$9+1,1))</f>
        <v>347.01106511825213</v>
      </c>
      <c r="T43" s="59">
        <f t="shared" si="34"/>
        <v>329.53392323581539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0</v>
      </c>
      <c r="AA43" s="21">
        <f>EXP(-LN(2)/25)*AA42+(1-EXP(-LN(2)/25))/(LN(2)/25)*Calculateur!V43*Calculateur!X43*VLOOKUP('Données projet'!$B$9,Paramètres!$A$1:$I$89,3,0)*0.475*44/12</f>
        <v>26.674971807753444</v>
      </c>
      <c r="AB43" s="21">
        <f>EXP(-LN(2)/2)*AB42+(1-EXP(-LN(2)/2))/(LN(2)/2)*V43*Y43*VLOOKUP('Données projet'!$B$9,Paramètres!$A$1:$I$89,3,0)*0.475*44/12</f>
        <v>3.5202128407960451</v>
      </c>
      <c r="AC43" s="22">
        <f t="shared" si="3"/>
        <v>30.195184648549489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2</v>
      </c>
      <c r="AI43" s="13">
        <f>IF('Données projet'!$A$62&gt;35,AI42+AH43-AQ42,IF(A43&lt;'Données projet'!$A$62,$AF$205^A43,IF(A43='Données projet'!$A$62,'Données projet'!$B$62,AI42+AH43-AQ42)))</f>
        <v>80</v>
      </c>
      <c r="AJ43" s="13">
        <f>AI43*VLOOKUP('Données projet'!$B$10,Paramètres!$A$1:$I$89,3,0)*VLOOKUP('Données projet'!$B$10,Paramètres!$A$1:$I$89,5,0)</f>
        <v>72.384</v>
      </c>
      <c r="AK43" s="13">
        <f t="shared" si="35"/>
        <v>20.264329923804397</v>
      </c>
      <c r="AL43" s="20">
        <f t="shared" si="4"/>
        <v>161.362507950626</v>
      </c>
      <c r="AM43" s="59">
        <f t="shared" si="5"/>
        <v>454.69584128395934</v>
      </c>
      <c r="AN43" s="59">
        <f ca="1">AVERAGE(OFFSET($AM$3,0,0,'Données projet'!$E$10+1,1))-AVERAGE(OFFSET($H$3,0,0,'Données projet'!$E$10+1,1))</f>
        <v>209.32570518924194</v>
      </c>
      <c r="AO43" s="59">
        <f t="shared" si="36"/>
        <v>138.10530102720475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0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11.5</v>
      </c>
      <c r="BD43" s="12">
        <f>IF('Données projet'!$A$88&gt;35,BD42+BC43-BL42,IF(A43&lt;'Données projet'!$A$88,$BA$205^A43,IF(A43='Données projet'!$A$88,'Données projet'!$B$88,BD42+BC43-BL42)))</f>
        <v>232</v>
      </c>
      <c r="BE43" s="13">
        <f>BD43*VLOOKUP('Données projet'!$B$11,Paramètres!$A$1:$I$89,3,0)*VLOOKUP('Données projet'!$B$11,Paramètres!$A$1:$I$89,5,0)</f>
        <v>144.768</v>
      </c>
      <c r="BF43" s="13">
        <f t="shared" si="37"/>
        <v>37.387149255707826</v>
      </c>
      <c r="BG43" s="20">
        <f t="shared" si="7"/>
        <v>317.25355162035777</v>
      </c>
      <c r="BH43" s="59">
        <f t="shared" si="8"/>
        <v>610.58688495369108</v>
      </c>
      <c r="BI43" s="59">
        <f ca="1">AVERAGE(OFFSET($BH$3,0,0,'Données projet'!$E$11+1,1))-AVERAGE(OFFSET($H$3,0,0,'Données projet'!$E$11+1,1))</f>
        <v>219.86035935827329</v>
      </c>
      <c r="BJ43" s="59">
        <f t="shared" si="38"/>
        <v>322.75312534885239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42.373611499981742</v>
      </c>
      <c r="BQ43" s="21">
        <f>EXP(-LN(2)/25)*BQ42+(1-EXP(-LN(2)/25))/(LN(2)/25)*Calculateur!BL43*Calculateur!BN43*VLOOKUP('Données projet'!$B$11,Paramètres!$A$1:$I$89,3,0)*0.475*44/12</f>
        <v>16.760938162789135</v>
      </c>
      <c r="BR43" s="21">
        <f>EXP(-LN(2)/2)*BR42+(1-EXP(-LN(2)/2))/(LN(2)/2)*BL43*BO43*VLOOKUP('Données projet'!$B$11,Paramètres!$A$1:$I$89,3,0)*0.475*44/12</f>
        <v>1.6247497649034153</v>
      </c>
      <c r="BS43" s="22">
        <f t="shared" si="9"/>
        <v>60.759299427674293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263</v>
      </c>
      <c r="BW43" s="12">
        <f>VLOOKUP(A43,'Données projet'!$A$113:$I$133,9,0)</f>
        <v>13.2</v>
      </c>
      <c r="BX43" s="12">
        <f t="array" ref="BX43">INDEX(BW:BW,MIN(IF(ISNUMBER(BW43:BW239),ROW(BW43:BW239),"")))</f>
        <v>13.2</v>
      </c>
      <c r="BY43" s="12">
        <f>IF('Données projet'!$A$114&gt;35,BY42+BX43-CG42,IF(A43&lt;'Données projet'!$A$114,$BV$205^A43,IF(A43='Données projet'!$A$114,'Données projet'!$B$114,BY42+BX43-CG42)))</f>
        <v>262.99999999999994</v>
      </c>
      <c r="BZ43" s="13">
        <f>BY43*VLOOKUP('Données projet'!$B$12,Paramètres!$A$1:$I$89,3,0)*VLOOKUP('Données projet'!$B$12,Paramètres!$A$1:$I$89,5,0)</f>
        <v>209.24279999999996</v>
      </c>
      <c r="CA43" s="13">
        <f t="shared" si="39"/>
        <v>51.770083677016814</v>
      </c>
      <c r="CB43" s="20">
        <f t="shared" si="10"/>
        <v>454.59743907080411</v>
      </c>
      <c r="CC43" s="59">
        <f t="shared" si="11"/>
        <v>747.93077240413743</v>
      </c>
      <c r="CD43" s="59">
        <f ca="1">AVERAGE(OFFSET($CC$3,0,0,'Données projet'!$E$12+1,1))-AVERAGE(OFFSET($H$3,0,0,'Données projet'!$E$12+1,1))</f>
        <v>378.47278187128137</v>
      </c>
      <c r="CE43" s="59">
        <f t="shared" si="40"/>
        <v>372.59407061242604</v>
      </c>
      <c r="CF43" s="15">
        <f>IF(ISNA(VLOOKUP(A43,'Données projet'!$A$113:$I$133,3,0)),0,VLOOKUP(A43,'Données projet'!$A$113:$I$133,3,0))</f>
        <v>4</v>
      </c>
      <c r="CG43" s="15">
        <f>IF(ISNA(VLOOKUP(A43,'Données projet'!$A$113:$I$133,4,0)),0,VLOOKUP(A43,'Données projet'!$A$113:$I$133,4,0))</f>
        <v>40</v>
      </c>
      <c r="CH43" s="16">
        <f>IF(ISNA(VLOOKUP(A43,'Données projet'!$A$113:$I$133,5,0)),0%,VLOOKUP(A43,'Données projet'!$A$113:$I$133,5,0)*VLOOKUP('Données projet'!$B$12,Paramètres!$A$1:$I$89,7,0))</f>
        <v>0.13250000000000001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4.6614148399690007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4.6614148399690007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11.832600000000006</v>
      </c>
      <c r="D44" s="11">
        <f t="shared" si="32"/>
        <v>4.0900226679979204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61.455736613325335</v>
      </c>
      <c r="H44" s="67">
        <f t="shared" si="1"/>
        <v>284.39856781342974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19.571428571428573</v>
      </c>
      <c r="N44" s="13">
        <f>IF('Données projet'!$A$36&gt;35,N43+M44-V43,IF(A44&lt;'Données projet'!$A$36,$K$205^A44,IF(A44='Données projet'!$A$36,'Données projet'!$B$36,N43+M44-V43)))</f>
        <v>399.42857142857122</v>
      </c>
      <c r="O44" s="13">
        <f>N44*VLOOKUP('Données projet'!$B$9,Paramètres!$A$1:$I$89,3,0)*VLOOKUP('Données projet'!$B$9,Paramètres!$A$1:$I$89,5,0)</f>
        <v>223.28057142857133</v>
      </c>
      <c r="P44" s="13">
        <f t="shared" si="33"/>
        <v>54.827286320639246</v>
      </c>
      <c r="Q44" s="20">
        <f t="shared" si="53"/>
        <v>484.37118557987498</v>
      </c>
      <c r="R44" s="59">
        <f t="shared" si="0"/>
        <v>777.70451891320829</v>
      </c>
      <c r="S44" s="59">
        <f ca="1">AVERAGE(OFFSET($R$3,0,0,'Données projet'!$E$9+1,1))-AVERAGE(OFFSET($H$3,0,0,'Données projet'!$E$9+1,1))</f>
        <v>347.01106511825213</v>
      </c>
      <c r="T44" s="59">
        <f t="shared" si="34"/>
        <v>329.53392323581539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0</v>
      </c>
      <c r="AA44" s="21">
        <f>EXP(-LN(2)/25)*AA43+(1-EXP(-LN(2)/25))/(LN(2)/25)*Calculateur!V44*Calculateur!X44*VLOOKUP('Données projet'!$B$9,Paramètres!$A$1:$I$89,3,0)*0.475*44/12</f>
        <v>25.945543300894624</v>
      </c>
      <c r="AB44" s="21">
        <f>EXP(-LN(2)/2)*AB43+(1-EXP(-LN(2)/2))/(LN(2)/2)*V44*Y44*VLOOKUP('Données projet'!$B$9,Paramètres!$A$1:$I$89,3,0)*0.475*44/12</f>
        <v>2.4891663709468439</v>
      </c>
      <c r="AC44" s="22">
        <f t="shared" si="3"/>
        <v>28.434709671841468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</v>
      </c>
      <c r="AI44" s="13">
        <f>IF('Données projet'!$A$62&gt;35,AI43+AH44-AQ43,IF(A44&lt;'Données projet'!$A$62,$AF$205^A44,IF(A44='Données projet'!$A$62,'Données projet'!$B$62,AI43+AH44-AQ43)))</f>
        <v>82</v>
      </c>
      <c r="AJ44" s="13">
        <f>AI44*VLOOKUP('Données projet'!$B$10,Paramètres!$A$1:$I$89,3,0)*VLOOKUP('Données projet'!$B$10,Paramètres!$A$1:$I$89,5,0)</f>
        <v>74.193599999999989</v>
      </c>
      <c r="AK44" s="13">
        <f t="shared" si="35"/>
        <v>20.711323637482362</v>
      </c>
      <c r="AL44" s="20">
        <f t="shared" si="4"/>
        <v>165.29274200194843</v>
      </c>
      <c r="AM44" s="59">
        <f t="shared" si="5"/>
        <v>458.62607533528171</v>
      </c>
      <c r="AN44" s="59">
        <f ca="1">AVERAGE(OFFSET($AM$3,0,0,'Données projet'!$E$10+1,1))-AVERAGE(OFFSET($H$3,0,0,'Données projet'!$E$10+1,1))</f>
        <v>209.32570518924194</v>
      </c>
      <c r="AO44" s="59">
        <f t="shared" si="36"/>
        <v>138.10530102720475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0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11.5</v>
      </c>
      <c r="BD44" s="12">
        <f>IF('Données projet'!$A$88&gt;35,BD43+BC44-BL43,IF(A44&lt;'Données projet'!$A$88,$BA$205^A44,IF(A44='Données projet'!$A$88,'Données projet'!$B$88,BD43+BC44-BL43)))</f>
        <v>243.5</v>
      </c>
      <c r="BE44" s="13">
        <f>BD44*VLOOKUP('Données projet'!$B$11,Paramètres!$A$1:$I$89,3,0)*VLOOKUP('Données projet'!$B$11,Paramètres!$A$1:$I$89,5,0)</f>
        <v>151.94399999999999</v>
      </c>
      <c r="BF44" s="13">
        <f t="shared" si="37"/>
        <v>39.02003496976517</v>
      </c>
      <c r="BG44" s="20">
        <f t="shared" si="7"/>
        <v>332.59569423900763</v>
      </c>
      <c r="BH44" s="59">
        <f t="shared" si="8"/>
        <v>625.92902757234094</v>
      </c>
      <c r="BI44" s="59">
        <f ca="1">AVERAGE(OFFSET($BH$3,0,0,'Données projet'!$E$11+1,1))-AVERAGE(OFFSET($H$3,0,0,'Données projet'!$E$11+1,1))</f>
        <v>219.86035935827329</v>
      </c>
      <c r="BJ44" s="59">
        <f t="shared" si="38"/>
        <v>322.75312534885239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41.542690823818099</v>
      </c>
      <c r="BQ44" s="21">
        <f>EXP(-LN(2)/25)*BQ43+(1-EXP(-LN(2)/25))/(LN(2)/25)*Calculateur!BL44*Calculateur!BN44*VLOOKUP('Données projet'!$B$11,Paramètres!$A$1:$I$89,3,0)*0.475*44/12</f>
        <v>16.302609427308234</v>
      </c>
      <c r="BR44" s="21">
        <f>EXP(-LN(2)/2)*BR43+(1-EXP(-LN(2)/2))/(LN(2)/2)*BL44*BO44*VLOOKUP('Données projet'!$B$11,Paramètres!$A$1:$I$89,3,0)*0.475*44/12</f>
        <v>1.1488715764944539</v>
      </c>
      <c r="BS44" s="22">
        <f t="shared" si="9"/>
        <v>58.994171827620789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11.4</v>
      </c>
      <c r="BY44" s="12">
        <f>IF('Données projet'!$A$114&gt;35,BY43+BX44-CG43,IF(A44&lt;'Données projet'!$A$114,$BV$205^A44,IF(A44='Données projet'!$A$114,'Données projet'!$B$114,BY43+BX44-CG43)))</f>
        <v>234.39999999999992</v>
      </c>
      <c r="BZ44" s="13">
        <f>BY44*VLOOKUP('Données projet'!$B$12,Paramètres!$A$1:$I$89,3,0)*VLOOKUP('Données projet'!$B$12,Paramètres!$A$1:$I$89,5,0)</f>
        <v>186.48863999999995</v>
      </c>
      <c r="CA44" s="13">
        <f t="shared" si="39"/>
        <v>46.762800221578807</v>
      </c>
      <c r="CB44" s="20">
        <f t="shared" si="10"/>
        <v>406.24625838591629</v>
      </c>
      <c r="CC44" s="59">
        <f t="shared" si="11"/>
        <v>699.57959171924961</v>
      </c>
      <c r="CD44" s="59">
        <f ca="1">AVERAGE(OFFSET($CC$3,0,0,'Données projet'!$E$12+1,1))-AVERAGE(OFFSET($H$3,0,0,'Données projet'!$E$12+1,1))</f>
        <v>378.47278187128137</v>
      </c>
      <c r="CE44" s="59">
        <f t="shared" si="40"/>
        <v>372.59407061242604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4.5700073381395203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4.5700073381395203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12.121200000000007</v>
      </c>
      <c r="D45" s="11">
        <f t="shared" si="32"/>
        <v>4.1780436426884888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62.909361427920508</v>
      </c>
      <c r="H45" s="67">
        <f t="shared" si="1"/>
        <v>285.05451601101583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>
        <f>VLOOKUP(A45,'Données projet'!$A$35:$I$55,2,0)</f>
        <v>419</v>
      </c>
      <c r="L45" s="12">
        <f>VLOOKUP(A45,'Données projet'!$A$35:$I$55,9,0)</f>
        <v>19.571428571428573</v>
      </c>
      <c r="M45" s="12">
        <f t="array" ref="M45">INDEX(L:L,MIN(IF(ISNUMBER(L45:L241),ROW(L45:L241),"")))</f>
        <v>19.571428571428573</v>
      </c>
      <c r="N45" s="13">
        <f>IF('Données projet'!$A$36&gt;35,N44+M45-V44,IF(A45&lt;'Données projet'!$A$36,$K$205^A45,IF(A45='Données projet'!$A$36,'Données projet'!$B$36,N44+M45-V44)))</f>
        <v>418.99999999999977</v>
      </c>
      <c r="O45" s="13">
        <f>N45*VLOOKUP('Données projet'!$B$9,Paramètres!$A$1:$I$89,3,0)*VLOOKUP('Données projet'!$B$9,Paramètres!$A$1:$I$89,5,0)</f>
        <v>234.22099999999989</v>
      </c>
      <c r="P45" s="13">
        <f t="shared" si="33"/>
        <v>57.194392182630075</v>
      </c>
      <c r="Q45" s="20">
        <f t="shared" si="53"/>
        <v>507.54847471808051</v>
      </c>
      <c r="R45" s="59">
        <f t="shared" si="0"/>
        <v>800.88180805141383</v>
      </c>
      <c r="S45" s="59">
        <f ca="1">AVERAGE(OFFSET($R$3,0,0,'Données projet'!$E$9+1,1))-AVERAGE(OFFSET($H$3,0,0,'Données projet'!$E$9+1,1))</f>
        <v>347.01106511825213</v>
      </c>
      <c r="T45" s="59">
        <f t="shared" si="34"/>
        <v>329.53392323581539</v>
      </c>
      <c r="U45" s="15">
        <f>IF(ISNA(VLOOKUP(A45,'Données projet'!$A$35:$I$55,3,0)),0,VLOOKUP(A45,'Données projet'!$A$35:$I$55,3,0))</f>
        <v>3</v>
      </c>
      <c r="V45" s="15">
        <f>IF(ISNA(VLOOKUP(A45,'Données projet'!$A$35:$I$55,4,0)),0,VLOOKUP(A45,'Données projet'!$A$35:$I$55,4,0))</f>
        <v>77</v>
      </c>
      <c r="W45" s="16">
        <f>IF(ISNA(VLOOKUP(A45,'Données projet'!$A$35:$I$55,5,0)),0%,VLOOKUP(A45,'Données projet'!$A$35:$I$55,5,0)*VLOOKUP('Données projet'!$B$9,Paramètres!$A$1:$I$89,7,0))</f>
        <v>0.11000000000000001</v>
      </c>
      <c r="X45" s="16">
        <f>IF(ISNA(VLOOKUP(A45,'Données projet'!$A$35:$I$55,6,0)),0%,VLOOKUP(A45,'Données projet'!$A$35:$I$55,6,0)*VLOOKUP('Données projet'!$B$9,Paramètres!$A$1:$I$89,7,0))</f>
        <v>0.22000000000000003</v>
      </c>
      <c r="Y45" s="16">
        <f>IF(ISNA(VLOOKUP(A45,'Données projet'!$A$35:$I$55,7,0)),0%,VLOOKUP(A45,'Données projet'!$A$35:$I$55,7,0))</f>
        <v>0.4</v>
      </c>
      <c r="Z45" s="21">
        <f>EXP(-LN(2)/35)*Z44+(1-EXP(-LN(2)/35))/(LN(2)/35)*V45*W45*VLOOKUP('Données projet'!$B$9,Paramètres!$A$1:$I$89,3,0)*0.475*44/12</f>
        <v>6.280924524103253</v>
      </c>
      <c r="AA45" s="21">
        <f>EXP(-LN(2)/25)*AA44+(1-EXP(-LN(2)/25))/(LN(2)/25)*Calculateur!V45*Calculateur!X45*VLOOKUP('Données projet'!$B$9,Paramètres!$A$1:$I$89,3,0)*0.475*44/12</f>
        <v>37.748449316978821</v>
      </c>
      <c r="AB45" s="21">
        <f>EXP(-LN(2)/2)*AB44+(1-EXP(-LN(2)/2))/(LN(2)/2)*V45*Y45*VLOOKUP('Données projet'!$B$9,Paramètres!$A$1:$I$89,3,0)*0.475*44/12</f>
        <v>21.253976333370687</v>
      </c>
      <c r="AC45" s="22">
        <f t="shared" si="3"/>
        <v>65.283350174452764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</v>
      </c>
      <c r="AI45" s="13">
        <f>IF('Données projet'!$A$62&gt;35,AI44+AH45-AQ44,IF(A45&lt;'Données projet'!$A$62,$AF$205^A45,IF(A45='Données projet'!$A$62,'Données projet'!$B$62,AI44+AH45-AQ44)))</f>
        <v>84</v>
      </c>
      <c r="AJ45" s="13">
        <f>AI45*VLOOKUP('Données projet'!$B$10,Paramètres!$A$1:$I$89,3,0)*VLOOKUP('Données projet'!$B$10,Paramètres!$A$1:$I$89,5,0)</f>
        <v>76.003200000000007</v>
      </c>
      <c r="AK45" s="13">
        <f t="shared" si="35"/>
        <v>21.157049992000456</v>
      </c>
      <c r="AL45" s="20">
        <f t="shared" si="4"/>
        <v>169.22076873606747</v>
      </c>
      <c r="AM45" s="59">
        <f t="shared" si="5"/>
        <v>462.55410206940076</v>
      </c>
      <c r="AN45" s="59">
        <f ca="1">AVERAGE(OFFSET($AM$3,0,0,'Données projet'!$E$10+1,1))-AVERAGE(OFFSET($H$3,0,0,'Données projet'!$E$10+1,1))</f>
        <v>209.32570518924194</v>
      </c>
      <c r="AO45" s="59">
        <f t="shared" si="36"/>
        <v>138.10530102720475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0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>
        <f>VLOOKUP(A45,'Données projet'!$A$87:$I$107,2,0)</f>
        <v>255</v>
      </c>
      <c r="BB45" s="12">
        <f>VLOOKUP(A45,'Données projet'!$A$87:$I$107,9,0)</f>
        <v>11.5</v>
      </c>
      <c r="BC45" s="12">
        <f t="array" ref="BC45">INDEX(BB:BB,MIN(IF(ISNUMBER(BB45:BB241),ROW(BB45:BB241),"")))</f>
        <v>11.5</v>
      </c>
      <c r="BD45" s="12">
        <f>IF('Données projet'!$A$88&gt;35,BD44+BC45-BL44,IF(A45&lt;'Données projet'!$A$88,$BA$205^A45,IF(A45='Données projet'!$A$88,'Données projet'!$B$88,BD44+BC45-BL44)))</f>
        <v>255</v>
      </c>
      <c r="BE45" s="13">
        <f>BD45*VLOOKUP('Données projet'!$B$11,Paramètres!$A$1:$I$89,3,0)*VLOOKUP('Données projet'!$B$11,Paramètres!$A$1:$I$89,5,0)</f>
        <v>159.12</v>
      </c>
      <c r="BF45" s="13">
        <f t="shared" si="37"/>
        <v>40.643965284387697</v>
      </c>
      <c r="BG45" s="20">
        <f t="shared" si="7"/>
        <v>347.92223953697521</v>
      </c>
      <c r="BH45" s="59">
        <f t="shared" si="8"/>
        <v>641.25557287030847</v>
      </c>
      <c r="BI45" s="59">
        <f ca="1">AVERAGE(OFFSET($BH$3,0,0,'Données projet'!$E$11+1,1))-AVERAGE(OFFSET($H$3,0,0,'Données projet'!$E$11+1,1))</f>
        <v>219.86035935827329</v>
      </c>
      <c r="BJ45" s="59">
        <f t="shared" si="38"/>
        <v>322.75312534885239</v>
      </c>
      <c r="BK45" s="15">
        <f>IF(ISNA(VLOOKUP(A45,'Données projet'!$A$87:$I$107,3,0)),0,VLOOKUP(A45,'Données projet'!$A$87:$I$107,3,0))</f>
        <v>6</v>
      </c>
      <c r="BL45" s="15">
        <f>IF(ISNA(VLOOKUP(A45,'Données projet'!$A$87:$I$107,4,0)),0,VLOOKUP(A45,'Données projet'!$A$87:$I$107,4,0))</f>
        <v>67</v>
      </c>
      <c r="BM45" s="16">
        <f>IF(ISNA(VLOOKUP(A45,'Données projet'!$A$87:$I$107,5,0)),0%,VLOOKUP(A45,'Données projet'!$A$87:$I$107,5,0)*VLOOKUP('Données projet'!$B$11,Paramètres!$A$1:$I$89,7,0))</f>
        <v>0.42</v>
      </c>
      <c r="BN45" s="16">
        <f>IF(ISNA(VLOOKUP(A45,'Données projet'!$A$87:$I$107,6,0)),0%,VLOOKUP(A45,'Données projet'!$A$87:$I$107,6,0)*VLOOKUP('Données projet'!$B$11,Paramètres!$A$1:$I$89,7,0))</f>
        <v>0.1008</v>
      </c>
      <c r="BO45" s="16">
        <f>IF(ISNA(VLOOKUP(A45,'Données projet'!$A$87:$I$107,7,0)),0%,VLOOKUP(A45,'Données projet'!$A$87:$I$107,7,0))</f>
        <v>0.13200000000000001</v>
      </c>
      <c r="BP45" s="21">
        <f>EXP(-LN(2)/35)*BP44+(1-EXP(-LN(2)/35))/(LN(2)/35)*BL45*BM45*VLOOKUP('Données projet'!$B$11,Paramètres!$A$1:$I$89,3,0)*0.475*44/12</f>
        <v>64.021686831569298</v>
      </c>
      <c r="BQ45" s="21">
        <f>EXP(-LN(2)/25)*BQ44+(1-EXP(-LN(2)/25))/(LN(2)/25)*Calculateur!BL45*Calculateur!BN45*VLOOKUP('Données projet'!$B$11,Paramètres!$A$1:$I$89,3,0)*0.475*44/12</f>
        <v>21.425271387424161</v>
      </c>
      <c r="BR45" s="21">
        <f>EXP(-LN(2)/2)*BR44+(1-EXP(-LN(2)/2))/(LN(2)/2)*BL45*BO45*VLOOKUP('Données projet'!$B$11,Paramètres!$A$1:$I$89,3,0)*0.475*44/12</f>
        <v>7.0607754445899236</v>
      </c>
      <c r="BS45" s="22">
        <f t="shared" si="9"/>
        <v>92.50773366358338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11.4</v>
      </c>
      <c r="BY45" s="12">
        <f>IF('Données projet'!$A$114&gt;35,BY44+BX45-CG44,IF(A45&lt;'Données projet'!$A$114,$BV$205^A45,IF(A45='Données projet'!$A$114,'Données projet'!$B$114,BY44+BX45-CG44)))</f>
        <v>245.79999999999993</v>
      </c>
      <c r="BZ45" s="13">
        <f>BY45*VLOOKUP('Données projet'!$B$12,Paramètres!$A$1:$I$89,3,0)*VLOOKUP('Données projet'!$B$12,Paramètres!$A$1:$I$89,5,0)</f>
        <v>195.55847999999995</v>
      </c>
      <c r="CA45" s="13">
        <f t="shared" si="39"/>
        <v>48.766783903364477</v>
      </c>
      <c r="CB45" s="20">
        <f t="shared" si="10"/>
        <v>425.53316796502639</v>
      </c>
      <c r="CC45" s="59">
        <f t="shared" si="11"/>
        <v>718.86650129835971</v>
      </c>
      <c r="CD45" s="59">
        <f ca="1">AVERAGE(OFFSET($CC$3,0,0,'Données projet'!$E$12+1,1))-AVERAGE(OFFSET($H$3,0,0,'Données projet'!$E$12+1,1))</f>
        <v>378.47278187128137</v>
      </c>
      <c r="CE45" s="59">
        <f t="shared" si="40"/>
        <v>372.59407061242604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4.4803922816678448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4.4803922816678448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12.409800000000008</v>
      </c>
      <c r="D46" s="11">
        <f t="shared" si="32"/>
        <v>4.2658209869312778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64.362045914471636</v>
      </c>
      <c r="H46" s="67">
        <f t="shared" si="1"/>
        <v>285.71003988557203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18.714285714285715</v>
      </c>
      <c r="N46" s="13">
        <f>IF('Données projet'!$A$36&gt;35,N45+M46-V45,IF(A46&lt;'Données projet'!$A$36,$K$205^A46,IF(A46='Données projet'!$A$36,'Données projet'!$B$36,N45+M46-V45)))</f>
        <v>360.7142857142855</v>
      </c>
      <c r="O46" s="13">
        <f>N46*VLOOKUP('Données projet'!$B$9,Paramètres!$A$1:$I$89,3,0)*VLOOKUP('Données projet'!$B$9,Paramètres!$A$1:$I$89,5,0)</f>
        <v>201.63928571428559</v>
      </c>
      <c r="P46" s="13">
        <f t="shared" si="33"/>
        <v>50.104261772905943</v>
      </c>
      <c r="Q46" s="20">
        <f t="shared" si="53"/>
        <v>438.45334520685856</v>
      </c>
      <c r="R46" s="59">
        <f t="shared" si="0"/>
        <v>731.78667854019182</v>
      </c>
      <c r="S46" s="59">
        <f ca="1">AVERAGE(OFFSET($R$3,0,0,'Données projet'!$E$9+1,1))-AVERAGE(OFFSET($H$3,0,0,'Données projet'!$E$9+1,1))</f>
        <v>347.01106511825213</v>
      </c>
      <c r="T46" s="59">
        <f t="shared" si="34"/>
        <v>329.53392323581539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6.1577594251712693</v>
      </c>
      <c r="AA46" s="21">
        <f>EXP(-LN(2)/25)*AA45+(1-EXP(-LN(2)/25))/(LN(2)/25)*Calculateur!V46*Calculateur!X46*VLOOKUP('Données projet'!$B$9,Paramètres!$A$1:$I$89,3,0)*0.475*44/12</f>
        <v>36.716215985301361</v>
      </c>
      <c r="AB46" s="21">
        <f>EXP(-LN(2)/2)*AB45+(1-EXP(-LN(2)/2))/(LN(2)/2)*V46*Y46*VLOOKUP('Données projet'!$B$9,Paramètres!$A$1:$I$89,3,0)*0.475*44/12</f>
        <v>15.028830792504808</v>
      </c>
      <c r="AC46" s="22">
        <f t="shared" si="3"/>
        <v>57.902806202977438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</v>
      </c>
      <c r="AI46" s="13">
        <f>IF('Données projet'!$A$62&gt;35,AI45+AH46-AQ45,IF(A46&lt;'Données projet'!$A$62,$AF$205^A46,IF(A46='Données projet'!$A$62,'Données projet'!$B$62,AI45+AH46-AQ45)))</f>
        <v>86</v>
      </c>
      <c r="AJ46" s="13">
        <f>AI46*VLOOKUP('Données projet'!$B$10,Paramètres!$A$1:$I$89,3,0)*VLOOKUP('Données projet'!$B$10,Paramètres!$A$1:$I$89,5,0)</f>
        <v>77.812799999999996</v>
      </c>
      <c r="AK46" s="13">
        <f t="shared" si="35"/>
        <v>21.601542634761511</v>
      </c>
      <c r="AL46" s="20">
        <f t="shared" si="4"/>
        <v>173.14664675554295</v>
      </c>
      <c r="AM46" s="59">
        <f t="shared" si="5"/>
        <v>466.47998008887623</v>
      </c>
      <c r="AN46" s="59">
        <f ca="1">AVERAGE(OFFSET($AM$3,0,0,'Données projet'!$E$10+1,1))-AVERAGE(OFFSET($H$3,0,0,'Données projet'!$E$10+1,1))</f>
        <v>209.32570518924194</v>
      </c>
      <c r="AO46" s="59">
        <f t="shared" si="36"/>
        <v>138.10530102720475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0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10.666666666666666</v>
      </c>
      <c r="BD46" s="12">
        <f>IF('Données projet'!$A$88&gt;35,BD45+BC46-BL45,IF(A46&lt;'Données projet'!$A$88,$BA$205^A46,IF(A46='Données projet'!$A$88,'Données projet'!$B$88,BD45+BC46-BL45)))</f>
        <v>198.66666666666669</v>
      </c>
      <c r="BE46" s="13">
        <f>BD46*VLOOKUP('Données projet'!$B$11,Paramètres!$A$1:$I$89,3,0)*VLOOKUP('Données projet'!$B$11,Paramètres!$A$1:$I$89,5,0)</f>
        <v>123.968</v>
      </c>
      <c r="BF46" s="13">
        <f t="shared" si="37"/>
        <v>32.598710622532096</v>
      </c>
      <c r="BG46" s="20">
        <f t="shared" si="7"/>
        <v>272.68702100091008</v>
      </c>
      <c r="BH46" s="59">
        <f t="shared" si="8"/>
        <v>566.02035433424339</v>
      </c>
      <c r="BI46" s="59">
        <f ca="1">AVERAGE(OFFSET($BH$3,0,0,'Données projet'!$E$11+1,1))-AVERAGE(OFFSET($H$3,0,0,'Données projet'!$E$11+1,1))</f>
        <v>219.86035935827329</v>
      </c>
      <c r="BJ46" s="59">
        <f t="shared" si="38"/>
        <v>322.75312534885239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62.766260602175386</v>
      </c>
      <c r="BQ46" s="21">
        <f>EXP(-LN(2)/25)*BQ45+(1-EXP(-LN(2)/25))/(LN(2)/25)*Calculateur!BL46*Calculateur!BN46*VLOOKUP('Données projet'!$B$11,Paramètres!$A$1:$I$89,3,0)*0.475*44/12</f>
        <v>20.839396214628994</v>
      </c>
      <c r="BR46" s="21">
        <f>EXP(-LN(2)/2)*BR45+(1-EXP(-LN(2)/2))/(LN(2)/2)*BL46*BO46*VLOOKUP('Données projet'!$B$11,Paramètres!$A$1:$I$89,3,0)*0.475*44/12</f>
        <v>4.9927221973049951</v>
      </c>
      <c r="BS46" s="22">
        <f t="shared" si="9"/>
        <v>88.598379014109383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11.4</v>
      </c>
      <c r="BY46" s="12">
        <f>IF('Données projet'!$A$114&gt;35,BY45+BX46-CG45,IF(A46&lt;'Données projet'!$A$114,$BV$205^A46,IF(A46='Données projet'!$A$114,'Données projet'!$B$114,BY45+BX46-CG45)))</f>
        <v>257.19999999999993</v>
      </c>
      <c r="BZ46" s="13">
        <f>BY46*VLOOKUP('Données projet'!$B$12,Paramètres!$A$1:$I$89,3,0)*VLOOKUP('Données projet'!$B$12,Paramètres!$A$1:$I$89,5,0)</f>
        <v>204.62831999999995</v>
      </c>
      <c r="CA46" s="13">
        <f t="shared" si="39"/>
        <v>50.759974072251445</v>
      </c>
      <c r="CB46" s="20">
        <f t="shared" si="10"/>
        <v>444.80127884250447</v>
      </c>
      <c r="CC46" s="59">
        <f t="shared" si="11"/>
        <v>738.13461217583779</v>
      </c>
      <c r="CD46" s="59">
        <f ca="1">AVERAGE(OFFSET($CC$3,0,0,'Données projet'!$E$12+1,1))-AVERAGE(OFFSET($H$3,0,0,'Données projet'!$E$12+1,1))</f>
        <v>378.47278187128137</v>
      </c>
      <c r="CE46" s="59">
        <f t="shared" si="40"/>
        <v>372.59407061242604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4.3925345217937917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4.3925345217937917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12.698400000000008</v>
      </c>
      <c r="D47" s="11">
        <f t="shared" si="32"/>
        <v>4.3533610186502019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65.813814457948183</v>
      </c>
      <c r="H47" s="67">
        <f t="shared" si="1"/>
        <v>286.3651504408158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18.714285714285715</v>
      </c>
      <c r="N47" s="13">
        <f>IF('Données projet'!$A$36&gt;35,N46+M47-V46,IF(A47&lt;'Données projet'!$A$36,$K$205^A47,IF(A47='Données projet'!$A$36,'Données projet'!$B$36,N46+M47-V46)))</f>
        <v>379.42857142857122</v>
      </c>
      <c r="O47" s="13">
        <f>N47*VLOOKUP('Données projet'!$B$9,Paramètres!$A$1:$I$89,3,0)*VLOOKUP('Données projet'!$B$9,Paramètres!$A$1:$I$89,5,0)</f>
        <v>212.10057142857133</v>
      </c>
      <c r="P47" s="13">
        <f t="shared" si="33"/>
        <v>52.394347167709434</v>
      </c>
      <c r="Q47" s="20">
        <f t="shared" si="53"/>
        <v>460.66198322185556</v>
      </c>
      <c r="R47" s="59">
        <f t="shared" si="0"/>
        <v>753.99531655518888</v>
      </c>
      <c r="S47" s="59">
        <f ca="1">AVERAGE(OFFSET($R$3,0,0,'Données projet'!$E$9+1,1))-AVERAGE(OFFSET($H$3,0,0,'Données projet'!$E$9+1,1))</f>
        <v>347.01106511825213</v>
      </c>
      <c r="T47" s="59">
        <f t="shared" si="34"/>
        <v>329.53392323581539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6.0370095187060491</v>
      </c>
      <c r="AA47" s="21">
        <f>EXP(-LN(2)/25)*AA46+(1-EXP(-LN(2)/25))/(LN(2)/25)*Calculateur!V47*Calculateur!X47*VLOOKUP('Données projet'!$B$9,Paramètres!$A$1:$I$89,3,0)*0.475*44/12</f>
        <v>35.712209128361415</v>
      </c>
      <c r="AB47" s="21">
        <f>EXP(-LN(2)/2)*AB46+(1-EXP(-LN(2)/2))/(LN(2)/2)*V47*Y47*VLOOKUP('Données projet'!$B$9,Paramètres!$A$1:$I$89,3,0)*0.475*44/12</f>
        <v>10.626988166685345</v>
      </c>
      <c r="AC47" s="22">
        <f t="shared" si="3"/>
        <v>52.376206813752809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</v>
      </c>
      <c r="AI47" s="13">
        <f>IF('Données projet'!$A$62&gt;35,AI46+AH47-AQ46,IF(A47&lt;'Données projet'!$A$62,$AF$205^A47,IF(A47='Données projet'!$A$62,'Données projet'!$B$62,AI46+AH47-AQ46)))</f>
        <v>88</v>
      </c>
      <c r="AJ47" s="13">
        <f>AI47*VLOOKUP('Données projet'!$B$10,Paramètres!$A$1:$I$89,3,0)*VLOOKUP('Données projet'!$B$10,Paramètres!$A$1:$I$89,5,0)</f>
        <v>79.622399999999999</v>
      </c>
      <c r="AK47" s="13">
        <f t="shared" si="35"/>
        <v>22.044833558880924</v>
      </c>
      <c r="AL47" s="20">
        <f t="shared" si="4"/>
        <v>177.07043178171759</v>
      </c>
      <c r="AM47" s="59">
        <f t="shared" si="5"/>
        <v>470.40376511505087</v>
      </c>
      <c r="AN47" s="59">
        <f ca="1">AVERAGE(OFFSET($AM$3,0,0,'Données projet'!$E$10+1,1))-AVERAGE(OFFSET($H$3,0,0,'Données projet'!$E$10+1,1))</f>
        <v>209.32570518924194</v>
      </c>
      <c r="AO47" s="59">
        <f t="shared" si="36"/>
        <v>138.10530102720475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0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10.666666666666666</v>
      </c>
      <c r="BD47" s="12">
        <f>IF('Données projet'!$A$88&gt;35,BD46+BC47-BL46,IF(A47&lt;'Données projet'!$A$88,$BA$205^A47,IF(A47='Données projet'!$A$88,'Données projet'!$B$88,BD46+BC47-BL46)))</f>
        <v>209.33333333333334</v>
      </c>
      <c r="BE47" s="13">
        <f>BD47*VLOOKUP('Données projet'!$B$11,Paramètres!$A$1:$I$89,3,0)*VLOOKUP('Données projet'!$B$11,Paramètres!$A$1:$I$89,5,0)</f>
        <v>130.62400000000002</v>
      </c>
      <c r="BF47" s="13">
        <f t="shared" si="37"/>
        <v>34.140507202645395</v>
      </c>
      <c r="BG47" s="20">
        <f t="shared" si="7"/>
        <v>286.96485004460743</v>
      </c>
      <c r="BH47" s="59">
        <f t="shared" si="8"/>
        <v>580.29818337794075</v>
      </c>
      <c r="BI47" s="59">
        <f ca="1">AVERAGE(OFFSET($BH$3,0,0,'Données projet'!$E$11+1,1))-AVERAGE(OFFSET($H$3,0,0,'Données projet'!$E$11+1,1))</f>
        <v>219.86035935827329</v>
      </c>
      <c r="BJ47" s="59">
        <f t="shared" si="38"/>
        <v>322.75312534885239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61.535452515405495</v>
      </c>
      <c r="BQ47" s="21">
        <f>EXP(-LN(2)/25)*BQ46+(1-EXP(-LN(2)/25))/(LN(2)/25)*Calculateur!BL47*Calculateur!BN47*VLOOKUP('Données projet'!$B$11,Paramètres!$A$1:$I$89,3,0)*0.475*44/12</f>
        <v>20.269541829243746</v>
      </c>
      <c r="BR47" s="21">
        <f>EXP(-LN(2)/2)*BR46+(1-EXP(-LN(2)/2))/(LN(2)/2)*BL47*BO47*VLOOKUP('Données projet'!$B$11,Paramètres!$A$1:$I$89,3,0)*0.475*44/12</f>
        <v>3.5303877222949622</v>
      </c>
      <c r="BS47" s="22">
        <f t="shared" si="9"/>
        <v>85.335382066944206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11.4</v>
      </c>
      <c r="BY47" s="12">
        <f>IF('Données projet'!$A$114&gt;35,BY46+BX47-CG46,IF(A47&lt;'Données projet'!$A$114,$BV$205^A47,IF(A47='Données projet'!$A$114,'Données projet'!$B$114,BY46+BX47-CG46)))</f>
        <v>268.59999999999991</v>
      </c>
      <c r="BZ47" s="13">
        <f>BY47*VLOOKUP('Données projet'!$B$12,Paramètres!$A$1:$I$89,3,0)*VLOOKUP('Données projet'!$B$12,Paramètres!$A$1:$I$89,5,0)</f>
        <v>213.69815999999994</v>
      </c>
      <c r="CA47" s="13">
        <f t="shared" si="39"/>
        <v>52.742903801874164</v>
      </c>
      <c r="CB47" s="20">
        <f t="shared" si="10"/>
        <v>464.05151945493071</v>
      </c>
      <c r="CC47" s="59">
        <f t="shared" si="11"/>
        <v>757.38485278826397</v>
      </c>
      <c r="CD47" s="59">
        <f ca="1">AVERAGE(OFFSET($CC$3,0,0,'Données projet'!$E$12+1,1))-AVERAGE(OFFSET($H$3,0,0,'Données projet'!$E$12+1,1))</f>
        <v>378.47278187128137</v>
      </c>
      <c r="CE47" s="59">
        <f t="shared" si="40"/>
        <v>372.59407061242604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4.3063995990029262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4.3063995990029262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12.987000000000009</v>
      </c>
      <c r="D48" s="11">
        <f t="shared" si="32"/>
        <v>4.4406697522000593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67.2646902716494</v>
      </c>
      <c r="H48" s="67">
        <f t="shared" si="1"/>
        <v>287.01985815174845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18.714285714285715</v>
      </c>
      <c r="N48" s="13">
        <f>IF('Données projet'!$A$36&gt;35,N47+M48-V47,IF(A48&lt;'Données projet'!$A$36,$K$205^A48,IF(A48='Données projet'!$A$36,'Données projet'!$B$36,N47+M48-V47)))</f>
        <v>398.14285714285694</v>
      </c>
      <c r="O48" s="13">
        <f>N48*VLOOKUP('Données projet'!$B$9,Paramètres!$A$1:$I$89,3,0)*VLOOKUP('Données projet'!$B$9,Paramètres!$A$1:$I$89,5,0)</f>
        <v>222.56185714285704</v>
      </c>
      <c r="P48" s="13">
        <f t="shared" si="33"/>
        <v>54.671316974727738</v>
      </c>
      <c r="Q48" s="20">
        <f t="shared" si="53"/>
        <v>482.84777825479341</v>
      </c>
      <c r="R48" s="59">
        <f t="shared" si="0"/>
        <v>776.18111158812667</v>
      </c>
      <c r="S48" s="59">
        <f ca="1">AVERAGE(OFFSET($R$3,0,0,'Données projet'!$E$9+1,1))-AVERAGE(OFFSET($H$3,0,0,'Données projet'!$E$9+1,1))</f>
        <v>347.01106511825213</v>
      </c>
      <c r="T48" s="59">
        <f t="shared" si="34"/>
        <v>329.53392323581539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5.9186274442564413</v>
      </c>
      <c r="AA48" s="21">
        <f>EXP(-LN(2)/25)*AA47+(1-EXP(-LN(2)/25))/(LN(2)/25)*Calculateur!V48*Calculateur!X48*VLOOKUP('Données projet'!$B$9,Paramètres!$A$1:$I$89,3,0)*0.475*44/12</f>
        <v>34.735656891722918</v>
      </c>
      <c r="AB48" s="21">
        <f>EXP(-LN(2)/2)*AB47+(1-EXP(-LN(2)/2))/(LN(2)/2)*V48*Y48*VLOOKUP('Données projet'!$B$9,Paramètres!$A$1:$I$89,3,0)*0.475*44/12</f>
        <v>7.5144153962524047</v>
      </c>
      <c r="AC48" s="22">
        <f t="shared" si="3"/>
        <v>48.168699732231765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2</v>
      </c>
      <c r="AI48" s="13">
        <f>IF('Données projet'!$A$62&gt;35,AI47+AH48-AQ47,IF(A48&lt;'Données projet'!$A$62,$AF$205^A48,IF(A48='Données projet'!$A$62,'Données projet'!$B$62,AI47+AH48-AQ47)))</f>
        <v>90</v>
      </c>
      <c r="AJ48" s="13">
        <f>AI48*VLOOKUP('Données projet'!$B$10,Paramètres!$A$1:$I$89,3,0)*VLOOKUP('Données projet'!$B$10,Paramètres!$A$1:$I$89,5,0)</f>
        <v>81.432000000000002</v>
      </c>
      <c r="AK48" s="13">
        <f t="shared" si="35"/>
        <v>22.486953220240881</v>
      </c>
      <c r="AL48" s="20">
        <f t="shared" si="4"/>
        <v>180.99217685858619</v>
      </c>
      <c r="AM48" s="59">
        <f t="shared" si="5"/>
        <v>474.32551019191953</v>
      </c>
      <c r="AN48" s="59">
        <f ca="1">AVERAGE(OFFSET($AM$3,0,0,'Données projet'!$E$10+1,1))-AVERAGE(OFFSET($H$3,0,0,'Données projet'!$E$10+1,1))</f>
        <v>209.32570518924194</v>
      </c>
      <c r="AO48" s="59">
        <f t="shared" si="36"/>
        <v>138.10530102720475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0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10.666666666666666</v>
      </c>
      <c r="BD48" s="12">
        <f>IF('Données projet'!$A$88&gt;35,BD47+BC48-BL47,IF(A48&lt;'Données projet'!$A$88,$BA$205^A48,IF(A48='Données projet'!$A$88,'Données projet'!$B$88,BD47+BC48-BL47)))</f>
        <v>220</v>
      </c>
      <c r="BE48" s="13">
        <f>BD48*VLOOKUP('Données projet'!$B$11,Paramètres!$A$1:$I$89,3,0)*VLOOKUP('Données projet'!$B$11,Paramètres!$A$1:$I$89,5,0)</f>
        <v>137.28</v>
      </c>
      <c r="BF48" s="13">
        <f t="shared" si="37"/>
        <v>35.673181961873446</v>
      </c>
      <c r="BG48" s="20">
        <f t="shared" si="7"/>
        <v>301.22679191692959</v>
      </c>
      <c r="BH48" s="59">
        <f t="shared" si="8"/>
        <v>594.5601252502629</v>
      </c>
      <c r="BI48" s="59">
        <f ca="1">AVERAGE(OFFSET($BH$3,0,0,'Données projet'!$E$11+1,1))-AVERAGE(OFFSET($H$3,0,0,'Données projet'!$E$11+1,1))</f>
        <v>219.86035935827329</v>
      </c>
      <c r="BJ48" s="59">
        <f t="shared" si="38"/>
        <v>322.75312534885239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60.328779824498362</v>
      </c>
      <c r="BQ48" s="21">
        <f>EXP(-LN(2)/25)*BQ47+(1-EXP(-LN(2)/25))/(LN(2)/25)*Calculateur!BL48*Calculateur!BN48*VLOOKUP('Données projet'!$B$11,Paramètres!$A$1:$I$89,3,0)*0.475*44/12</f>
        <v>19.715270141994196</v>
      </c>
      <c r="BR48" s="21">
        <f>EXP(-LN(2)/2)*BR47+(1-EXP(-LN(2)/2))/(LN(2)/2)*BL48*BO48*VLOOKUP('Données projet'!$B$11,Paramètres!$A$1:$I$89,3,0)*0.475*44/12</f>
        <v>2.496361098652498</v>
      </c>
      <c r="BS48" s="22">
        <f t="shared" si="9"/>
        <v>82.540411065145065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>
        <f>VLOOKUP(A48,'Données projet'!$A$113:$I$133,2,0)</f>
        <v>280</v>
      </c>
      <c r="BW48" s="12">
        <f>VLOOKUP(A48,'Données projet'!$A$113:$I$133,9,0)</f>
        <v>11.4</v>
      </c>
      <c r="BX48" s="12">
        <f t="array" ref="BX48">INDEX(BW:BW,MIN(IF(ISNUMBER(BW48:BW244),ROW(BW48:BW244),"")))</f>
        <v>11.4</v>
      </c>
      <c r="BY48" s="12">
        <f>IF('Données projet'!$A$114&gt;35,BY47+BX48-CG47,IF(A48&lt;'Données projet'!$A$114,$BV$205^A48,IF(A48='Données projet'!$A$114,'Données projet'!$B$114,BY47+BX48-CG47)))</f>
        <v>279.99999999999989</v>
      </c>
      <c r="BZ48" s="13">
        <f>BY48*VLOOKUP('Données projet'!$B$12,Paramètres!$A$1:$I$89,3,0)*VLOOKUP('Données projet'!$B$12,Paramètres!$A$1:$I$89,5,0)</f>
        <v>222.76799999999994</v>
      </c>
      <c r="CA48" s="13">
        <f t="shared" si="39"/>
        <v>54.716058356609508</v>
      </c>
      <c r="CB48" s="20">
        <f t="shared" si="10"/>
        <v>483.28473497109485</v>
      </c>
      <c r="CC48" s="59">
        <f t="shared" si="11"/>
        <v>776.61806830442811</v>
      </c>
      <c r="CD48" s="59">
        <f ca="1">AVERAGE(OFFSET($CC$3,0,0,'Données projet'!$E$12+1,1))-AVERAGE(OFFSET($H$3,0,0,'Données projet'!$E$12+1,1))</f>
        <v>378.47278187128137</v>
      </c>
      <c r="CE48" s="59">
        <f t="shared" si="40"/>
        <v>372.59407061242604</v>
      </c>
      <c r="CF48" s="15">
        <f>IF(ISNA(VLOOKUP(A48,'Données projet'!$A$113:$I$133,3,0)),0,VLOOKUP(A48,'Données projet'!$A$113:$I$133,3,0))</f>
        <v>5</v>
      </c>
      <c r="CG48" s="15">
        <f>IF(ISNA(VLOOKUP(A48,'Données projet'!$A$113:$I$133,4,0)),0,VLOOKUP(A48,'Données projet'!$A$113:$I$133,4,0))</f>
        <v>26</v>
      </c>
      <c r="CH48" s="16">
        <f>IF(ISNA(VLOOKUP(A48,'Données projet'!$A$113:$I$133,5,0)),0%,VLOOKUP(A48,'Données projet'!$A$113:$I$133,5,0)*VLOOKUP('Données projet'!$B$12,Paramètres!$A$1:$I$89,7,0))</f>
        <v>0.159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7.8578573046866955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7.8578573046866955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13.27560000000001</v>
      </c>
      <c r="D49" s="11">
        <f t="shared" si="32"/>
        <v>4.5277529193694557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68.714695478268126</v>
      </c>
      <c r="H49" s="67">
        <f t="shared" si="1"/>
        <v>287.67417300123515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18.714285714285715</v>
      </c>
      <c r="N49" s="13">
        <f>IF('Données projet'!$A$36&gt;35,N48+M49-V48,IF(A49&lt;'Données projet'!$A$36,$K$205^A49,IF(A49='Données projet'!$A$36,'Données projet'!$B$36,N48+M49-V48)))</f>
        <v>416.85714285714266</v>
      </c>
      <c r="O49" s="13">
        <f>N49*VLOOKUP('Données projet'!$B$9,Paramètres!$A$1:$I$89,3,0)*VLOOKUP('Données projet'!$B$9,Paramètres!$A$1:$I$89,5,0)</f>
        <v>233.02314285714277</v>
      </c>
      <c r="P49" s="13">
        <f t="shared" si="33"/>
        <v>56.935858075040223</v>
      </c>
      <c r="Q49" s="20">
        <f t="shared" si="53"/>
        <v>505.01192662355203</v>
      </c>
      <c r="R49" s="59">
        <f t="shared" si="0"/>
        <v>798.34525995688534</v>
      </c>
      <c r="S49" s="59">
        <f ca="1">AVERAGE(OFFSET($R$3,0,0,'Données projet'!$E$9+1,1))-AVERAGE(OFFSET($H$3,0,0,'Données projet'!$E$9+1,1))</f>
        <v>347.01106511825213</v>
      </c>
      <c r="T49" s="59">
        <f t="shared" si="34"/>
        <v>329.53392323581539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5.8025667700808548</v>
      </c>
      <c r="AA49" s="21">
        <f>EXP(-LN(2)/25)*AA48+(1-EXP(-LN(2)/25))/(LN(2)/25)*Calculateur!V49*Calculateur!X49*VLOOKUP('Données projet'!$B$9,Paramètres!$A$1:$I$89,3,0)*0.475*44/12</f>
        <v>33.78580852734995</v>
      </c>
      <c r="AB49" s="21">
        <f>EXP(-LN(2)/2)*AB48+(1-EXP(-LN(2)/2))/(LN(2)/2)*V49*Y49*VLOOKUP('Données projet'!$B$9,Paramètres!$A$1:$I$89,3,0)*0.475*44/12</f>
        <v>5.3134940833426736</v>
      </c>
      <c r="AC49" s="22">
        <f t="shared" si="3"/>
        <v>44.901869380773476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</v>
      </c>
      <c r="AI49" s="13">
        <f>IF('Données projet'!$A$62&gt;35,AI48+AH49-AQ48,IF(A49&lt;'Données projet'!$A$62,$AF$205^A49,IF(A49='Données projet'!$A$62,'Données projet'!$B$62,AI48+AH49-AQ48)))</f>
        <v>92</v>
      </c>
      <c r="AJ49" s="13">
        <f>AI49*VLOOKUP('Données projet'!$B$10,Paramètres!$A$1:$I$89,3,0)*VLOOKUP('Données projet'!$B$10,Paramètres!$A$1:$I$89,5,0)</f>
        <v>83.241600000000005</v>
      </c>
      <c r="AK49" s="13">
        <f t="shared" si="35"/>
        <v>22.927930643846508</v>
      </c>
      <c r="AL49" s="20">
        <f t="shared" si="4"/>
        <v>184.91193253803269</v>
      </c>
      <c r="AM49" s="59">
        <f t="shared" si="5"/>
        <v>478.24526587136597</v>
      </c>
      <c r="AN49" s="59">
        <f ca="1">AVERAGE(OFFSET($AM$3,0,0,'Données projet'!$E$10+1,1))-AVERAGE(OFFSET($H$3,0,0,'Données projet'!$E$10+1,1))</f>
        <v>209.32570518924194</v>
      </c>
      <c r="AO49" s="59">
        <f t="shared" si="36"/>
        <v>138.10530102720475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0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10.666666666666666</v>
      </c>
      <c r="BD49" s="12">
        <f>IF('Données projet'!$A$88&gt;35,BD48+BC49-BL48,IF(A49&lt;'Données projet'!$A$88,$BA$205^A49,IF(A49='Données projet'!$A$88,'Données projet'!$B$88,BD48+BC49-BL48)))</f>
        <v>230.66666666666666</v>
      </c>
      <c r="BE49" s="13">
        <f>BD49*VLOOKUP('Données projet'!$B$11,Paramètres!$A$1:$I$89,3,0)*VLOOKUP('Données projet'!$B$11,Paramètres!$A$1:$I$89,5,0)</f>
        <v>143.93599999999998</v>
      </c>
      <c r="BF49" s="13">
        <f t="shared" si="37"/>
        <v>37.197227655019397</v>
      </c>
      <c r="BG49" s="20">
        <f t="shared" si="7"/>
        <v>315.47370483249205</v>
      </c>
      <c r="BH49" s="59">
        <f t="shared" si="8"/>
        <v>608.80703816582536</v>
      </c>
      <c r="BI49" s="59">
        <f ca="1">AVERAGE(OFFSET($BH$3,0,0,'Données projet'!$E$11+1,1))-AVERAGE(OFFSET($H$3,0,0,'Données projet'!$E$11+1,1))</f>
        <v>219.86035935827329</v>
      </c>
      <c r="BJ49" s="59">
        <f t="shared" si="38"/>
        <v>322.75312534885239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59.145769249062248</v>
      </c>
      <c r="BQ49" s="21">
        <f>EXP(-LN(2)/25)*BQ48+(1-EXP(-LN(2)/25))/(LN(2)/25)*Calculateur!BL49*Calculateur!BN49*VLOOKUP('Données projet'!$B$11,Paramètres!$A$1:$I$89,3,0)*0.475*44/12</f>
        <v>19.176155043180369</v>
      </c>
      <c r="BR49" s="21">
        <f>EXP(-LN(2)/2)*BR48+(1-EXP(-LN(2)/2))/(LN(2)/2)*BL49*BO49*VLOOKUP('Données projet'!$B$11,Paramètres!$A$1:$I$89,3,0)*0.475*44/12</f>
        <v>1.7651938611474813</v>
      </c>
      <c r="BS49" s="22">
        <f t="shared" si="9"/>
        <v>80.087118153390094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9.8000000000000007</v>
      </c>
      <c r="BY49" s="12">
        <f>IF('Données projet'!$A$114&gt;35,BY48+BX49-CG48,IF(A49&lt;'Données projet'!$A$114,$BV$205^A49,IF(A49='Données projet'!$A$114,'Données projet'!$B$114,BY48+BX49-CG48)))</f>
        <v>263.7999999999999</v>
      </c>
      <c r="BZ49" s="13">
        <f>BY49*VLOOKUP('Données projet'!$B$12,Paramètres!$A$1:$I$89,3,0)*VLOOKUP('Données projet'!$B$12,Paramètres!$A$1:$I$89,5,0)</f>
        <v>209.87927999999994</v>
      </c>
      <c r="CA49" s="13">
        <f t="shared" si="39"/>
        <v>51.909204458241767</v>
      </c>
      <c r="CB49" s="20">
        <f t="shared" si="10"/>
        <v>455.94827709810426</v>
      </c>
      <c r="CC49" s="59">
        <f t="shared" si="11"/>
        <v>749.28161043143757</v>
      </c>
      <c r="CD49" s="59">
        <f ca="1">AVERAGE(OFFSET($CC$3,0,0,'Données projet'!$E$12+1,1))-AVERAGE(OFFSET($H$3,0,0,'Données projet'!$E$12+1,1))</f>
        <v>378.47278187128137</v>
      </c>
      <c r="CE49" s="59">
        <f t="shared" si="40"/>
        <v>372.59407061242604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7.7037695157614934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7.7037695157614934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13.56420000000001</v>
      </c>
      <c r="D50" s="11">
        <f t="shared" si="32"/>
        <v>4.6146159885059062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70.163851183707052</v>
      </c>
      <c r="H50" s="67">
        <f t="shared" si="1"/>
        <v>288.32810451331449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18.714285714285715</v>
      </c>
      <c r="N50" s="13">
        <f>IF('Données projet'!$A$36&gt;35,N49+M50-V49,IF(A50&lt;'Données projet'!$A$36,$K$205^A50,IF(A50='Données projet'!$A$36,'Données projet'!$B$36,N49+M50-V49)))</f>
        <v>435.57142857142838</v>
      </c>
      <c r="O50" s="13">
        <f>N50*VLOOKUP('Données projet'!$B$9,Paramètres!$A$1:$I$89,3,0)*VLOOKUP('Données projet'!$B$9,Paramètres!$A$1:$I$89,5,0)</f>
        <v>243.48442857142848</v>
      </c>
      <c r="P50" s="13">
        <f t="shared" si="33"/>
        <v>59.188592189821975</v>
      </c>
      <c r="Q50" s="20">
        <f t="shared" si="53"/>
        <v>527.15551115917788</v>
      </c>
      <c r="R50" s="59">
        <f t="shared" si="0"/>
        <v>820.48884449251113</v>
      </c>
      <c r="S50" s="59">
        <f ca="1">AVERAGE(OFFSET($R$3,0,0,'Données projet'!$E$9+1,1))-AVERAGE(OFFSET($H$3,0,0,'Données projet'!$E$9+1,1))</f>
        <v>347.01106511825213</v>
      </c>
      <c r="T50" s="59">
        <f t="shared" si="34"/>
        <v>329.53392323581539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5.6887819749358304</v>
      </c>
      <c r="AA50" s="21">
        <f>EXP(-LN(2)/25)*AA49+(1-EXP(-LN(2)/25))/(LN(2)/25)*Calculateur!V50*Calculateur!X50*VLOOKUP('Données projet'!$B$9,Paramètres!$A$1:$I$89,3,0)*0.475*44/12</f>
        <v>32.861933816451113</v>
      </c>
      <c r="AB50" s="21">
        <f>EXP(-LN(2)/2)*AB49+(1-EXP(-LN(2)/2))/(LN(2)/2)*V50*Y50*VLOOKUP('Données projet'!$B$9,Paramètres!$A$1:$I$89,3,0)*0.475*44/12</f>
        <v>3.7572076981262033</v>
      </c>
      <c r="AC50" s="22">
        <f t="shared" si="3"/>
        <v>42.307923489513144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</v>
      </c>
      <c r="AI50" s="13">
        <f>IF('Données projet'!$A$62&gt;35,AI49+AH50-AQ49,IF(A50&lt;'Données projet'!$A$62,$AF$205^A50,IF(A50='Données projet'!$A$62,'Données projet'!$B$62,AI49+AH50-AQ49)))</f>
        <v>94</v>
      </c>
      <c r="AJ50" s="13">
        <f>AI50*VLOOKUP('Données projet'!$B$10,Paramètres!$A$1:$I$89,3,0)*VLOOKUP('Données projet'!$B$10,Paramètres!$A$1:$I$89,5,0)</f>
        <v>85.051199999999994</v>
      </c>
      <c r="AK50" s="13">
        <f t="shared" si="35"/>
        <v>23.367793520672731</v>
      </c>
      <c r="AL50" s="20">
        <f t="shared" si="4"/>
        <v>188.82974704850497</v>
      </c>
      <c r="AM50" s="59">
        <f t="shared" si="5"/>
        <v>482.16308038183831</v>
      </c>
      <c r="AN50" s="59">
        <f ca="1">AVERAGE(OFFSET($AM$3,0,0,'Données projet'!$E$10+1,1))-AVERAGE(OFFSET($H$3,0,0,'Données projet'!$E$10+1,1))</f>
        <v>209.32570518924194</v>
      </c>
      <c r="AO50" s="59">
        <f t="shared" si="36"/>
        <v>138.10530102720475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0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10.666666666666666</v>
      </c>
      <c r="BD50" s="12">
        <f>IF('Données projet'!$A$88&gt;35,BD49+BC50-BL49,IF(A50&lt;'Données projet'!$A$88,$BA$205^A50,IF(A50='Données projet'!$A$88,'Données projet'!$B$88,BD49+BC50-BL49)))</f>
        <v>241.33333333333331</v>
      </c>
      <c r="BE50" s="13">
        <f>BD50*VLOOKUP('Données projet'!$B$11,Paramètres!$A$1:$I$89,3,0)*VLOOKUP('Données projet'!$B$11,Paramètres!$A$1:$I$89,5,0)</f>
        <v>150.59199999999998</v>
      </c>
      <c r="BF50" s="13">
        <f t="shared" si="37"/>
        <v>38.713088888505631</v>
      </c>
      <c r="BG50" s="20">
        <f t="shared" si="7"/>
        <v>329.70636314748066</v>
      </c>
      <c r="BH50" s="59">
        <f t="shared" si="8"/>
        <v>623.03969648081397</v>
      </c>
      <c r="BI50" s="59">
        <f ca="1">AVERAGE(OFFSET($BH$3,0,0,'Données projet'!$E$11+1,1))-AVERAGE(OFFSET($H$3,0,0,'Données projet'!$E$11+1,1))</f>
        <v>219.86035935827329</v>
      </c>
      <c r="BJ50" s="59">
        <f t="shared" si="38"/>
        <v>322.75312534885239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57.985956789445233</v>
      </c>
      <c r="BQ50" s="21">
        <f>EXP(-LN(2)/25)*BQ49+(1-EXP(-LN(2)/25))/(LN(2)/25)*Calculateur!BL50*Calculateur!BN50*VLOOKUP('Données projet'!$B$11,Paramètres!$A$1:$I$89,3,0)*0.475*44/12</f>
        <v>18.651782075094435</v>
      </c>
      <c r="BR50" s="21">
        <f>EXP(-LN(2)/2)*BR49+(1-EXP(-LN(2)/2))/(LN(2)/2)*BL50*BO50*VLOOKUP('Données projet'!$B$11,Paramètres!$A$1:$I$89,3,0)*0.475*44/12</f>
        <v>1.2481805493262492</v>
      </c>
      <c r="BS50" s="22">
        <f t="shared" si="9"/>
        <v>77.885919413865921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9.8000000000000007</v>
      </c>
      <c r="BY50" s="12">
        <f>IF('Données projet'!$A$114&gt;35,BY49+BX50-CG49,IF(A50&lt;'Données projet'!$A$114,$BV$205^A50,IF(A50='Données projet'!$A$114,'Données projet'!$B$114,BY49+BX50-CG49)))</f>
        <v>273.59999999999991</v>
      </c>
      <c r="BZ50" s="13">
        <f>BY50*VLOOKUP('Données projet'!$B$12,Paramètres!$A$1:$I$89,3,0)*VLOOKUP('Données projet'!$B$12,Paramètres!$A$1:$I$89,5,0)</f>
        <v>217.67615999999992</v>
      </c>
      <c r="CA50" s="13">
        <f t="shared" si="39"/>
        <v>53.609498850196708</v>
      </c>
      <c r="CB50" s="20">
        <f t="shared" si="10"/>
        <v>472.48918916409235</v>
      </c>
      <c r="CC50" s="59">
        <f t="shared" si="11"/>
        <v>765.82252249742567</v>
      </c>
      <c r="CD50" s="59">
        <f ca="1">AVERAGE(OFFSET($CC$3,0,0,'Données projet'!$E$12+1,1))-AVERAGE(OFFSET($H$3,0,0,'Données projet'!$E$12+1,1))</f>
        <v>378.47278187128137</v>
      </c>
      <c r="CE50" s="59">
        <f t="shared" si="40"/>
        <v>372.59407061242604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7.5527032943928436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7.5527032943928436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13.852800000000011</v>
      </c>
      <c r="D51" s="11">
        <f t="shared" si="32"/>
        <v>4.7012641819673249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71.612177544435326</v>
      </c>
      <c r="H51" s="67">
        <f t="shared" si="1"/>
        <v>288.98166178359315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18.714285714285715</v>
      </c>
      <c r="N51" s="13">
        <f>IF('Données projet'!$A$36&gt;35,N50+M51-V50,IF(A51&lt;'Données projet'!$A$36,$K$205^A51,IF(A51='Données projet'!$A$36,'Données projet'!$B$36,N50+M51-V50)))</f>
        <v>454.28571428571411</v>
      </c>
      <c r="O51" s="13">
        <f>N51*VLOOKUP('Données projet'!$B$9,Paramètres!$A$1:$I$89,3,0)*VLOOKUP('Données projet'!$B$9,Paramètres!$A$1:$I$89,5,0)</f>
        <v>253.94571428571419</v>
      </c>
      <c r="P51" s="13">
        <f t="shared" si="33"/>
        <v>61.430084594341928</v>
      </c>
      <c r="Q51" s="20">
        <f t="shared" si="53"/>
        <v>549.27951638276431</v>
      </c>
      <c r="R51" s="59">
        <f t="shared" si="0"/>
        <v>842.61284971609757</v>
      </c>
      <c r="S51" s="59">
        <f ca="1">AVERAGE(OFFSET($R$3,0,0,'Données projet'!$E$9+1,1))-AVERAGE(OFFSET($H$3,0,0,'Données projet'!$E$9+1,1))</f>
        <v>347.01106511825213</v>
      </c>
      <c r="T51" s="59">
        <f t="shared" si="34"/>
        <v>329.53392323581539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5.5772284302217274</v>
      </c>
      <c r="AA51" s="21">
        <f>EXP(-LN(2)/25)*AA50+(1-EXP(-LN(2)/25))/(LN(2)/25)*Calculateur!V51*Calculateur!X51*VLOOKUP('Données projet'!$B$9,Paramètres!$A$1:$I$89,3,0)*0.475*44/12</f>
        <v>31.963322508106266</v>
      </c>
      <c r="AB51" s="21">
        <f>EXP(-LN(2)/2)*AB50+(1-EXP(-LN(2)/2))/(LN(2)/2)*V51*Y51*VLOOKUP('Données projet'!$B$9,Paramètres!$A$1:$I$89,3,0)*0.475*44/12</f>
        <v>2.6567470416713372</v>
      </c>
      <c r="AC51" s="22">
        <f t="shared" si="3"/>
        <v>40.197297979999334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</v>
      </c>
      <c r="AI51" s="13">
        <f>IF('Données projet'!$A$62&gt;35,AI50+AH51-AQ50,IF(A51&lt;'Données projet'!$A$62,$AF$205^A51,IF(A51='Données projet'!$A$62,'Données projet'!$B$62,AI50+AH51-AQ50)))</f>
        <v>96</v>
      </c>
      <c r="AJ51" s="13">
        <f>AI51*VLOOKUP('Données projet'!$B$10,Paramètres!$A$1:$I$89,3,0)*VLOOKUP('Données projet'!$B$10,Paramètres!$A$1:$I$89,5,0)</f>
        <v>86.860799999999998</v>
      </c>
      <c r="AK51" s="13">
        <f t="shared" si="35"/>
        <v>23.806568296036275</v>
      </c>
      <c r="AL51" s="20">
        <f t="shared" si="4"/>
        <v>192.74566644892982</v>
      </c>
      <c r="AM51" s="59">
        <f t="shared" si="5"/>
        <v>486.07899978226317</v>
      </c>
      <c r="AN51" s="59">
        <f ca="1">AVERAGE(OFFSET($AM$3,0,0,'Données projet'!$E$10+1,1))-AVERAGE(OFFSET($H$3,0,0,'Données projet'!$E$10+1,1))</f>
        <v>209.32570518924194</v>
      </c>
      <c r="AO51" s="59">
        <f t="shared" si="36"/>
        <v>138.10530102720475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0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>
        <f>VLOOKUP(A51,'Données projet'!$A$87:$I$107,2,0)</f>
        <v>252</v>
      </c>
      <c r="BB51" s="12">
        <f>VLOOKUP(A51,'Données projet'!$A$87:$I$107,9,0)</f>
        <v>10.666666666666666</v>
      </c>
      <c r="BC51" s="12">
        <f t="array" ref="BC51">INDEX(BB:BB,MIN(IF(ISNUMBER(BB51:BB247),ROW(BB51:BB247),"")))</f>
        <v>10.666666666666666</v>
      </c>
      <c r="BD51" s="12">
        <f>IF('Données projet'!$A$88&gt;35,BD50+BC51-BL50,IF(A51&lt;'Données projet'!$A$88,$BA$205^A51,IF(A51='Données projet'!$A$88,'Données projet'!$B$88,BD50+BC51-BL50)))</f>
        <v>251.99999999999997</v>
      </c>
      <c r="BE51" s="13">
        <f>BD51*VLOOKUP('Données projet'!$B$11,Paramètres!$A$1:$I$89,3,0)*VLOOKUP('Données projet'!$B$11,Paramètres!$A$1:$I$89,5,0)</f>
        <v>157.24799999999999</v>
      </c>
      <c r="BF51" s="13">
        <f t="shared" si="37"/>
        <v>40.22116874434861</v>
      </c>
      <c r="BG51" s="20">
        <f t="shared" si="7"/>
        <v>343.92546889640715</v>
      </c>
      <c r="BH51" s="59">
        <f t="shared" si="8"/>
        <v>637.25880222974047</v>
      </c>
      <c r="BI51" s="59">
        <f ca="1">AVERAGE(OFFSET($BH$3,0,0,'Données projet'!$E$11+1,1))-AVERAGE(OFFSET($H$3,0,0,'Données projet'!$E$11+1,1))</f>
        <v>219.86035935827329</v>
      </c>
      <c r="BJ51" s="59">
        <f t="shared" si="38"/>
        <v>322.75312534885239</v>
      </c>
      <c r="BK51" s="15">
        <f>IF(ISNA(VLOOKUP(A51,'Données projet'!$A$87:$I$107,3,0)),0,VLOOKUP(A51,'Données projet'!$A$87:$I$107,3,0))</f>
        <v>7</v>
      </c>
      <c r="BL51" s="15">
        <f>IF(ISNA(VLOOKUP(A51,'Données projet'!$A$87:$I$107,4,0)),0,VLOOKUP(A51,'Données projet'!$A$87:$I$107,4,0))</f>
        <v>65</v>
      </c>
      <c r="BM51" s="16">
        <f>IF(ISNA(VLOOKUP(A51,'Données projet'!$A$87:$I$107,5,0)),0%,VLOOKUP(A51,'Données projet'!$A$87:$I$107,5,0)*VLOOKUP('Données projet'!$B$11,Paramètres!$A$1:$I$89,7,0))</f>
        <v>0.42</v>
      </c>
      <c r="BN51" s="16">
        <f>IF(ISNA(VLOOKUP(A51,'Données projet'!$A$87:$I$107,6,0)),0%,VLOOKUP(A51,'Données projet'!$A$87:$I$107,6,0)*VLOOKUP('Données projet'!$B$11,Paramètres!$A$1:$I$89,7,0))</f>
        <v>0.1008</v>
      </c>
      <c r="BO51" s="16">
        <f>IF(ISNA(VLOOKUP(A51,'Données projet'!$A$87:$I$107,7,0)),0%,VLOOKUP(A51,'Données projet'!$A$87:$I$107,7,0))</f>
        <v>0.13200000000000001</v>
      </c>
      <c r="BP51" s="21">
        <f>EXP(-LN(2)/35)*BP50+(1-EXP(-LN(2)/35))/(LN(2)/35)*BL51*BM51*VLOOKUP('Données projet'!$B$11,Paramètres!$A$1:$I$89,3,0)*0.475*44/12</f>
        <v>79.447178356049221</v>
      </c>
      <c r="BQ51" s="21">
        <f>EXP(-LN(2)/25)*BQ50+(1-EXP(-LN(2)/25))/(LN(2)/25)*Calculateur!BL51*Calculateur!BN51*VLOOKUP('Données projet'!$B$11,Paramètres!$A$1:$I$89,3,0)*0.475*44/12</f>
        <v>23.54398316853775</v>
      </c>
      <c r="BR51" s="21">
        <f>EXP(-LN(2)/2)*BR50+(1-EXP(-LN(2)/2))/(LN(2)/2)*BL51*BO51*VLOOKUP('Données projet'!$B$11,Paramètres!$A$1:$I$89,3,0)*0.475*44/12</f>
        <v>6.9444780729466382</v>
      </c>
      <c r="BS51" s="22">
        <f t="shared" si="9"/>
        <v>109.93563959753361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9.8000000000000007</v>
      </c>
      <c r="BY51" s="12">
        <f>IF('Données projet'!$A$114&gt;35,BY50+BX51-CG50,IF(A51&lt;'Données projet'!$A$114,$BV$205^A51,IF(A51='Données projet'!$A$114,'Données projet'!$B$114,BY50+BX51-CG50)))</f>
        <v>283.39999999999992</v>
      </c>
      <c r="BZ51" s="13">
        <f>BY51*VLOOKUP('Données projet'!$B$12,Paramètres!$A$1:$I$89,3,0)*VLOOKUP('Données projet'!$B$12,Paramètres!$A$1:$I$89,5,0)</f>
        <v>225.47303999999994</v>
      </c>
      <c r="CA51" s="13">
        <f t="shared" si="39"/>
        <v>55.302717367103824</v>
      </c>
      <c r="CB51" s="20">
        <f t="shared" si="10"/>
        <v>489.0177774143724</v>
      </c>
      <c r="CC51" s="59">
        <f t="shared" si="11"/>
        <v>782.35111074770566</v>
      </c>
      <c r="CD51" s="59">
        <f ca="1">AVERAGE(OFFSET($CC$3,0,0,'Données projet'!$E$12+1,1))-AVERAGE(OFFSET($H$3,0,0,'Données projet'!$E$12+1,1))</f>
        <v>378.47278187128137</v>
      </c>
      <c r="CE51" s="59">
        <f t="shared" si="40"/>
        <v>372.59407061242604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7.4045993894839359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7.4045993894839359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14.141400000000012</v>
      </c>
      <c r="D52" s="11">
        <f t="shared" si="32"/>
        <v>4.7877024920781768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73.059693829073709</v>
      </c>
      <c r="H52" s="67">
        <f t="shared" si="1"/>
        <v>289.63485350703621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>
        <f>VLOOKUP(A52,'Données projet'!$A$35:$I$55,2,0)</f>
        <v>473</v>
      </c>
      <c r="L52" s="12">
        <f>VLOOKUP(A52,'Données projet'!$A$35:$I$55,9,0)</f>
        <v>18.714285714285715</v>
      </c>
      <c r="M52" s="12">
        <f t="array" ref="M52">INDEX(L:L,MIN(IF(ISNUMBER(L52:L248),ROW(L52:L248),"")))</f>
        <v>18.714285714285715</v>
      </c>
      <c r="N52" s="13">
        <f>IF('Données projet'!$A$36&gt;35,N51+M52-V51,IF(A52&lt;'Données projet'!$A$36,$K$205^A52,IF(A52='Données projet'!$A$36,'Données projet'!$B$36,N51+M52-V51)))</f>
        <v>472.99999999999983</v>
      </c>
      <c r="O52" s="13">
        <f>N52*VLOOKUP('Données projet'!$B$9,Paramètres!$A$1:$I$89,3,0)*VLOOKUP('Données projet'!$B$9,Paramètres!$A$1:$I$89,5,0)</f>
        <v>264.40699999999993</v>
      </c>
      <c r="P52" s="13">
        <f t="shared" si="33"/>
        <v>63.660851355620842</v>
      </c>
      <c r="Q52" s="20">
        <f t="shared" si="53"/>
        <v>571.38484111103946</v>
      </c>
      <c r="R52" s="59">
        <f t="shared" si="0"/>
        <v>864.71817444437283</v>
      </c>
      <c r="S52" s="59">
        <f ca="1">AVERAGE(OFFSET($R$3,0,0,'Données projet'!$E$9+1,1))-AVERAGE(OFFSET($H$3,0,0,'Données projet'!$E$9+1,1))</f>
        <v>347.01106511825213</v>
      </c>
      <c r="T52" s="59">
        <f t="shared" si="34"/>
        <v>329.53392323581539</v>
      </c>
      <c r="U52" s="15">
        <f>IF(ISNA(VLOOKUP(A52,'Données projet'!$A$35:$I$55,3,0)),0,VLOOKUP(A52,'Données projet'!$A$35:$I$55,3,0))</f>
        <v>4</v>
      </c>
      <c r="V52" s="15">
        <f>IF(ISNA(VLOOKUP(A52,'Données projet'!$A$35:$I$55,4,0)),0,VLOOKUP(A52,'Données projet'!$A$35:$I$55,4,0))</f>
        <v>80</v>
      </c>
      <c r="W52" s="16">
        <f>IF(ISNA(VLOOKUP(A52,'Données projet'!$A$35:$I$55,5,0)),0%,VLOOKUP(A52,'Données projet'!$A$35:$I$55,5,0)*VLOOKUP('Données projet'!$B$9,Paramètres!$A$1:$I$89,7,0))</f>
        <v>0.22000000000000003</v>
      </c>
      <c r="X52" s="16">
        <f>IF(ISNA(VLOOKUP(A52,'Données projet'!$A$35:$I$55,6,0)),0%,VLOOKUP(A52,'Données projet'!$A$35:$I$55,6,0)*VLOOKUP('Données projet'!$B$9,Paramètres!$A$1:$I$89,7,0))</f>
        <v>0.16500000000000001</v>
      </c>
      <c r="Y52" s="16">
        <f>IF(ISNA(VLOOKUP(A52,'Données projet'!$A$35:$I$55,7,0)),0%,VLOOKUP(A52,'Données projet'!$A$35:$I$55,7,0))</f>
        <v>0.3</v>
      </c>
      <c r="Z52" s="21">
        <f>EXP(-LN(2)/35)*Z51+(1-EXP(-LN(2)/35))/(LN(2)/35)*V52*W52*VLOOKUP('Données projet'!$B$9,Paramètres!$A$1:$I$89,3,0)*0.475*44/12</f>
        <v>18.519134120874899</v>
      </c>
      <c r="AA52" s="21">
        <f>EXP(-LN(2)/25)*AA51+(1-EXP(-LN(2)/25))/(LN(2)/25)*Calculateur!V52*Calculateur!X52*VLOOKUP('Données projet'!$B$9,Paramètres!$A$1:$I$89,3,0)*0.475*44/12</f>
        <v>40.839196704722454</v>
      </c>
      <c r="AB52" s="21">
        <f>EXP(-LN(2)/2)*AB51+(1-EXP(-LN(2)/2))/(LN(2)/2)*V52*Y52*VLOOKUP('Données projet'!$B$9,Paramètres!$A$1:$I$89,3,0)*0.475*44/12</f>
        <v>17.068632352678165</v>
      </c>
      <c r="AC52" s="22">
        <f t="shared" si="3"/>
        <v>76.426963178275514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</v>
      </c>
      <c r="AI52" s="13">
        <f>IF('Données projet'!$A$62&gt;35,AI51+AH52-AQ51,IF(A52&lt;'Données projet'!$A$62,$AF$205^A52,IF(A52='Données projet'!$A$62,'Données projet'!$B$62,AI51+AH52-AQ51)))</f>
        <v>98</v>
      </c>
      <c r="AJ52" s="13">
        <f>AI52*VLOOKUP('Données projet'!$B$10,Paramètres!$A$1:$I$89,3,0)*VLOOKUP('Données projet'!$B$10,Paramètres!$A$1:$I$89,5,0)</f>
        <v>88.670400000000001</v>
      </c>
      <c r="AK52" s="13">
        <f t="shared" si="35"/>
        <v>24.244280250395512</v>
      </c>
      <c r="AL52" s="20">
        <f t="shared" si="4"/>
        <v>196.65973476943884</v>
      </c>
      <c r="AM52" s="59">
        <f t="shared" si="5"/>
        <v>489.99306810277216</v>
      </c>
      <c r="AN52" s="59">
        <f ca="1">AVERAGE(OFFSET($AM$3,0,0,'Données projet'!$E$10+1,1))-AVERAGE(OFFSET($H$3,0,0,'Données projet'!$E$10+1,1))</f>
        <v>209.32570518924194</v>
      </c>
      <c r="AO52" s="59">
        <f t="shared" si="36"/>
        <v>138.10530102720475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0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9.75</v>
      </c>
      <c r="BD52" s="12">
        <f>IF('Données projet'!$A$88&gt;35,BD51+BC52-BL51,IF(A52&lt;'Données projet'!$A$88,$BA$205^A52,IF(A52='Données projet'!$A$88,'Données projet'!$B$88,BD51+BC52-BL51)))</f>
        <v>196.75</v>
      </c>
      <c r="BE52" s="13">
        <f>BD52*VLOOKUP('Données projet'!$B$11,Paramètres!$A$1:$I$89,3,0)*VLOOKUP('Données projet'!$B$11,Paramètres!$A$1:$I$89,5,0)</f>
        <v>122.77200000000001</v>
      </c>
      <c r="BF52" s="13">
        <f t="shared" si="37"/>
        <v>32.320660955470466</v>
      </c>
      <c r="BG52" s="20">
        <f t="shared" si="7"/>
        <v>270.11971783077774</v>
      </c>
      <c r="BH52" s="59">
        <f t="shared" si="8"/>
        <v>563.453051164111</v>
      </c>
      <c r="BI52" s="59">
        <f ca="1">AVERAGE(OFFSET($BH$3,0,0,'Données projet'!$E$11+1,1))-AVERAGE(OFFSET($H$3,0,0,'Données projet'!$E$11+1,1))</f>
        <v>219.86035935827329</v>
      </c>
      <c r="BJ52" s="59">
        <f t="shared" si="38"/>
        <v>322.75312534885239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77.889267646481059</v>
      </c>
      <c r="BQ52" s="21">
        <f>EXP(-LN(2)/25)*BQ51+(1-EXP(-LN(2)/25))/(LN(2)/25)*Calculateur!BL52*Calculateur!BN52*VLOOKUP('Données projet'!$B$11,Paramètres!$A$1:$I$89,3,0)*0.475*44/12</f>
        <v>22.90017171066982</v>
      </c>
      <c r="BR52" s="21">
        <f>EXP(-LN(2)/2)*BR51+(1-EXP(-LN(2)/2))/(LN(2)/2)*BL52*BO52*VLOOKUP('Données projet'!$B$11,Paramètres!$A$1:$I$89,3,0)*0.475*44/12</f>
        <v>4.9104875371818562</v>
      </c>
      <c r="BS52" s="22">
        <f t="shared" si="9"/>
        <v>105.69992689433273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9.8000000000000007</v>
      </c>
      <c r="BY52" s="12">
        <f>IF('Données projet'!$A$114&gt;35,BY51+BX52-CG51,IF(A52&lt;'Données projet'!$A$114,$BV$205^A52,IF(A52='Données projet'!$A$114,'Données projet'!$B$114,BY51+BX52-CG51)))</f>
        <v>293.19999999999993</v>
      </c>
      <c r="BZ52" s="13">
        <f>BY52*VLOOKUP('Données projet'!$B$12,Paramètres!$A$1:$I$89,3,0)*VLOOKUP('Données projet'!$B$12,Paramètres!$A$1:$I$89,5,0)</f>
        <v>233.26991999999993</v>
      </c>
      <c r="CA52" s="13">
        <f t="shared" si="39"/>
        <v>56.989132736134763</v>
      </c>
      <c r="CB52" s="20">
        <f t="shared" si="10"/>
        <v>505.53451684876785</v>
      </c>
      <c r="CC52" s="59">
        <f t="shared" si="11"/>
        <v>798.86785018210117</v>
      </c>
      <c r="CD52" s="59">
        <f ca="1">AVERAGE(OFFSET($CC$3,0,0,'Données projet'!$E$12+1,1))-AVERAGE(OFFSET($H$3,0,0,'Données projet'!$E$12+1,1))</f>
        <v>378.47278187128137</v>
      </c>
      <c r="CE52" s="59">
        <f t="shared" si="40"/>
        <v>372.59407061242604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7.2593997118158304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7.2593997118158304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14.430000000000012</v>
      </c>
      <c r="D53" s="11">
        <f t="shared" si="32"/>
        <v>4.8739356957462991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74.506418474810332</v>
      </c>
      <c r="H53" s="67">
        <f t="shared" si="1"/>
        <v>290.28768800342482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17.285714285714285</v>
      </c>
      <c r="N53" s="13">
        <f>IF('Données projet'!$A$36&gt;35,N52+M53-V52,IF(A53&lt;'Données projet'!$A$36,$K$205^A53,IF(A53='Données projet'!$A$36,'Données projet'!$B$36,N52+M53-V52)))</f>
        <v>410.28571428571411</v>
      </c>
      <c r="O53" s="13">
        <f>N53*VLOOKUP('Données projet'!$B$9,Paramètres!$A$1:$I$89,3,0)*VLOOKUP('Données projet'!$B$9,Paramètres!$A$1:$I$89,5,0)</f>
        <v>229.34971428571419</v>
      </c>
      <c r="P53" s="13">
        <f t="shared" si="33"/>
        <v>56.142051394693567</v>
      </c>
      <c r="Q53" s="20">
        <f t="shared" si="53"/>
        <v>497.23149189337681</v>
      </c>
      <c r="R53" s="59">
        <f t="shared" si="0"/>
        <v>790.56482522671013</v>
      </c>
      <c r="S53" s="59">
        <f ca="1">AVERAGE(OFFSET($R$3,0,0,'Données projet'!$E$9+1,1))-AVERAGE(OFFSET($H$3,0,0,'Données projet'!$E$9+1,1))</f>
        <v>347.01106511825213</v>
      </c>
      <c r="T53" s="59">
        <f t="shared" si="34"/>
        <v>329.53392323581539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18.155985196321012</v>
      </c>
      <c r="AA53" s="21">
        <f>EXP(-LN(2)/25)*AA52+(1-EXP(-LN(2)/25))/(LN(2)/25)*Calculateur!V53*Calculateur!X53*VLOOKUP('Données projet'!$B$9,Paramètres!$A$1:$I$89,3,0)*0.475*44/12</f>
        <v>39.722446723191801</v>
      </c>
      <c r="AB53" s="21">
        <f>EXP(-LN(2)/2)*AB52+(1-EXP(-LN(2)/2))/(LN(2)/2)*V53*Y53*VLOOKUP('Données projet'!$B$9,Paramètres!$A$1:$I$89,3,0)*0.475*44/12</f>
        <v>12.069345682158826</v>
      </c>
      <c r="AC53" s="22">
        <f t="shared" si="3"/>
        <v>69.947777601671646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2</v>
      </c>
      <c r="AI53" s="13">
        <f>IF('Données projet'!$A$62&gt;35,AI52+AH53-AQ52,IF(A53&lt;'Données projet'!$A$62,$AF$205^A53,IF(A53='Données projet'!$A$62,'Données projet'!$B$62,AI52+AH53-AQ52)))</f>
        <v>100</v>
      </c>
      <c r="AJ53" s="13">
        <f>AI53*VLOOKUP('Données projet'!$B$10,Paramètres!$A$1:$I$89,3,0)*VLOOKUP('Données projet'!$B$10,Paramètres!$A$1:$I$89,5,0)</f>
        <v>90.47999999999999</v>
      </c>
      <c r="AK53" s="13">
        <f t="shared" si="35"/>
        <v>24.680953573367994</v>
      </c>
      <c r="AL53" s="20">
        <f t="shared" si="4"/>
        <v>200.57199414028256</v>
      </c>
      <c r="AM53" s="59">
        <f t="shared" si="5"/>
        <v>493.9053274736159</v>
      </c>
      <c r="AN53" s="59">
        <f ca="1">AVERAGE(OFFSET($AM$3,0,0,'Données projet'!$E$10+1,1))-AVERAGE(OFFSET($H$3,0,0,'Données projet'!$E$10+1,1))</f>
        <v>209.32570518924194</v>
      </c>
      <c r="AO53" s="59">
        <f t="shared" si="36"/>
        <v>138.10530102720475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0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9.75</v>
      </c>
      <c r="BD53" s="12">
        <f>IF('Données projet'!$A$88&gt;35,BD52+BC53-BL52,IF(A53&lt;'Données projet'!$A$88,$BA$205^A53,IF(A53='Données projet'!$A$88,'Données projet'!$B$88,BD52+BC53-BL52)))</f>
        <v>206.5</v>
      </c>
      <c r="BE53" s="13">
        <f>BD53*VLOOKUP('Données projet'!$B$11,Paramètres!$A$1:$I$89,3,0)*VLOOKUP('Données projet'!$B$11,Paramètres!$A$1:$I$89,5,0)</f>
        <v>128.85599999999999</v>
      </c>
      <c r="BF53" s="13">
        <f t="shared" si="37"/>
        <v>33.731878688740906</v>
      </c>
      <c r="BG53" s="20">
        <f t="shared" si="7"/>
        <v>283.1738887162237</v>
      </c>
      <c r="BH53" s="59">
        <f t="shared" si="8"/>
        <v>576.50722204955696</v>
      </c>
      <c r="BI53" s="59">
        <f ca="1">AVERAGE(OFFSET($BH$3,0,0,'Données projet'!$E$11+1,1))-AVERAGE(OFFSET($H$3,0,0,'Données projet'!$E$11+1,1))</f>
        <v>219.86035935827329</v>
      </c>
      <c r="BJ53" s="59">
        <f t="shared" si="38"/>
        <v>322.75312534885239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76.36190661569583</v>
      </c>
      <c r="BQ53" s="21">
        <f>EXP(-LN(2)/25)*BQ52+(1-EXP(-LN(2)/25))/(LN(2)/25)*Calculateur!BL53*Calculateur!BN53*VLOOKUP('Données projet'!$B$11,Paramètres!$A$1:$I$89,3,0)*0.475*44/12</f>
        <v>22.273965310973864</v>
      </c>
      <c r="BR53" s="21">
        <f>EXP(-LN(2)/2)*BR52+(1-EXP(-LN(2)/2))/(LN(2)/2)*BL53*BO53*VLOOKUP('Données projet'!$B$11,Paramètres!$A$1:$I$89,3,0)*0.475*44/12</f>
        <v>3.4722390364733196</v>
      </c>
      <c r="BS53" s="22">
        <f t="shared" si="9"/>
        <v>102.10811096314302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303</v>
      </c>
      <c r="BW53" s="12">
        <f>VLOOKUP(A53,'Données projet'!$A$113:$I$133,9,0)</f>
        <v>9.8000000000000007</v>
      </c>
      <c r="BX53" s="12">
        <f t="array" ref="BX53">INDEX(BW:BW,MIN(IF(ISNUMBER(BW53:BW249),ROW(BW53:BW249),"")))</f>
        <v>9.8000000000000007</v>
      </c>
      <c r="BY53" s="12">
        <f>IF('Données projet'!$A$114&gt;35,BY52+BX53-CG52,IF(A53&lt;'Données projet'!$A$114,$BV$205^A53,IF(A53='Données projet'!$A$114,'Données projet'!$B$114,BY52+BX53-CG52)))</f>
        <v>302.99999999999994</v>
      </c>
      <c r="BZ53" s="13">
        <f>BY53*VLOOKUP('Données projet'!$B$12,Paramètres!$A$1:$I$89,3,0)*VLOOKUP('Données projet'!$B$12,Paramètres!$A$1:$I$89,5,0)</f>
        <v>241.06679999999997</v>
      </c>
      <c r="CA53" s="13">
        <f t="shared" si="39"/>
        <v>58.668998418543559</v>
      </c>
      <c r="CB53" s="20">
        <f t="shared" si="10"/>
        <v>522.03984891229663</v>
      </c>
      <c r="CC53" s="59">
        <f t="shared" si="11"/>
        <v>815.37318224563001</v>
      </c>
      <c r="CD53" s="59">
        <f ca="1">AVERAGE(OFFSET($CC$3,0,0,'Données projet'!$E$12+1,1))-AVERAGE(OFFSET($H$3,0,0,'Données projet'!$E$12+1,1))</f>
        <v>378.47278187128137</v>
      </c>
      <c r="CE53" s="59">
        <f t="shared" si="40"/>
        <v>372.59407061242604</v>
      </c>
      <c r="CF53" s="15">
        <f>IF(ISNA(VLOOKUP(A53,'Données projet'!$A$113:$I$133,3,0)),0,VLOOKUP(A53,'Données projet'!$A$113:$I$133,3,0))</f>
        <v>6</v>
      </c>
      <c r="CG53" s="15">
        <f>IF(ISNA(VLOOKUP(A53,'Données projet'!$A$113:$I$133,4,0)),0,VLOOKUP(A53,'Données projet'!$A$113:$I$133,4,0))</f>
        <v>21</v>
      </c>
      <c r="CH53" s="16">
        <f>IF(ISNA(VLOOKUP(A53,'Données projet'!$A$113:$I$133,5,0)),0%,VLOOKUP(A53,'Données projet'!$A$113:$I$133,5,0)*VLOOKUP('Données projet'!$B$12,Paramètres!$A$1:$I$89,7,0))</f>
        <v>0.1855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10.543187218640952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10.543187218640952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14.718600000000013</v>
      </c>
      <c r="D54" s="11">
        <f t="shared" si="32"/>
        <v>4.9599683678773632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75.952369139175843</v>
      </c>
      <c r="H54" s="67">
        <f t="shared" si="1"/>
        <v>290.94017324071979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17.285714285714285</v>
      </c>
      <c r="N54" s="13">
        <f>IF('Données projet'!$A$36&gt;35,N53+M54-V53,IF(A54&lt;'Données projet'!$A$36,$K$205^A54,IF(A54='Données projet'!$A$36,'Données projet'!$B$36,N53+M54-V53)))</f>
        <v>427.57142857142838</v>
      </c>
      <c r="O54" s="13">
        <f>N54*VLOOKUP('Données projet'!$B$9,Paramètres!$A$1:$I$89,3,0)*VLOOKUP('Données projet'!$B$9,Paramètres!$A$1:$I$89,5,0)</f>
        <v>239.01242857142847</v>
      </c>
      <c r="P54" s="13">
        <f t="shared" si="33"/>
        <v>58.226998714225545</v>
      </c>
      <c r="Q54" s="20">
        <f t="shared" si="53"/>
        <v>517.69200252251403</v>
      </c>
      <c r="R54" s="59">
        <f t="shared" si="0"/>
        <v>811.02533585584729</v>
      </c>
      <c r="S54" s="59">
        <f ca="1">AVERAGE(OFFSET($R$3,0,0,'Données projet'!$E$9+1,1))-AVERAGE(OFFSET($H$3,0,0,'Données projet'!$E$9+1,1))</f>
        <v>347.01106511825213</v>
      </c>
      <c r="T54" s="59">
        <f t="shared" si="34"/>
        <v>329.53392323581539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17.799957400678654</v>
      </c>
      <c r="AA54" s="21">
        <f>EXP(-LN(2)/25)*AA53+(1-EXP(-LN(2)/25))/(LN(2)/25)*Calculateur!V54*Calculateur!X54*VLOOKUP('Données projet'!$B$9,Paramètres!$A$1:$I$89,3,0)*0.475*44/12</f>
        <v>38.636234328633435</v>
      </c>
      <c r="AB54" s="21">
        <f>EXP(-LN(2)/2)*AB53+(1-EXP(-LN(2)/2))/(LN(2)/2)*V54*Y54*VLOOKUP('Données projet'!$B$9,Paramètres!$A$1:$I$89,3,0)*0.475*44/12</f>
        <v>8.5343161763390842</v>
      </c>
      <c r="AC54" s="22">
        <f t="shared" si="3"/>
        <v>64.970507905651175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</v>
      </c>
      <c r="AI54" s="13">
        <f>IF('Données projet'!$A$62&gt;35,AI53+AH54-AQ53,IF(A54&lt;'Données projet'!$A$62,$AF$205^A54,IF(A54='Données projet'!$A$62,'Données projet'!$B$62,AI53+AH54-AQ53)))</f>
        <v>102</v>
      </c>
      <c r="AJ54" s="13">
        <f>AI54*VLOOKUP('Données projet'!$B$10,Paramètres!$A$1:$I$89,3,0)*VLOOKUP('Données projet'!$B$10,Paramètres!$A$1:$I$89,5,0)</f>
        <v>92.289599999999993</v>
      </c>
      <c r="AK54" s="13">
        <f t="shared" si="35"/>
        <v>25.116611431659546</v>
      </c>
      <c r="AL54" s="20">
        <f t="shared" si="4"/>
        <v>204.48248491014036</v>
      </c>
      <c r="AM54" s="59">
        <f t="shared" si="5"/>
        <v>497.8158182434737</v>
      </c>
      <c r="AN54" s="59">
        <f ca="1">AVERAGE(OFFSET($AM$3,0,0,'Données projet'!$E$10+1,1))-AVERAGE(OFFSET($H$3,0,0,'Données projet'!$E$10+1,1))</f>
        <v>209.32570518924194</v>
      </c>
      <c r="AO54" s="59">
        <f t="shared" si="36"/>
        <v>138.10530102720475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0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9.75</v>
      </c>
      <c r="BD54" s="12">
        <f>IF('Données projet'!$A$88&gt;35,BD53+BC54-BL53,IF(A54&lt;'Données projet'!$A$88,$BA$205^A54,IF(A54='Données projet'!$A$88,'Données projet'!$B$88,BD53+BC54-BL53)))</f>
        <v>216.25</v>
      </c>
      <c r="BE54" s="13">
        <f>BD54*VLOOKUP('Données projet'!$B$11,Paramètres!$A$1:$I$89,3,0)*VLOOKUP('Données projet'!$B$11,Paramètres!$A$1:$I$89,5,0)</f>
        <v>134.94</v>
      </c>
      <c r="BF54" s="13">
        <f t="shared" si="37"/>
        <v>35.135358771568036</v>
      </c>
      <c r="BG54" s="20">
        <f t="shared" si="7"/>
        <v>296.21458319381429</v>
      </c>
      <c r="BH54" s="59">
        <f t="shared" si="8"/>
        <v>589.54791652714766</v>
      </c>
      <c r="BI54" s="59">
        <f ca="1">AVERAGE(OFFSET($BH$3,0,0,'Données projet'!$E$11+1,1))-AVERAGE(OFFSET($H$3,0,0,'Données projet'!$E$11+1,1))</f>
        <v>219.86035935827329</v>
      </c>
      <c r="BJ54" s="59">
        <f t="shared" si="38"/>
        <v>322.75312534885239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74.864496203126052</v>
      </c>
      <c r="BQ54" s="21">
        <f>EXP(-LN(2)/25)*BQ53+(1-EXP(-LN(2)/25))/(LN(2)/25)*Calculateur!BL54*Calculateur!BN54*VLOOKUP('Données projet'!$B$11,Paramètres!$A$1:$I$89,3,0)*0.475*44/12</f>
        <v>21.664882558208355</v>
      </c>
      <c r="BR54" s="21">
        <f>EXP(-LN(2)/2)*BR53+(1-EXP(-LN(2)/2))/(LN(2)/2)*BL54*BO54*VLOOKUP('Données projet'!$B$11,Paramètres!$A$1:$I$89,3,0)*0.475*44/12</f>
        <v>2.4552437685909285</v>
      </c>
      <c r="BS54" s="22">
        <f t="shared" si="9"/>
        <v>98.984622529925346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8.4</v>
      </c>
      <c r="BY54" s="12">
        <f>IF('Données projet'!$A$114&gt;35,BY53+BX54-CG53,IF(A54&lt;'Données projet'!$A$114,$BV$205^A54,IF(A54='Données projet'!$A$114,'Données projet'!$B$114,BY53+BX54-CG53)))</f>
        <v>290.39999999999992</v>
      </c>
      <c r="BZ54" s="13">
        <f>BY54*VLOOKUP('Données projet'!$B$12,Paramètres!$A$1:$I$89,3,0)*VLOOKUP('Données projet'!$B$12,Paramètres!$A$1:$I$89,5,0)</f>
        <v>231.04223999999994</v>
      </c>
      <c r="CA54" s="13">
        <f t="shared" si="39"/>
        <v>56.507978852931409</v>
      </c>
      <c r="CB54" s="20">
        <f t="shared" si="10"/>
        <v>500.81663116885539</v>
      </c>
      <c r="CC54" s="59">
        <f t="shared" si="11"/>
        <v>794.14996450218871</v>
      </c>
      <c r="CD54" s="59">
        <f ca="1">AVERAGE(OFFSET($CC$3,0,0,'Données projet'!$E$12+1,1))-AVERAGE(OFFSET($H$3,0,0,'Données projet'!$E$12+1,1))</f>
        <v>378.47278187128137</v>
      </c>
      <c r="CE54" s="59">
        <f t="shared" si="40"/>
        <v>372.59407061242604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10.336441747992627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10.336441747992627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15.007200000000013</v>
      </c>
      <c r="D55" s="11">
        <f t="shared" si="32"/>
        <v>5.0458048937074658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77.397562747642908</v>
      </c>
      <c r="H55" s="67">
        <f t="shared" si="1"/>
        <v>291.59231685654055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17.285714285714285</v>
      </c>
      <c r="N55" s="13">
        <f>IF('Données projet'!$A$36&gt;35,N54+M55-V54,IF(A55&lt;'Données projet'!$A$36,$K$205^A55,IF(A55='Données projet'!$A$36,'Données projet'!$B$36,N54+M55-V54)))</f>
        <v>444.85714285714266</v>
      </c>
      <c r="O55" s="13">
        <f>N55*VLOOKUP('Données projet'!$B$9,Paramètres!$A$1:$I$89,3,0)*VLOOKUP('Données projet'!$B$9,Paramètres!$A$1:$I$89,5,0)</f>
        <v>248.67514285714276</v>
      </c>
      <c r="P55" s="13">
        <f t="shared" si="33"/>
        <v>60.30215496200401</v>
      </c>
      <c r="Q55" s="20">
        <f t="shared" si="53"/>
        <v>538.13546036834725</v>
      </c>
      <c r="R55" s="59">
        <f t="shared" si="0"/>
        <v>831.46879370168062</v>
      </c>
      <c r="S55" s="59">
        <f ca="1">AVERAGE(OFFSET($R$3,0,0,'Données projet'!$E$9+1,1))-AVERAGE(OFFSET($H$3,0,0,'Données projet'!$E$9+1,1))</f>
        <v>347.01106511825213</v>
      </c>
      <c r="T55" s="59">
        <f t="shared" si="34"/>
        <v>329.53392323581539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17.45091109295333</v>
      </c>
      <c r="AA55" s="21">
        <f>EXP(-LN(2)/25)*AA54+(1-EXP(-LN(2)/25))/(LN(2)/25)*Calculateur!V55*Calculateur!X55*VLOOKUP('Données projet'!$B$9,Paramètres!$A$1:$I$89,3,0)*0.475*44/12</f>
        <v>37.579724469125694</v>
      </c>
      <c r="AB55" s="21">
        <f>EXP(-LN(2)/2)*AB54+(1-EXP(-LN(2)/2))/(LN(2)/2)*V55*Y55*VLOOKUP('Données projet'!$B$9,Paramètres!$A$1:$I$89,3,0)*0.475*44/12</f>
        <v>6.0346728410794146</v>
      </c>
      <c r="AC55" s="22">
        <f t="shared" si="3"/>
        <v>61.06530840315844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</v>
      </c>
      <c r="AI55" s="13">
        <f>IF('Données projet'!$A$62&gt;35,AI54+AH55-AQ54,IF(A55&lt;'Données projet'!$A$62,$AF$205^A55,IF(A55='Données projet'!$A$62,'Données projet'!$B$62,AI54+AH55-AQ54)))</f>
        <v>104</v>
      </c>
      <c r="AJ55" s="13">
        <f>AI55*VLOOKUP('Données projet'!$B$10,Paramètres!$A$1:$I$89,3,0)*VLOOKUP('Données projet'!$B$10,Paramètres!$A$1:$I$89,5,0)</f>
        <v>94.099199999999996</v>
      </c>
      <c r="AK55" s="13">
        <f t="shared" si="35"/>
        <v>25.551276031514817</v>
      </c>
      <c r="AL55" s="20">
        <f t="shared" si="4"/>
        <v>208.39124575488827</v>
      </c>
      <c r="AM55" s="59">
        <f t="shared" si="5"/>
        <v>501.72457908822162</v>
      </c>
      <c r="AN55" s="59">
        <f ca="1">AVERAGE(OFFSET($AM$3,0,0,'Données projet'!$E$10+1,1))-AVERAGE(OFFSET($H$3,0,0,'Données projet'!$E$10+1,1))</f>
        <v>209.32570518924194</v>
      </c>
      <c r="AO55" s="59">
        <f t="shared" si="36"/>
        <v>138.10530102720475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0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9.75</v>
      </c>
      <c r="BD55" s="12">
        <f>IF('Données projet'!$A$88&gt;35,BD54+BC55-BL54,IF(A55&lt;'Données projet'!$A$88,$BA$205^A55,IF(A55='Données projet'!$A$88,'Données projet'!$B$88,BD54+BC55-BL54)))</f>
        <v>226</v>
      </c>
      <c r="BE55" s="13">
        <f>BD55*VLOOKUP('Données projet'!$B$11,Paramètres!$A$1:$I$89,3,0)*VLOOKUP('Données projet'!$B$11,Paramètres!$A$1:$I$89,5,0)</f>
        <v>141.024</v>
      </c>
      <c r="BF55" s="13">
        <f t="shared" si="37"/>
        <v>36.531489925882461</v>
      </c>
      <c r="BG55" s="20">
        <f t="shared" si="7"/>
        <v>309.24247828757859</v>
      </c>
      <c r="BH55" s="59">
        <f t="shared" si="8"/>
        <v>602.57581162091196</v>
      </c>
      <c r="BI55" s="59">
        <f ca="1">AVERAGE(OFFSET($BH$3,0,0,'Données projet'!$E$11+1,1))-AVERAGE(OFFSET($H$3,0,0,'Données projet'!$E$11+1,1))</f>
        <v>219.86035935827329</v>
      </c>
      <c r="BJ55" s="59">
        <f t="shared" si="38"/>
        <v>322.75312534885239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73.3964490954166</v>
      </c>
      <c r="BQ55" s="21">
        <f>EXP(-LN(2)/25)*BQ54+(1-EXP(-LN(2)/25))/(LN(2)/25)*Calculateur!BL55*Calculateur!BN55*VLOOKUP('Données projet'!$B$11,Paramètres!$A$1:$I$89,3,0)*0.475*44/12</f>
        <v>21.072455205347488</v>
      </c>
      <c r="BR55" s="21">
        <f>EXP(-LN(2)/2)*BR54+(1-EXP(-LN(2)/2))/(LN(2)/2)*BL55*BO55*VLOOKUP('Données projet'!$B$11,Paramètres!$A$1:$I$89,3,0)*0.475*44/12</f>
        <v>1.7361195182366602</v>
      </c>
      <c r="BS55" s="22">
        <f t="shared" si="9"/>
        <v>96.205023819000743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8.4</v>
      </c>
      <c r="BY55" s="12">
        <f>IF('Données projet'!$A$114&gt;35,BY54+BX55-CG54,IF(A55&lt;'Données projet'!$A$114,$BV$205^A55,IF(A55='Données projet'!$A$114,'Données projet'!$B$114,BY54+BX55-CG54)))</f>
        <v>298.7999999999999</v>
      </c>
      <c r="BZ55" s="13">
        <f>BY55*VLOOKUP('Données projet'!$B$12,Paramètres!$A$1:$I$89,3,0)*VLOOKUP('Données projet'!$B$12,Paramètres!$A$1:$I$89,5,0)</f>
        <v>237.72527999999994</v>
      </c>
      <c r="CA55" s="13">
        <f t="shared" si="39"/>
        <v>57.949842464086196</v>
      </c>
      <c r="CB55" s="20">
        <f t="shared" si="10"/>
        <v>514.96750495828326</v>
      </c>
      <c r="CC55" s="59">
        <f t="shared" si="11"/>
        <v>808.30083829161663</v>
      </c>
      <c r="CD55" s="59">
        <f ca="1">AVERAGE(OFFSET($CC$3,0,0,'Données projet'!$E$12+1,1))-AVERAGE(OFFSET($H$3,0,0,'Données projet'!$E$12+1,1))</f>
        <v>378.47278187128137</v>
      </c>
      <c r="CE55" s="59">
        <f t="shared" si="40"/>
        <v>372.59407061242604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10.133750429921429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10.133750429921429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15.295800000000014</v>
      </c>
      <c r="D56" s="11">
        <f t="shared" si="32"/>
        <v>5.1314494801602617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78.842015537460725</v>
      </c>
      <c r="H56" s="67">
        <f t="shared" si="1"/>
        <v>292.24412617794582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17.285714285714285</v>
      </c>
      <c r="N56" s="13">
        <f>IF('Données projet'!$A$36&gt;35,N55+M56-V55,IF(A56&lt;'Données projet'!$A$36,$K$205^A56,IF(A56='Données projet'!$A$36,'Données projet'!$B$36,N55+M56-V55)))</f>
        <v>462.14285714285694</v>
      </c>
      <c r="O56" s="13">
        <f>N56*VLOOKUP('Données projet'!$B$9,Paramètres!$A$1:$I$89,3,0)*VLOOKUP('Données projet'!$B$9,Paramètres!$A$1:$I$89,5,0)</f>
        <v>258.33785714285705</v>
      </c>
      <c r="P56" s="13">
        <f t="shared" si="33"/>
        <v>62.367944130057822</v>
      </c>
      <c r="Q56" s="20">
        <f t="shared" si="53"/>
        <v>558.56260388366002</v>
      </c>
      <c r="R56" s="59">
        <f t="shared" si="0"/>
        <v>851.89593721699339</v>
      </c>
      <c r="S56" s="59">
        <f ca="1">AVERAGE(OFFSET($R$3,0,0,'Données projet'!$E$9+1,1))-AVERAGE(OFFSET($H$3,0,0,'Données projet'!$E$9+1,1))</f>
        <v>347.01106511825213</v>
      </c>
      <c r="T56" s="59">
        <f t="shared" si="34"/>
        <v>329.53392323581539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17.108709370425274</v>
      </c>
      <c r="AA56" s="21">
        <f>EXP(-LN(2)/25)*AA55+(1-EXP(-LN(2)/25))/(LN(2)/25)*Calculateur!V56*Calculateur!X56*VLOOKUP('Données projet'!$B$9,Paramètres!$A$1:$I$89,3,0)*0.475*44/12</f>
        <v>36.552104927285633</v>
      </c>
      <c r="AB56" s="21">
        <f>EXP(-LN(2)/2)*AB55+(1-EXP(-LN(2)/2))/(LN(2)/2)*V56*Y56*VLOOKUP('Données projet'!$B$9,Paramètres!$A$1:$I$89,3,0)*0.475*44/12</f>
        <v>4.267158088169543</v>
      </c>
      <c r="AC56" s="22">
        <f t="shared" si="3"/>
        <v>57.927972385880452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</v>
      </c>
      <c r="AI56" s="13">
        <f>IF('Données projet'!$A$62&gt;35,AI55+AH56-AQ55,IF(A56&lt;'Données projet'!$A$62,$AF$205^A56,IF(A56='Données projet'!$A$62,'Données projet'!$B$62,AI55+AH56-AQ55)))</f>
        <v>106</v>
      </c>
      <c r="AJ56" s="13">
        <f>AI56*VLOOKUP('Données projet'!$B$10,Paramètres!$A$1:$I$89,3,0)*VLOOKUP('Données projet'!$B$10,Paramètres!$A$1:$I$89,5,0)</f>
        <v>95.908799999999999</v>
      </c>
      <c r="AK56" s="13">
        <f t="shared" si="35"/>
        <v>25.984968676228334</v>
      </c>
      <c r="AL56" s="20">
        <f t="shared" si="4"/>
        <v>212.29831377776432</v>
      </c>
      <c r="AM56" s="59">
        <f t="shared" si="5"/>
        <v>505.63164711109766</v>
      </c>
      <c r="AN56" s="59">
        <f ca="1">AVERAGE(OFFSET($AM$3,0,0,'Données projet'!$E$10+1,1))-AVERAGE(OFFSET($H$3,0,0,'Données projet'!$E$10+1,1))</f>
        <v>209.32570518924194</v>
      </c>
      <c r="AO56" s="59">
        <f t="shared" si="36"/>
        <v>138.10530102720475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0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9.75</v>
      </c>
      <c r="BD56" s="12">
        <f>IF('Données projet'!$A$88&gt;35,BD55+BC56-BL55,IF(A56&lt;'Données projet'!$A$88,$BA$205^A56,IF(A56='Données projet'!$A$88,'Données projet'!$B$88,BD55+BC56-BL55)))</f>
        <v>235.75</v>
      </c>
      <c r="BE56" s="13">
        <f>BD56*VLOOKUP('Données projet'!$B$11,Paramètres!$A$1:$I$89,3,0)*VLOOKUP('Données projet'!$B$11,Paramètres!$A$1:$I$89,5,0)</f>
        <v>147.108</v>
      </c>
      <c r="BF56" s="13">
        <f t="shared" si="37"/>
        <v>37.920625436598897</v>
      </c>
      <c r="BG56" s="20">
        <f t="shared" si="7"/>
        <v>322.25818930207646</v>
      </c>
      <c r="BH56" s="59">
        <f t="shared" si="8"/>
        <v>615.59152263540977</v>
      </c>
      <c r="BI56" s="59">
        <f ca="1">AVERAGE(OFFSET($BH$3,0,0,'Données projet'!$E$11+1,1))-AVERAGE(OFFSET($H$3,0,0,'Données projet'!$E$11+1,1))</f>
        <v>219.86035935827329</v>
      </c>
      <c r="BJ56" s="59">
        <f t="shared" si="38"/>
        <v>322.75312534885239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71.95718949606902</v>
      </c>
      <c r="BQ56" s="21">
        <f>EXP(-LN(2)/25)*BQ55+(1-EXP(-LN(2)/25))/(LN(2)/25)*Calculateur!BL56*Calculateur!BN56*VLOOKUP('Données projet'!$B$11,Paramètres!$A$1:$I$89,3,0)*0.475*44/12</f>
        <v>20.496227809605003</v>
      </c>
      <c r="BR56" s="21">
        <f>EXP(-LN(2)/2)*BR55+(1-EXP(-LN(2)/2))/(LN(2)/2)*BL56*BO56*VLOOKUP('Données projet'!$B$11,Paramètres!$A$1:$I$89,3,0)*0.475*44/12</f>
        <v>1.2276218842954645</v>
      </c>
      <c r="BS56" s="22">
        <f t="shared" si="9"/>
        <v>93.681039189969482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8.4</v>
      </c>
      <c r="BY56" s="12">
        <f>IF('Données projet'!$A$114&gt;35,BY55+BX56-CG55,IF(A56&lt;'Données projet'!$A$114,$BV$205^A56,IF(A56='Données projet'!$A$114,'Données projet'!$B$114,BY55+BX56-CG55)))</f>
        <v>307.19999999999987</v>
      </c>
      <c r="BZ56" s="13">
        <f>BY56*VLOOKUP('Données projet'!$B$12,Paramètres!$A$1:$I$89,3,0)*VLOOKUP('Données projet'!$B$12,Paramètres!$A$1:$I$89,5,0)</f>
        <v>244.40831999999992</v>
      </c>
      <c r="CA56" s="13">
        <f t="shared" si="39"/>
        <v>59.38699493610541</v>
      </c>
      <c r="CB56" s="20">
        <f t="shared" si="10"/>
        <v>529.11017351371675</v>
      </c>
      <c r="CC56" s="59">
        <f t="shared" si="11"/>
        <v>822.44350684705</v>
      </c>
      <c r="CD56" s="59">
        <f ca="1">AVERAGE(OFFSET($CC$3,0,0,'Données projet'!$E$12+1,1))-AVERAGE(OFFSET($H$3,0,0,'Données projet'!$E$12+1,1))</f>
        <v>378.47278187128137</v>
      </c>
      <c r="CE56" s="59">
        <f t="shared" si="40"/>
        <v>372.59407061242604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9.9350337649681109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9.9350337649681109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15.584400000000015</v>
      </c>
      <c r="D57" s="11">
        <f t="shared" si="32"/>
        <v>5.2169061663227261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80.285743098087764</v>
      </c>
      <c r="H57" s="67">
        <f t="shared" si="1"/>
        <v>292.89560823967878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17.285714285714285</v>
      </c>
      <c r="N57" s="13">
        <f>IF('Données projet'!$A$36&gt;35,N56+M57-V56,IF(A57&lt;'Données projet'!$A$36,$K$205^A57,IF(A57='Données projet'!$A$36,'Données projet'!$B$36,N56+M57-V56)))</f>
        <v>479.42857142857122</v>
      </c>
      <c r="O57" s="13">
        <f>N57*VLOOKUP('Données projet'!$B$9,Paramètres!$A$1:$I$89,3,0)*VLOOKUP('Données projet'!$B$9,Paramètres!$A$1:$I$89,5,0)</f>
        <v>268.00057142857128</v>
      </c>
      <c r="P57" s="13">
        <f t="shared" si="33"/>
        <v>64.42475669606354</v>
      </c>
      <c r="Q57" s="20">
        <f t="shared" si="53"/>
        <v>578.97411315040551</v>
      </c>
      <c r="R57" s="59">
        <f t="shared" si="0"/>
        <v>872.30744648373889</v>
      </c>
      <c r="S57" s="59">
        <f ca="1">AVERAGE(OFFSET($R$3,0,0,'Données projet'!$E$9+1,1))-AVERAGE(OFFSET($H$3,0,0,'Données projet'!$E$9+1,1))</f>
        <v>347.01106511825213</v>
      </c>
      <c r="T57" s="59">
        <f t="shared" si="34"/>
        <v>329.53392323581539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16.773218014953553</v>
      </c>
      <c r="AA57" s="21">
        <f>EXP(-LN(2)/25)*AA56+(1-EXP(-LN(2)/25))/(LN(2)/25)*Calculateur!V57*Calculateur!X57*VLOOKUP('Données projet'!$B$9,Paramètres!$A$1:$I$89,3,0)*0.475*44/12</f>
        <v>35.552585695857353</v>
      </c>
      <c r="AB57" s="21">
        <f>EXP(-LN(2)/2)*AB56+(1-EXP(-LN(2)/2))/(LN(2)/2)*V57*Y57*VLOOKUP('Données projet'!$B$9,Paramètres!$A$1:$I$89,3,0)*0.475*44/12</f>
        <v>3.0173364205397077</v>
      </c>
      <c r="AC57" s="22">
        <f t="shared" si="3"/>
        <v>55.343140131350609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</v>
      </c>
      <c r="AI57" s="13">
        <f>IF('Données projet'!$A$62&gt;35,AI56+AH57-AQ56,IF(A57&lt;'Données projet'!$A$62,$AF$205^A57,IF(A57='Données projet'!$A$62,'Données projet'!$B$62,AI56+AH57-AQ56)))</f>
        <v>108</v>
      </c>
      <c r="AJ57" s="13">
        <f>AI57*VLOOKUP('Données projet'!$B$10,Paramètres!$A$1:$I$89,3,0)*VLOOKUP('Données projet'!$B$10,Paramètres!$A$1:$I$89,5,0)</f>
        <v>97.718399999999988</v>
      </c>
      <c r="AK57" s="13">
        <f t="shared" si="35"/>
        <v>26.417709819192194</v>
      </c>
      <c r="AL57" s="20">
        <f t="shared" si="4"/>
        <v>216.20372460175972</v>
      </c>
      <c r="AM57" s="59">
        <f t="shared" si="5"/>
        <v>509.537057935093</v>
      </c>
      <c r="AN57" s="59">
        <f ca="1">AVERAGE(OFFSET($AM$3,0,0,'Données projet'!$E$10+1,1))-AVERAGE(OFFSET($H$3,0,0,'Données projet'!$E$10+1,1))</f>
        <v>209.32570518924194</v>
      </c>
      <c r="AO57" s="59">
        <f t="shared" si="36"/>
        <v>138.10530102720475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0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9.75</v>
      </c>
      <c r="BD57" s="12">
        <f>IF('Données projet'!$A$88&gt;35,BD56+BC57-BL56,IF(A57&lt;'Données projet'!$A$88,$BA$205^A57,IF(A57='Données projet'!$A$88,'Données projet'!$B$88,BD56+BC57-BL56)))</f>
        <v>245.5</v>
      </c>
      <c r="BE57" s="13">
        <f>BD57*VLOOKUP('Données projet'!$B$11,Paramètres!$A$1:$I$89,3,0)*VLOOKUP('Données projet'!$B$11,Paramètres!$A$1:$I$89,5,0)</f>
        <v>153.19199999999998</v>
      </c>
      <c r="BF57" s="13">
        <f t="shared" si="37"/>
        <v>39.303087713366921</v>
      </c>
      <c r="BG57" s="20">
        <f t="shared" si="7"/>
        <v>335.2622777674473</v>
      </c>
      <c r="BH57" s="59">
        <f t="shared" si="8"/>
        <v>628.59561110078062</v>
      </c>
      <c r="BI57" s="59">
        <f ca="1">AVERAGE(OFFSET($BH$3,0,0,'Données projet'!$E$11+1,1))-AVERAGE(OFFSET($H$3,0,0,'Données projet'!$E$11+1,1))</f>
        <v>219.86035935827329</v>
      </c>
      <c r="BJ57" s="59">
        <f t="shared" si="38"/>
        <v>322.75312534885239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70.546152899602973</v>
      </c>
      <c r="BQ57" s="21">
        <f>EXP(-LN(2)/25)*BQ56+(1-EXP(-LN(2)/25))/(LN(2)/25)*Calculateur!BL57*Calculateur!BN57*VLOOKUP('Données projet'!$B$11,Paramètres!$A$1:$I$89,3,0)*0.475*44/12</f>
        <v>19.935757382301578</v>
      </c>
      <c r="BR57" s="21">
        <f>EXP(-LN(2)/2)*BR56+(1-EXP(-LN(2)/2))/(LN(2)/2)*BL57*BO57*VLOOKUP('Données projet'!$B$11,Paramètres!$A$1:$I$89,3,0)*0.475*44/12</f>
        <v>0.86805975911833022</v>
      </c>
      <c r="BS57" s="22">
        <f t="shared" si="9"/>
        <v>91.349970041022871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8.4</v>
      </c>
      <c r="BY57" s="12">
        <f>IF('Données projet'!$A$114&gt;35,BY56+BX57-CG56,IF(A57&lt;'Données projet'!$A$114,$BV$205^A57,IF(A57='Données projet'!$A$114,'Données projet'!$B$114,BY56+BX57-CG56)))</f>
        <v>315.59999999999985</v>
      </c>
      <c r="BZ57" s="13">
        <f>BY57*VLOOKUP('Données projet'!$B$12,Paramètres!$A$1:$I$89,3,0)*VLOOKUP('Données projet'!$B$12,Paramètres!$A$1:$I$89,5,0)</f>
        <v>251.0913599999999</v>
      </c>
      <c r="CA57" s="13">
        <f t="shared" si="39"/>
        <v>60.81957989149403</v>
      </c>
      <c r="CB57" s="20">
        <f t="shared" si="10"/>
        <v>543.24488697768527</v>
      </c>
      <c r="CC57" s="59">
        <f t="shared" si="11"/>
        <v>836.57822031101864</v>
      </c>
      <c r="CD57" s="59">
        <f ca="1">AVERAGE(OFFSET($CC$3,0,0,'Données projet'!$E$12+1,1))-AVERAGE(OFFSET($H$3,0,0,'Données projet'!$E$12+1,1))</f>
        <v>378.47278187128137</v>
      </c>
      <c r="CE57" s="59">
        <f t="shared" si="40"/>
        <v>372.59407061242604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9.7402138126093298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9.7402138126093298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15.873000000000015</v>
      </c>
      <c r="D58" s="11">
        <f t="shared" si="32"/>
        <v>5.3021788331229533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81.728760408544801</v>
      </c>
      <c r="H58" s="67">
        <f t="shared" si="1"/>
        <v>293.54676980102255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17.285714285714285</v>
      </c>
      <c r="N58" s="13">
        <f>IF('Données projet'!$A$36&gt;35,N57+M58-V57,IF(A58&lt;'Données projet'!$A$36,$K$205^A58,IF(A58='Données projet'!$A$36,'Données projet'!$B$36,N57+M58-V57)))</f>
        <v>496.7142857142855</v>
      </c>
      <c r="O58" s="13">
        <f>N58*VLOOKUP('Données projet'!$B$9,Paramètres!$A$1:$I$89,3,0)*VLOOKUP('Données projet'!$B$9,Paramètres!$A$1:$I$89,5,0)</f>
        <v>277.66328571428562</v>
      </c>
      <c r="P58" s="13">
        <f t="shared" si="33"/>
        <v>66.47295338451616</v>
      </c>
      <c r="Q58" s="20">
        <f t="shared" si="53"/>
        <v>599.37061643041295</v>
      </c>
      <c r="R58" s="59">
        <f t="shared" si="0"/>
        <v>892.70394976374632</v>
      </c>
      <c r="S58" s="59">
        <f ca="1">AVERAGE(OFFSET($R$3,0,0,'Données projet'!$E$9+1,1))-AVERAGE(OFFSET($H$3,0,0,'Données projet'!$E$9+1,1))</f>
        <v>347.01106511825213</v>
      </c>
      <c r="T58" s="59">
        <f t="shared" si="34"/>
        <v>329.53392323581539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16.44430544033311</v>
      </c>
      <c r="AA58" s="21">
        <f>EXP(-LN(2)/25)*AA57+(1-EXP(-LN(2)/25))/(LN(2)/25)*Calculateur!V58*Calculateur!X58*VLOOKUP('Données projet'!$B$9,Paramètres!$A$1:$I$89,3,0)*0.475*44/12</f>
        <v>34.580398370374908</v>
      </c>
      <c r="AB58" s="21">
        <f>EXP(-LN(2)/2)*AB57+(1-EXP(-LN(2)/2))/(LN(2)/2)*V58*Y58*VLOOKUP('Données projet'!$B$9,Paramètres!$A$1:$I$89,3,0)*0.475*44/12</f>
        <v>2.1335790440847719</v>
      </c>
      <c r="AC58" s="22">
        <f t="shared" si="3"/>
        <v>53.158282854792787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2</v>
      </c>
      <c r="AI58" s="13">
        <f>IF('Données projet'!$A$62&gt;35,AI57+AH58-AQ57,IF(A58&lt;'Données projet'!$A$62,$AF$205^A58,IF(A58='Données projet'!$A$62,'Données projet'!$B$62,AI57+AH58-AQ57)))</f>
        <v>110</v>
      </c>
      <c r="AJ58" s="13">
        <f>AI58*VLOOKUP('Données projet'!$B$10,Paramètres!$A$1:$I$89,3,0)*VLOOKUP('Données projet'!$B$10,Paramètres!$A$1:$I$89,5,0)</f>
        <v>99.528000000000006</v>
      </c>
      <c r="AK58" s="13">
        <f t="shared" si="35"/>
        <v>26.849519112903323</v>
      </c>
      <c r="AL58" s="20">
        <f t="shared" si="4"/>
        <v>220.10751245497329</v>
      </c>
      <c r="AM58" s="59">
        <f t="shared" si="5"/>
        <v>513.44084578830666</v>
      </c>
      <c r="AN58" s="59">
        <f ca="1">AVERAGE(OFFSET($AM$3,0,0,'Données projet'!$E$10+1,1))-AVERAGE(OFFSET($H$3,0,0,'Données projet'!$E$10+1,1))</f>
        <v>209.32570518924194</v>
      </c>
      <c r="AO58" s="59">
        <f t="shared" si="36"/>
        <v>138.10530102720475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0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9.75</v>
      </c>
      <c r="BD58" s="12">
        <f>IF('Données projet'!$A$88&gt;35,BD57+BC58-BL57,IF(A58&lt;'Données projet'!$A$88,$BA$205^A58,IF(A58='Données projet'!$A$88,'Données projet'!$B$88,BD57+BC58-BL57)))</f>
        <v>255.25</v>
      </c>
      <c r="BE58" s="13">
        <f>BD58*VLOOKUP('Données projet'!$B$11,Paramètres!$A$1:$I$89,3,0)*VLOOKUP('Données projet'!$B$11,Paramètres!$A$1:$I$89,5,0)</f>
        <v>159.27600000000001</v>
      </c>
      <c r="BF58" s="13">
        <f t="shared" si="37"/>
        <v>40.679172107249002</v>
      </c>
      <c r="BG58" s="20">
        <f t="shared" si="7"/>
        <v>348.25525808679203</v>
      </c>
      <c r="BH58" s="59">
        <f t="shared" si="8"/>
        <v>641.58859142012534</v>
      </c>
      <c r="BI58" s="59">
        <f ca="1">AVERAGE(OFFSET($BH$3,0,0,'Données projet'!$E$11+1,1))-AVERAGE(OFFSET($H$3,0,0,'Données projet'!$E$11+1,1))</f>
        <v>219.86035935827329</v>
      </c>
      <c r="BJ58" s="59">
        <f t="shared" si="38"/>
        <v>322.75312534885239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69.16278587014628</v>
      </c>
      <c r="BQ58" s="21">
        <f>EXP(-LN(2)/25)*BQ57+(1-EXP(-LN(2)/25))/(LN(2)/25)*Calculateur!BL58*Calculateur!BN58*VLOOKUP('Données projet'!$B$11,Paramètres!$A$1:$I$89,3,0)*0.475*44/12</f>
        <v>19.390613048306623</v>
      </c>
      <c r="BR58" s="21">
        <f>EXP(-LN(2)/2)*BR57+(1-EXP(-LN(2)/2))/(LN(2)/2)*BL58*BO58*VLOOKUP('Données projet'!$B$11,Paramètres!$A$1:$I$89,3,0)*0.475*44/12</f>
        <v>0.61381094214773235</v>
      </c>
      <c r="BS58" s="22">
        <f t="shared" si="9"/>
        <v>89.167209860600636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>
        <f>VLOOKUP(A58,'Données projet'!$A$113:$I$133,2,0)</f>
        <v>324</v>
      </c>
      <c r="BW58" s="12">
        <f>VLOOKUP(A58,'Données projet'!$A$113:$I$133,9,0)</f>
        <v>8.4</v>
      </c>
      <c r="BX58" s="12">
        <f t="array" ref="BX58">INDEX(BW:BW,MIN(IF(ISNUMBER(BW58:BW254),ROW(BW58:BW254),"")))</f>
        <v>8.4</v>
      </c>
      <c r="BY58" s="12">
        <f>IF('Données projet'!$A$114&gt;35,BY57+BX58-CG57,IF(A58&lt;'Données projet'!$A$114,$BV$205^A58,IF(A58='Données projet'!$A$114,'Données projet'!$B$114,BY57+BX58-CG57)))</f>
        <v>323.99999999999983</v>
      </c>
      <c r="BZ58" s="13">
        <f>BY58*VLOOKUP('Données projet'!$B$12,Paramètres!$A$1:$I$89,3,0)*VLOOKUP('Données projet'!$B$12,Paramètres!$A$1:$I$89,5,0)</f>
        <v>257.7743999999999</v>
      </c>
      <c r="CA58" s="13">
        <f t="shared" si="39"/>
        <v>62.247732872134243</v>
      </c>
      <c r="CB58" s="20">
        <f t="shared" si="10"/>
        <v>557.37188141896695</v>
      </c>
      <c r="CC58" s="59">
        <f t="shared" si="11"/>
        <v>850.70521475230021</v>
      </c>
      <c r="CD58" s="59">
        <f ca="1">AVERAGE(OFFSET($CC$3,0,0,'Données projet'!$E$12+1,1))-AVERAGE(OFFSET($H$3,0,0,'Données projet'!$E$12+1,1))</f>
        <v>378.47278187128137</v>
      </c>
      <c r="CE58" s="59">
        <f t="shared" si="40"/>
        <v>372.59407061242604</v>
      </c>
      <c r="CF58" s="15">
        <f>IF(ISNA(VLOOKUP(A58,'Données projet'!$A$113:$I$133,3,0)),0,VLOOKUP(A58,'Données projet'!$A$113:$I$133,3,0))</f>
        <v>7</v>
      </c>
      <c r="CG58" s="15">
        <f>IF(ISNA(VLOOKUP(A58,'Données projet'!$A$113:$I$133,4,0)),0,VLOOKUP(A58,'Données projet'!$A$113:$I$133,4,0))</f>
        <v>18</v>
      </c>
      <c r="CH58" s="16">
        <f>IF(ISNA(VLOOKUP(A58,'Données projet'!$A$113:$I$133,5,0)),0%,VLOOKUP(A58,'Données projet'!$A$113:$I$133,5,0)*VLOOKUP('Données projet'!$B$12,Paramètres!$A$1:$I$89,7,0))</f>
        <v>0.1855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12.485905509868338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12.485905509868338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16.161600000000014</v>
      </c>
      <c r="D59" s="11">
        <f t="shared" si="32"/>
        <v>5.3872712122842259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83.171081871974266</v>
      </c>
      <c r="H59" s="67">
        <f t="shared" si="1"/>
        <v>294.19761736139509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>
        <f>VLOOKUP(A59,'Données projet'!$A$35:$I$55,2,0)</f>
        <v>514</v>
      </c>
      <c r="L59" s="12">
        <f>VLOOKUP(A59,'Données projet'!$A$35:$I$55,9,0)</f>
        <v>17.285714285714285</v>
      </c>
      <c r="M59" s="12">
        <f t="array" ref="M59">INDEX(L:L,MIN(IF(ISNUMBER(L59:L255),ROW(L59:L255),"")))</f>
        <v>17.285714285714285</v>
      </c>
      <c r="N59" s="13">
        <f>IF('Données projet'!$A$36&gt;35,N58+M59-V58,IF(A59&lt;'Données projet'!$A$36,$K$205^A59,IF(A59='Données projet'!$A$36,'Données projet'!$B$36,N58+M59-V58)))</f>
        <v>513.99999999999977</v>
      </c>
      <c r="O59" s="13">
        <f>N59*VLOOKUP('Données projet'!$B$9,Paramètres!$A$1:$I$89,3,0)*VLOOKUP('Données projet'!$B$9,Paramètres!$A$1:$I$89,5,0)</f>
        <v>287.32599999999985</v>
      </c>
      <c r="P59" s="13">
        <f t="shared" si="33"/>
        <v>68.512868389632061</v>
      </c>
      <c r="Q59" s="20">
        <f t="shared" si="53"/>
        <v>619.75269577860888</v>
      </c>
      <c r="R59" s="59">
        <f t="shared" si="0"/>
        <v>913.08602911194225</v>
      </c>
      <c r="S59" s="59">
        <f ca="1">AVERAGE(OFFSET($R$3,0,0,'Données projet'!$E$9+1,1))-AVERAGE(OFFSET($H$3,0,0,'Données projet'!$E$9+1,1))</f>
        <v>347.01106511825213</v>
      </c>
      <c r="T59" s="59">
        <f t="shared" si="34"/>
        <v>329.53392323581539</v>
      </c>
      <c r="U59" s="15">
        <f>IF(ISNA(VLOOKUP(A59,'Données projet'!$A$35:$I$55,3,0)),0,VLOOKUP(A59,'Données projet'!$A$35:$I$55,3,0))</f>
        <v>5</v>
      </c>
      <c r="V59" s="15">
        <f>IF(ISNA(VLOOKUP(A59,'Données projet'!$A$35:$I$55,4,0)),0,VLOOKUP(A59,'Données projet'!$A$35:$I$55,4,0))</f>
        <v>85</v>
      </c>
      <c r="W59" s="16">
        <f>IF(ISNA(VLOOKUP(A59,'Données projet'!$A$35:$I$55,5,0)),0%,VLOOKUP(A59,'Données projet'!$A$35:$I$55,5,0)*VLOOKUP('Données projet'!$B$9,Paramètres!$A$1:$I$89,7,0))</f>
        <v>0.27500000000000002</v>
      </c>
      <c r="X59" s="16">
        <f>IF(ISNA(VLOOKUP(A59,'Données projet'!$A$35:$I$55,6,0)),0%,VLOOKUP(A59,'Données projet'!$A$35:$I$55,6,0)*VLOOKUP('Données projet'!$B$9,Paramètres!$A$1:$I$89,7,0))</f>
        <v>0.16500000000000001</v>
      </c>
      <c r="Y59" s="16">
        <f>IF(ISNA(VLOOKUP(A59,'Données projet'!$A$35:$I$55,7,0)),0%,VLOOKUP(A59,'Données projet'!$A$35:$I$55,7,0))</f>
        <v>0.2</v>
      </c>
      <c r="Z59" s="21">
        <f>EXP(-LN(2)/35)*Z58+(1-EXP(-LN(2)/35))/(LN(2)/35)*V59*W59*VLOOKUP('Données projet'!$B$9,Paramètres!$A$1:$I$89,3,0)*0.475*44/12</f>
        <v>33.455562918241796</v>
      </c>
      <c r="AA59" s="21">
        <f>EXP(-LN(2)/25)*AA58+(1-EXP(-LN(2)/25))/(LN(2)/25)*Calculateur!V59*Calculateur!X59*VLOOKUP('Données projet'!$B$9,Paramètres!$A$1:$I$89,3,0)*0.475*44/12</f>
        <v>43.994078048128721</v>
      </c>
      <c r="AB59" s="21">
        <f>EXP(-LN(2)/2)*AB58+(1-EXP(-LN(2)/2))/(LN(2)/2)*V59*Y59*VLOOKUP('Données projet'!$B$9,Paramètres!$A$1:$I$89,3,0)*0.475*44/12</f>
        <v>12.268271733663859</v>
      </c>
      <c r="AC59" s="22">
        <f t="shared" si="3"/>
        <v>89.717912700034361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>
        <f>VLOOKUP(A59,'Données projet'!$A$61:$I$81,2,0)</f>
        <v>112</v>
      </c>
      <c r="AG59" s="12">
        <f>VLOOKUP(A59,'Données projet'!$A$61:$I$81,9,0)</f>
        <v>2</v>
      </c>
      <c r="AH59" s="12">
        <f t="array" ref="AH59">INDEX(AG:AG,MIN(IF(ISNUMBER(AG59:AG255),ROW(AG59:AG255),"")))</f>
        <v>2</v>
      </c>
      <c r="AI59" s="13">
        <f>IF('Données projet'!$A$62&gt;35,AI58+AH59-AQ58,IF(A59&lt;'Données projet'!$A$62,$AF$205^A59,IF(A59='Données projet'!$A$62,'Données projet'!$B$62,AI58+AH59-AQ58)))</f>
        <v>112</v>
      </c>
      <c r="AJ59" s="13">
        <f>AI59*VLOOKUP('Données projet'!$B$10,Paramètres!$A$1:$I$89,3,0)*VLOOKUP('Données projet'!$B$10,Paramètres!$A$1:$I$89,5,0)</f>
        <v>101.33759999999999</v>
      </c>
      <c r="AK59" s="13">
        <f t="shared" si="35"/>
        <v>27.280415454305565</v>
      </c>
      <c r="AL59" s="20">
        <f t="shared" si="4"/>
        <v>224.00971024958213</v>
      </c>
      <c r="AM59" s="59">
        <f t="shared" si="5"/>
        <v>517.34304358291547</v>
      </c>
      <c r="AN59" s="59">
        <f ca="1">AVERAGE(OFFSET($AM$3,0,0,'Données projet'!$E$10+1,1))-AVERAGE(OFFSET($H$3,0,0,'Données projet'!$E$10+1,1))</f>
        <v>209.32570518924194</v>
      </c>
      <c r="AO59" s="59">
        <f t="shared" si="36"/>
        <v>138.10530102720475</v>
      </c>
      <c r="AP59" s="15">
        <f>IF(ISNA(VLOOKUP(A59,'Données projet'!$A$61:$I$81,3,0)),0,VLOOKUP(A59,'Données projet'!$A$61:$I$81,3,0))</f>
        <v>1</v>
      </c>
      <c r="AQ59" s="15">
        <f>IF(ISNA(VLOOKUP(A59,'Données projet'!$A$61:$I$81,4,0)),0,VLOOKUP(A59,'Données projet'!$A$61:$I$81,4,0))</f>
        <v>33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0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9.75</v>
      </c>
      <c r="BD59" s="12">
        <f>IF('Données projet'!$A$88&gt;35,BD58+BC59-BL58,IF(A59&lt;'Données projet'!$A$88,$BA$205^A59,IF(A59='Données projet'!$A$88,'Données projet'!$B$88,BD58+BC59-BL58)))</f>
        <v>265</v>
      </c>
      <c r="BE59" s="13">
        <f>BD59*VLOOKUP('Données projet'!$B$11,Paramètres!$A$1:$I$89,3,0)*VLOOKUP('Données projet'!$B$11,Paramètres!$A$1:$I$89,5,0)</f>
        <v>165.35999999999999</v>
      </c>
      <c r="BF59" s="13">
        <f t="shared" si="37"/>
        <v>42.04915012784209</v>
      </c>
      <c r="BG59" s="20">
        <f t="shared" si="7"/>
        <v>361.2376031393249</v>
      </c>
      <c r="BH59" s="59">
        <f t="shared" si="8"/>
        <v>654.57093647265822</v>
      </c>
      <c r="BI59" s="59">
        <f ca="1">AVERAGE(OFFSET($BH$3,0,0,'Données projet'!$E$11+1,1))-AVERAGE(OFFSET($H$3,0,0,'Données projet'!$E$11+1,1))</f>
        <v>219.86035935827329</v>
      </c>
      <c r="BJ59" s="59">
        <f t="shared" si="38"/>
        <v>322.75312534885239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67.806545824366651</v>
      </c>
      <c r="BQ59" s="21">
        <f>EXP(-LN(2)/25)*BQ58+(1-EXP(-LN(2)/25))/(LN(2)/25)*Calculateur!BL59*Calculateur!BN59*VLOOKUP('Données projet'!$B$11,Paramètres!$A$1:$I$89,3,0)*0.475*44/12</f>
        <v>18.860375714792657</v>
      </c>
      <c r="BR59" s="21">
        <f>EXP(-LN(2)/2)*BR58+(1-EXP(-LN(2)/2))/(LN(2)/2)*BL59*BO59*VLOOKUP('Données projet'!$B$11,Paramètres!$A$1:$I$89,3,0)*0.475*44/12</f>
        <v>0.43402987955916517</v>
      </c>
      <c r="BS59" s="22">
        <f t="shared" si="9"/>
        <v>87.100951418718466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7.4</v>
      </c>
      <c r="BY59" s="12">
        <f>IF('Données projet'!$A$114&gt;35,BY58+BX59-CG58,IF(A59&lt;'Données projet'!$A$114,$BV$205^A59,IF(A59='Données projet'!$A$114,'Données projet'!$B$114,BY58+BX59-CG58)))</f>
        <v>313.39999999999981</v>
      </c>
      <c r="BZ59" s="13">
        <f>BY59*VLOOKUP('Données projet'!$B$12,Paramètres!$A$1:$I$89,3,0)*VLOOKUP('Données projet'!$B$12,Paramètres!$A$1:$I$89,5,0)</f>
        <v>249.34103999999988</v>
      </c>
      <c r="CA59" s="13">
        <f t="shared" si="39"/>
        <v>60.444812818312201</v>
      </c>
      <c r="CB59" s="20">
        <f t="shared" si="10"/>
        <v>539.54369365856019</v>
      </c>
      <c r="CC59" s="59">
        <f t="shared" si="11"/>
        <v>832.87702699189344</v>
      </c>
      <c r="CD59" s="59">
        <f ca="1">AVERAGE(OFFSET($CC$3,0,0,'Données projet'!$E$12+1,1))-AVERAGE(OFFSET($H$3,0,0,'Données projet'!$E$12+1,1))</f>
        <v>378.47278187128137</v>
      </c>
      <c r="CE59" s="59">
        <f t="shared" si="40"/>
        <v>372.59407061242604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12.241064518470198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12.241064518470198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16.450200000000013</v>
      </c>
      <c r="D60" s="11">
        <f t="shared" si="32"/>
        <v>5.4721868946214061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84.612721347661619</v>
      </c>
      <c r="H60" s="67">
        <f t="shared" si="1"/>
        <v>294.84815717479898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15.571428571428571</v>
      </c>
      <c r="N60" s="13">
        <f>IF('Données projet'!$A$36&gt;35,N59+M60-V59,IF(A60&lt;'Données projet'!$A$36,$K$205^A60,IF(A60='Données projet'!$A$36,'Données projet'!$B$36,N59+M60-V59)))</f>
        <v>444.57142857142833</v>
      </c>
      <c r="O60" s="13">
        <f>N60*VLOOKUP('Données projet'!$B$9,Paramètres!$A$1:$I$89,3,0)*VLOOKUP('Données projet'!$B$9,Paramètres!$A$1:$I$89,5,0)</f>
        <v>248.51542857142846</v>
      </c>
      <c r="P60" s="13">
        <f t="shared" si="33"/>
        <v>60.267932112745214</v>
      </c>
      <c r="Q60" s="20">
        <f t="shared" si="53"/>
        <v>537.79768652493578</v>
      </c>
      <c r="R60" s="59">
        <f t="shared" si="0"/>
        <v>831.13101985826916</v>
      </c>
      <c r="S60" s="59">
        <f ca="1">AVERAGE(OFFSET($R$3,0,0,'Données projet'!$E$9+1,1))-AVERAGE(OFFSET($H$3,0,0,'Données projet'!$E$9+1,1))</f>
        <v>347.01106511825213</v>
      </c>
      <c r="T60" s="59">
        <f t="shared" si="34"/>
        <v>329.53392323581539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32.799519735293543</v>
      </c>
      <c r="AA60" s="21">
        <f>EXP(-LN(2)/25)*AA59+(1-EXP(-LN(2)/25))/(LN(2)/25)*Calculateur!V60*Calculateur!X60*VLOOKUP('Données projet'!$B$9,Paramètres!$A$1:$I$89,3,0)*0.475*44/12</f>
        <v>42.791057670354625</v>
      </c>
      <c r="AB60" s="21">
        <f>EXP(-LN(2)/2)*AB59+(1-EXP(-LN(2)/2))/(LN(2)/2)*V60*Y60*VLOOKUP('Données projet'!$B$9,Paramètres!$A$1:$I$89,3,0)*0.475*44/12</f>
        <v>8.6749781363129568</v>
      </c>
      <c r="AC60" s="22">
        <f t="shared" si="3"/>
        <v>84.26555554196112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</v>
      </c>
      <c r="AI60" s="13">
        <f>IF('Données projet'!$A$62&gt;35,AI59+AH60-AQ59,IF(A60&lt;'Données projet'!$A$62,$AF$205^A60,IF(A60='Données projet'!$A$62,'Données projet'!$B$62,AI59+AH60-AQ59)))</f>
        <v>84</v>
      </c>
      <c r="AJ60" s="13">
        <f>AI60*VLOOKUP('Données projet'!$B$10,Paramètres!$A$1:$I$89,3,0)*VLOOKUP('Données projet'!$B$10,Paramètres!$A$1:$I$89,5,0)</f>
        <v>76.003200000000007</v>
      </c>
      <c r="AK60" s="13">
        <f t="shared" si="35"/>
        <v>21.157049992000456</v>
      </c>
      <c r="AL60" s="20">
        <f t="shared" si="4"/>
        <v>169.22076873606747</v>
      </c>
      <c r="AM60" s="59">
        <f t="shared" si="5"/>
        <v>462.55410206940076</v>
      </c>
      <c r="AN60" s="59">
        <f ca="1">AVERAGE(OFFSET($AM$3,0,0,'Données projet'!$E$10+1,1))-AVERAGE(OFFSET($H$3,0,0,'Données projet'!$E$10+1,1))</f>
        <v>209.32570518924194</v>
      </c>
      <c r="AO60" s="59">
        <f t="shared" si="36"/>
        <v>138.10530102720475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0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9.75</v>
      </c>
      <c r="BD60" s="12">
        <f>IF('Données projet'!$A$88&gt;35,BD59+BC60-BL59,IF(A60&lt;'Données projet'!$A$88,$BA$205^A60,IF(A60='Données projet'!$A$88,'Données projet'!$B$88,BD59+BC60-BL59)))</f>
        <v>274.75</v>
      </c>
      <c r="BE60" s="13">
        <f>BD60*VLOOKUP('Données projet'!$B$11,Paramètres!$A$1:$I$89,3,0)*VLOOKUP('Données projet'!$B$11,Paramètres!$A$1:$I$89,5,0)</f>
        <v>171.44399999999999</v>
      </c>
      <c r="BF60" s="13">
        <f t="shared" si="37"/>
        <v>43.413272173627242</v>
      </c>
      <c r="BG60" s="20">
        <f t="shared" si="7"/>
        <v>374.20974903573409</v>
      </c>
      <c r="BH60" s="59">
        <f t="shared" si="8"/>
        <v>667.54308236906741</v>
      </c>
      <c r="BI60" s="59">
        <f ca="1">AVERAGE(OFFSET($BH$3,0,0,'Données projet'!$E$11+1,1))-AVERAGE(OFFSET($H$3,0,0,'Données projet'!$E$11+1,1))</f>
        <v>219.86035935827329</v>
      </c>
      <c r="BJ60" s="59">
        <f t="shared" si="38"/>
        <v>322.75312534885239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66.476900818660013</v>
      </c>
      <c r="BQ60" s="21">
        <f>EXP(-LN(2)/25)*BQ59+(1-EXP(-LN(2)/25))/(LN(2)/25)*Calculateur!BL60*Calculateur!BN60*VLOOKUP('Données projet'!$B$11,Paramètres!$A$1:$I$89,3,0)*0.475*44/12</f>
        <v>18.3446377490476</v>
      </c>
      <c r="BR60" s="21">
        <f>EXP(-LN(2)/2)*BR59+(1-EXP(-LN(2)/2))/(LN(2)/2)*BL60*BO60*VLOOKUP('Données projet'!$B$11,Paramètres!$A$1:$I$89,3,0)*0.475*44/12</f>
        <v>0.30690547107386618</v>
      </c>
      <c r="BS60" s="22">
        <f t="shared" si="9"/>
        <v>85.128444038781481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7.4</v>
      </c>
      <c r="BY60" s="12">
        <f>IF('Données projet'!$A$114&gt;35,BY59+BX60-CG59,IF(A60&lt;'Données projet'!$A$114,$BV$205^A60,IF(A60='Données projet'!$A$114,'Données projet'!$B$114,BY59+BX60-CG59)))</f>
        <v>320.79999999999978</v>
      </c>
      <c r="BZ60" s="13">
        <f>BY60*VLOOKUP('Données projet'!$B$12,Paramètres!$A$1:$I$89,3,0)*VLOOKUP('Données projet'!$B$12,Paramètres!$A$1:$I$89,5,0)</f>
        <v>255.22847999999985</v>
      </c>
      <c r="CA60" s="13">
        <f t="shared" si="39"/>
        <v>61.704188876103551</v>
      </c>
      <c r="CB60" s="20">
        <f t="shared" si="10"/>
        <v>551.99106495921342</v>
      </c>
      <c r="CC60" s="59">
        <f t="shared" si="11"/>
        <v>845.32439829254668</v>
      </c>
      <c r="CD60" s="59">
        <f ca="1">AVERAGE(OFFSET($CC$3,0,0,'Données projet'!$E$12+1,1))-AVERAGE(OFFSET($H$3,0,0,'Données projet'!$E$12+1,1))</f>
        <v>378.47278187128137</v>
      </c>
      <c r="CE60" s="59">
        <f t="shared" si="40"/>
        <v>372.59407061242604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12.001024709575116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12.001024709575116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16.738800000000012</v>
      </c>
      <c r="D61" s="11">
        <f t="shared" si="32"/>
        <v>5.5569293377386169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86.053692180745585</v>
      </c>
      <c r="H61" s="67">
        <f t="shared" si="1"/>
        <v>295.49839526322813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15.571428571428571</v>
      </c>
      <c r="N61" s="13">
        <f>IF('Données projet'!$A$36&gt;35,N60+M61-V60,IF(A61&lt;'Données projet'!$A$36,$K$205^A61,IF(A61='Données projet'!$A$36,'Données projet'!$B$36,N60+M61-V60)))</f>
        <v>460.14285714285688</v>
      </c>
      <c r="O61" s="13">
        <f>N61*VLOOKUP('Données projet'!$B$9,Paramètres!$A$1:$I$89,3,0)*VLOOKUP('Données projet'!$B$9,Paramètres!$A$1:$I$89,5,0)</f>
        <v>257.21985714285699</v>
      </c>
      <c r="P61" s="13">
        <f t="shared" si="33"/>
        <v>62.129393573116417</v>
      </c>
      <c r="Q61" s="20">
        <f t="shared" si="53"/>
        <v>556.19994499698703</v>
      </c>
      <c r="R61" s="59">
        <f t="shared" si="0"/>
        <v>849.5332783303204</v>
      </c>
      <c r="S61" s="59">
        <f ca="1">AVERAGE(OFFSET($R$3,0,0,'Données projet'!$E$9+1,1))-AVERAGE(OFFSET($H$3,0,0,'Données projet'!$E$9+1,1))</f>
        <v>347.01106511825213</v>
      </c>
      <c r="T61" s="59">
        <f t="shared" si="34"/>
        <v>329.53392323581539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32.156341159016073</v>
      </c>
      <c r="AA61" s="21">
        <f>EXP(-LN(2)/25)*AA60+(1-EXP(-LN(2)/25))/(LN(2)/25)*Calculateur!V61*Calculateur!X61*VLOOKUP('Données projet'!$B$9,Paramètres!$A$1:$I$89,3,0)*0.475*44/12</f>
        <v>41.620933948074857</v>
      </c>
      <c r="AB61" s="21">
        <f>EXP(-LN(2)/2)*AB60+(1-EXP(-LN(2)/2))/(LN(2)/2)*V61*Y61*VLOOKUP('Données projet'!$B$9,Paramètres!$A$1:$I$89,3,0)*0.475*44/12</f>
        <v>6.1341358668319304</v>
      </c>
      <c r="AC61" s="22">
        <f t="shared" si="3"/>
        <v>79.911410973922855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</v>
      </c>
      <c r="AI61" s="13">
        <f>IF('Données projet'!$A$62&gt;35,AI60+AH61-AQ60,IF(A61&lt;'Données projet'!$A$62,$AF$205^A61,IF(A61='Données projet'!$A$62,'Données projet'!$B$62,AI60+AH61-AQ60)))</f>
        <v>89</v>
      </c>
      <c r="AJ61" s="13">
        <f>AI61*VLOOKUP('Données projet'!$B$10,Paramètres!$A$1:$I$89,3,0)*VLOOKUP('Données projet'!$B$10,Paramètres!$A$1:$I$89,5,0)</f>
        <v>80.527199999999993</v>
      </c>
      <c r="AK61" s="13">
        <f t="shared" si="35"/>
        <v>22.266037950985503</v>
      </c>
      <c r="AL61" s="20">
        <f t="shared" si="4"/>
        <v>179.03155609796639</v>
      </c>
      <c r="AM61" s="59">
        <f t="shared" si="5"/>
        <v>472.36488943129973</v>
      </c>
      <c r="AN61" s="59">
        <f ca="1">AVERAGE(OFFSET($AM$3,0,0,'Données projet'!$E$10+1,1))-AVERAGE(OFFSET($H$3,0,0,'Données projet'!$E$10+1,1))</f>
        <v>209.32570518924194</v>
      </c>
      <c r="AO61" s="59">
        <f t="shared" si="36"/>
        <v>138.10530102720475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0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9.75</v>
      </c>
      <c r="BD61" s="12">
        <f>IF('Données projet'!$A$88&gt;35,BD60+BC61-BL60,IF(A61&lt;'Données projet'!$A$88,$BA$205^A61,IF(A61='Données projet'!$A$88,'Données projet'!$B$88,BD60+BC61-BL60)))</f>
        <v>284.5</v>
      </c>
      <c r="BE61" s="13">
        <f>BD61*VLOOKUP('Données projet'!$B$11,Paramètres!$A$1:$I$89,3,0)*VLOOKUP('Données projet'!$B$11,Paramètres!$A$1:$I$89,5,0)</f>
        <v>177.52800000000002</v>
      </c>
      <c r="BF61" s="13">
        <f t="shared" si="37"/>
        <v>44.771769863863661</v>
      </c>
      <c r="BG61" s="20">
        <f t="shared" si="7"/>
        <v>387.17209917956257</v>
      </c>
      <c r="BH61" s="59">
        <f t="shared" si="8"/>
        <v>680.50543251289582</v>
      </c>
      <c r="BI61" s="59">
        <f ca="1">AVERAGE(OFFSET($BH$3,0,0,'Données projet'!$E$11+1,1))-AVERAGE(OFFSET($H$3,0,0,'Données projet'!$E$11+1,1))</f>
        <v>219.86035935827329</v>
      </c>
      <c r="BJ61" s="59">
        <f t="shared" si="38"/>
        <v>322.75312534885239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65.173329340511913</v>
      </c>
      <c r="BQ61" s="21">
        <f>EXP(-LN(2)/25)*BQ60+(1-EXP(-LN(2)/25))/(LN(2)/25)*Calculateur!BL61*Calculateur!BN61*VLOOKUP('Données projet'!$B$11,Paramètres!$A$1:$I$89,3,0)*0.475*44/12</f>
        <v>17.84300266509732</v>
      </c>
      <c r="BR61" s="21">
        <f>EXP(-LN(2)/2)*BR60+(1-EXP(-LN(2)/2))/(LN(2)/2)*BL61*BO61*VLOOKUP('Données projet'!$B$11,Paramètres!$A$1:$I$89,3,0)*0.475*44/12</f>
        <v>0.21701493977958258</v>
      </c>
      <c r="BS61" s="22">
        <f t="shared" si="9"/>
        <v>83.233346945388817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7.4</v>
      </c>
      <c r="BY61" s="12">
        <f>IF('Données projet'!$A$114&gt;35,BY60+BX61-CG60,IF(A61&lt;'Données projet'!$A$114,$BV$205^A61,IF(A61='Données projet'!$A$114,'Données projet'!$B$114,BY60+BX61-CG60)))</f>
        <v>328.19999999999976</v>
      </c>
      <c r="BZ61" s="13">
        <f>BY61*VLOOKUP('Données projet'!$B$12,Paramètres!$A$1:$I$89,3,0)*VLOOKUP('Données projet'!$B$12,Paramètres!$A$1:$I$89,5,0)</f>
        <v>261.11591999999985</v>
      </c>
      <c r="CA61" s="13">
        <f t="shared" si="39"/>
        <v>62.960187681145797</v>
      </c>
      <c r="CB61" s="20">
        <f t="shared" si="10"/>
        <v>564.43255421132858</v>
      </c>
      <c r="CC61" s="59">
        <f t="shared" si="11"/>
        <v>857.76588754466184</v>
      </c>
      <c r="CD61" s="59">
        <f ca="1">AVERAGE(OFFSET($CC$3,0,0,'Données projet'!$E$12+1,1))-AVERAGE(OFFSET($H$3,0,0,'Données projet'!$E$12+1,1))</f>
        <v>378.47278187128137</v>
      </c>
      <c r="CE61" s="59">
        <f t="shared" si="40"/>
        <v>372.59407061242604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11.765691934922641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11.765691934922641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17.027400000000011</v>
      </c>
      <c r="D62" s="11">
        <f t="shared" si="32"/>
        <v>5.6415018731810411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87.494007229821605</v>
      </c>
      <c r="H62" s="67">
        <f t="shared" si="1"/>
        <v>296.14833742912367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15.571428571428571</v>
      </c>
      <c r="N62" s="13">
        <f>IF('Données projet'!$A$36&gt;35,N61+M62-V61,IF(A62&lt;'Données projet'!$A$36,$K$205^A62,IF(A62='Données projet'!$A$36,'Données projet'!$B$36,N61+M62-V61)))</f>
        <v>475.71428571428544</v>
      </c>
      <c r="O62" s="13">
        <f>N62*VLOOKUP('Données projet'!$B$9,Paramètres!$A$1:$I$89,3,0)*VLOOKUP('Données projet'!$B$9,Paramètres!$A$1:$I$89,5,0)</f>
        <v>265.92428571428559</v>
      </c>
      <c r="P62" s="13">
        <f t="shared" si="33"/>
        <v>63.983535636381461</v>
      </c>
      <c r="Q62" s="20">
        <f t="shared" si="53"/>
        <v>574.58945551907846</v>
      </c>
      <c r="R62" s="59">
        <f t="shared" si="0"/>
        <v>867.92278885241171</v>
      </c>
      <c r="S62" s="59">
        <f ca="1">AVERAGE(OFFSET($R$3,0,0,'Données projet'!$E$9+1,1))-AVERAGE(OFFSET($H$3,0,0,'Données projet'!$E$9+1,1))</f>
        <v>347.01106511825213</v>
      </c>
      <c r="T62" s="59">
        <f t="shared" si="34"/>
        <v>329.53392323581539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31.525774922319208</v>
      </c>
      <c r="AA62" s="21">
        <f>EXP(-LN(2)/25)*AA61+(1-EXP(-LN(2)/25))/(LN(2)/25)*Calculateur!V62*Calculateur!X62*VLOOKUP('Données projet'!$B$9,Paramètres!$A$1:$I$89,3,0)*0.475*44/12</f>
        <v>40.482807320514958</v>
      </c>
      <c r="AB62" s="21">
        <f>EXP(-LN(2)/2)*AB61+(1-EXP(-LN(2)/2))/(LN(2)/2)*V62*Y62*VLOOKUP('Données projet'!$B$9,Paramètres!$A$1:$I$89,3,0)*0.475*44/12</f>
        <v>4.3374890681564793</v>
      </c>
      <c r="AC62" s="22">
        <f t="shared" si="3"/>
        <v>76.346071310990652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</v>
      </c>
      <c r="AI62" s="13">
        <f>IF('Données projet'!$A$62&gt;35,AI61+AH62-AQ61,IF(A62&lt;'Données projet'!$A$62,$AF$205^A62,IF(A62='Données projet'!$A$62,'Données projet'!$B$62,AI61+AH62-AQ61)))</f>
        <v>94</v>
      </c>
      <c r="AJ62" s="13">
        <f>AI62*VLOOKUP('Données projet'!$B$10,Paramètres!$A$1:$I$89,3,0)*VLOOKUP('Données projet'!$B$10,Paramètres!$A$1:$I$89,5,0)</f>
        <v>85.051199999999994</v>
      </c>
      <c r="AK62" s="13">
        <f t="shared" si="35"/>
        <v>23.367793520672731</v>
      </c>
      <c r="AL62" s="20">
        <f t="shared" si="4"/>
        <v>188.82974704850497</v>
      </c>
      <c r="AM62" s="59">
        <f t="shared" si="5"/>
        <v>482.16308038183831</v>
      </c>
      <c r="AN62" s="59">
        <f ca="1">AVERAGE(OFFSET($AM$3,0,0,'Données projet'!$E$10+1,1))-AVERAGE(OFFSET($H$3,0,0,'Données projet'!$E$10+1,1))</f>
        <v>209.32570518924194</v>
      </c>
      <c r="AO62" s="59">
        <f t="shared" si="36"/>
        <v>138.10530102720475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0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9.75</v>
      </c>
      <c r="BD62" s="12">
        <f>IF('Données projet'!$A$88&gt;35,BD61+BC62-BL61,IF(A62&lt;'Données projet'!$A$88,$BA$205^A62,IF(A62='Données projet'!$A$88,'Données projet'!$B$88,BD61+BC62-BL61)))</f>
        <v>294.25</v>
      </c>
      <c r="BE62" s="13">
        <f>BD62*VLOOKUP('Données projet'!$B$11,Paramètres!$A$1:$I$89,3,0)*VLOOKUP('Données projet'!$B$11,Paramètres!$A$1:$I$89,5,0)</f>
        <v>183.61199999999999</v>
      </c>
      <c r="BF62" s="13">
        <f t="shared" si="37"/>
        <v>46.124858041839339</v>
      </c>
      <c r="BG62" s="20">
        <f t="shared" si="7"/>
        <v>400.12502775620351</v>
      </c>
      <c r="BH62" s="59">
        <f t="shared" si="8"/>
        <v>693.45836108953677</v>
      </c>
      <c r="BI62" s="59">
        <f ca="1">AVERAGE(OFFSET($BH$3,0,0,'Données projet'!$E$11+1,1))-AVERAGE(OFFSET($H$3,0,0,'Données projet'!$E$11+1,1))</f>
        <v>219.86035935827329</v>
      </c>
      <c r="BJ62" s="59">
        <f t="shared" si="38"/>
        <v>322.75312534885239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63.895320103950205</v>
      </c>
      <c r="BQ62" s="21">
        <f>EXP(-LN(2)/25)*BQ61+(1-EXP(-LN(2)/25))/(LN(2)/25)*Calculateur!BL62*Calculateur!BN62*VLOOKUP('Données projet'!$B$11,Paramètres!$A$1:$I$89,3,0)*0.475*44/12</f>
        <v>17.355084818897502</v>
      </c>
      <c r="BR62" s="21">
        <f>EXP(-LN(2)/2)*BR61+(1-EXP(-LN(2)/2))/(LN(2)/2)*BL62*BO62*VLOOKUP('Données projet'!$B$11,Paramètres!$A$1:$I$89,3,0)*0.475*44/12</f>
        <v>0.15345273553693309</v>
      </c>
      <c r="BS62" s="22">
        <f t="shared" si="9"/>
        <v>81.403857658384638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7.4</v>
      </c>
      <c r="BY62" s="12">
        <f>IF('Données projet'!$A$114&gt;35,BY61+BX62-CG61,IF(A62&lt;'Données projet'!$A$114,$BV$205^A62,IF(A62='Données projet'!$A$114,'Données projet'!$B$114,BY61+BX62-CG61)))</f>
        <v>335.59999999999974</v>
      </c>
      <c r="BZ62" s="13">
        <f>BY62*VLOOKUP('Données projet'!$B$12,Paramètres!$A$1:$I$89,3,0)*VLOOKUP('Données projet'!$B$12,Paramètres!$A$1:$I$89,5,0)</f>
        <v>267.00335999999982</v>
      </c>
      <c r="CA62" s="13">
        <f t="shared" si="39"/>
        <v>64.212894147794728</v>
      </c>
      <c r="CB62" s="20">
        <f t="shared" si="10"/>
        <v>576.86830930740882</v>
      </c>
      <c r="CC62" s="59">
        <f t="shared" si="11"/>
        <v>870.20164264074219</v>
      </c>
      <c r="CD62" s="59">
        <f ca="1">AVERAGE(OFFSET($CC$3,0,0,'Données projet'!$E$12+1,1))-AVERAGE(OFFSET($H$3,0,0,'Données projet'!$E$12+1,1))</f>
        <v>378.47278187128137</v>
      </c>
      <c r="CE62" s="59">
        <f t="shared" si="40"/>
        <v>372.59407061242604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11.534973892442281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11.534973892442281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17.31600000000001</v>
      </c>
      <c r="D63" s="11">
        <f t="shared" si="32"/>
        <v>5.725907713088092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88.933678892620733</v>
      </c>
      <c r="H63" s="67">
        <f t="shared" si="1"/>
        <v>296.79798926696179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15.571428571428571</v>
      </c>
      <c r="N63" s="13">
        <f>IF('Données projet'!$A$36&gt;35,N62+M63-V62,IF(A63&lt;'Données projet'!$A$36,$K$205^A63,IF(A63='Données projet'!$A$36,'Données projet'!$B$36,N62+M63-V62)))</f>
        <v>491.28571428571399</v>
      </c>
      <c r="O63" s="13">
        <f>N63*VLOOKUP('Données projet'!$B$9,Paramètres!$A$1:$I$89,3,0)*VLOOKUP('Données projet'!$B$9,Paramètres!$A$1:$I$89,5,0)</f>
        <v>274.62871428571412</v>
      </c>
      <c r="P63" s="13">
        <f t="shared" si="33"/>
        <v>65.830625361909483</v>
      </c>
      <c r="Q63" s="20">
        <f t="shared" si="53"/>
        <v>592.96668321961113</v>
      </c>
      <c r="R63" s="59">
        <f t="shared" si="0"/>
        <v>886.3000165529445</v>
      </c>
      <c r="S63" s="59">
        <f ca="1">AVERAGE(OFFSET($R$3,0,0,'Données projet'!$E$9+1,1))-AVERAGE(OFFSET($H$3,0,0,'Données projet'!$E$9+1,1))</f>
        <v>347.01106511825213</v>
      </c>
      <c r="T63" s="59">
        <f t="shared" si="34"/>
        <v>329.53392323581539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30.90757370491654</v>
      </c>
      <c r="AA63" s="21">
        <f>EXP(-LN(2)/25)*AA62+(1-EXP(-LN(2)/25))/(LN(2)/25)*Calculateur!V63*Calculateur!X63*VLOOKUP('Données projet'!$B$9,Paramètres!$A$1:$I$89,3,0)*0.475*44/12</f>
        <v>39.375802825437162</v>
      </c>
      <c r="AB63" s="21">
        <f>EXP(-LN(2)/2)*AB62+(1-EXP(-LN(2)/2))/(LN(2)/2)*V63*Y63*VLOOKUP('Données projet'!$B$9,Paramètres!$A$1:$I$89,3,0)*0.475*44/12</f>
        <v>3.0670679334159656</v>
      </c>
      <c r="AC63" s="22">
        <f t="shared" si="3"/>
        <v>73.350444463769676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5</v>
      </c>
      <c r="AI63" s="13">
        <f>IF('Données projet'!$A$62&gt;35,AI62+AH63-AQ62,IF(A63&lt;'Données projet'!$A$62,$AF$205^A63,IF(A63='Données projet'!$A$62,'Données projet'!$B$62,AI62+AH63-AQ62)))</f>
        <v>99</v>
      </c>
      <c r="AJ63" s="13">
        <f>AI63*VLOOKUP('Données projet'!$B$10,Paramètres!$A$1:$I$89,3,0)*VLOOKUP('Données projet'!$B$10,Paramètres!$A$1:$I$89,5,0)</f>
        <v>89.575199999999995</v>
      </c>
      <c r="AK63" s="13">
        <f t="shared" si="35"/>
        <v>24.462745269668691</v>
      </c>
      <c r="AL63" s="20">
        <f t="shared" si="4"/>
        <v>198.6160880113396</v>
      </c>
      <c r="AM63" s="59">
        <f t="shared" si="5"/>
        <v>491.94942134467294</v>
      </c>
      <c r="AN63" s="59">
        <f ca="1">AVERAGE(OFFSET($AM$3,0,0,'Données projet'!$E$10+1,1))-AVERAGE(OFFSET($H$3,0,0,'Données projet'!$E$10+1,1))</f>
        <v>209.32570518924194</v>
      </c>
      <c r="AO63" s="59">
        <f t="shared" si="36"/>
        <v>138.10530102720475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0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304</v>
      </c>
      <c r="BB63" s="12">
        <f>VLOOKUP(A63,'Données projet'!$A$87:$I$107,9,0)</f>
        <v>9.75</v>
      </c>
      <c r="BC63" s="12">
        <f t="array" ref="BC63">INDEX(BB:BB,MIN(IF(ISNUMBER(BB63:BB259),ROW(BB63:BB259),"")))</f>
        <v>9.75</v>
      </c>
      <c r="BD63" s="12">
        <f>IF('Données projet'!$A$88&gt;35,BD62+BC63-BL62,IF(A63&lt;'Données projet'!$A$88,$BA$205^A63,IF(A63='Données projet'!$A$88,'Données projet'!$B$88,BD62+BC63-BL62)))</f>
        <v>304</v>
      </c>
      <c r="BE63" s="13">
        <f>BD63*VLOOKUP('Données projet'!$B$11,Paramètres!$A$1:$I$89,3,0)*VLOOKUP('Données projet'!$B$11,Paramètres!$A$1:$I$89,5,0)</f>
        <v>189.696</v>
      </c>
      <c r="BF63" s="13">
        <f t="shared" si="37"/>
        <v>47.472736505152469</v>
      </c>
      <c r="BG63" s="20">
        <f t="shared" si="7"/>
        <v>413.06888274647389</v>
      </c>
      <c r="BH63" s="59">
        <f t="shared" si="8"/>
        <v>706.4022160798072</v>
      </c>
      <c r="BI63" s="59">
        <f ca="1">AVERAGE(OFFSET($BH$3,0,0,'Données projet'!$E$11+1,1))-AVERAGE(OFFSET($H$3,0,0,'Données projet'!$E$11+1,1))</f>
        <v>219.86035935827329</v>
      </c>
      <c r="BJ63" s="59">
        <f t="shared" si="38"/>
        <v>322.75312534885239</v>
      </c>
      <c r="BK63" s="15" t="str">
        <f>IF(ISNA(VLOOKUP(A63,'Données projet'!$A$87:$I$107,3,0)),0,VLOOKUP(A63,'Données projet'!$A$87:$I$107,3,0))</f>
        <v>CR</v>
      </c>
      <c r="BL63" s="15">
        <f>IF(ISNA(VLOOKUP(A63,'Données projet'!$A$87:$I$107,4,0)),0,VLOOKUP(A63,'Données projet'!$A$87:$I$107,4,0))</f>
        <v>304</v>
      </c>
      <c r="BM63" s="16">
        <f>IF(ISNA(VLOOKUP(A63,'Données projet'!$A$87:$I$107,5,0)),0%,VLOOKUP(A63,'Données projet'!$A$87:$I$107,5,0)*VLOOKUP('Données projet'!$B$11,Paramètres!$A$1:$I$89,7,0))</f>
        <v>0.42</v>
      </c>
      <c r="BN63" s="16">
        <f>IF(ISNA(VLOOKUP(A63,'Données projet'!$A$87:$I$107,6,0)),0%,VLOOKUP(A63,'Données projet'!$A$87:$I$107,6,0)*VLOOKUP('Données projet'!$B$11,Paramètres!$A$1:$I$89,7,0))</f>
        <v>0.1008</v>
      </c>
      <c r="BO63" s="16">
        <f>IF(ISNA(VLOOKUP(A63,'Données projet'!$A$87:$I$107,7,0)),0%,VLOOKUP(A63,'Données projet'!$A$87:$I$107,7,0))</f>
        <v>0.13200000000000001</v>
      </c>
      <c r="BP63" s="21">
        <f>EXP(-LN(2)/35)*BP62+(1-EXP(-LN(2)/35))/(LN(2)/35)*BL63*BM63*VLOOKUP('Données projet'!$B$11,Paramètres!$A$1:$I$89,3,0)*0.475*44/12</f>
        <v>168.33283964341359</v>
      </c>
      <c r="BQ63" s="21">
        <f>EXP(-LN(2)/25)*BQ62+(1-EXP(-LN(2)/25))/(LN(2)/25)*Calculateur!BL63*Calculateur!BN63*VLOOKUP('Données projet'!$B$11,Paramètres!$A$1:$I$89,3,0)*0.475*44/12</f>
        <v>42.146346908213971</v>
      </c>
      <c r="BR63" s="21">
        <f>EXP(-LN(2)/2)*BR62+(1-EXP(-LN(2)/2))/(LN(2)/2)*BL63*BO63*VLOOKUP('Données projet'!$B$11,Paramètres!$A$1:$I$89,3,0)*0.475*44/12</f>
        <v>28.45945927421841</v>
      </c>
      <c r="BS63" s="22">
        <f t="shared" si="9"/>
        <v>238.93864582584595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343</v>
      </c>
      <c r="BW63" s="12">
        <f>VLOOKUP(A63,'Données projet'!$A$113:$I$133,9,0)</f>
        <v>7.4</v>
      </c>
      <c r="BX63" s="12">
        <f t="array" ref="BX63">INDEX(BW:BW,MIN(IF(ISNUMBER(BW63:BW259),ROW(BW63:BW259),"")))</f>
        <v>7.4</v>
      </c>
      <c r="BY63" s="12">
        <f>IF('Données projet'!$A$114&gt;35,BY62+BX63-CG62,IF(A63&lt;'Données projet'!$A$114,$BV$205^A63,IF(A63='Données projet'!$A$114,'Données projet'!$B$114,BY62+BX63-CG62)))</f>
        <v>342.99999999999972</v>
      </c>
      <c r="BZ63" s="13">
        <f>BY63*VLOOKUP('Données projet'!$B$12,Paramètres!$A$1:$I$89,3,0)*VLOOKUP('Données projet'!$B$12,Paramètres!$A$1:$I$89,5,0)</f>
        <v>272.89079999999979</v>
      </c>
      <c r="CA63" s="13">
        <f t="shared" si="39"/>
        <v>65.462389231846373</v>
      </c>
      <c r="CB63" s="20">
        <f t="shared" si="10"/>
        <v>589.29847124546529</v>
      </c>
      <c r="CC63" s="59">
        <f t="shared" si="11"/>
        <v>882.63180457879866</v>
      </c>
      <c r="CD63" s="59">
        <f ca="1">AVERAGE(OFFSET($CC$3,0,0,'Données projet'!$E$12+1,1))-AVERAGE(OFFSET($H$3,0,0,'Données projet'!$E$12+1,1))</f>
        <v>378.47278187128137</v>
      </c>
      <c r="CE63" s="59">
        <f t="shared" si="40"/>
        <v>372.59407061242604</v>
      </c>
      <c r="CF63" s="15">
        <f>IF(ISNA(VLOOKUP(A63,'Données projet'!$A$113:$I$133,3,0)),0,VLOOKUP(A63,'Données projet'!$A$113:$I$133,3,0))</f>
        <v>8</v>
      </c>
      <c r="CG63" s="15">
        <f>IF(ISNA(VLOOKUP(A63,'Données projet'!$A$113:$I$133,4,0)),0,VLOOKUP(A63,'Données projet'!$A$113:$I$133,4,0))</f>
        <v>17</v>
      </c>
      <c r="CH63" s="16">
        <f>IF(ISNA(VLOOKUP(A63,'Données projet'!$A$113:$I$133,5,0)),0%,VLOOKUP(A63,'Données projet'!$A$113:$I$133,5,0)*VLOOKUP('Données projet'!$B$12,Paramètres!$A$1:$I$89,7,0))</f>
        <v>0.21200000000000002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14.478542181229772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14.478542181229772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17.604600000000008</v>
      </c>
      <c r="D64" s="11">
        <f t="shared" si="32"/>
        <v>5.8101499563904833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90.372719129928214</v>
      </c>
      <c r="H64" s="67">
        <f t="shared" si="1"/>
        <v>297.44735617404677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15.571428571428571</v>
      </c>
      <c r="N64" s="13">
        <f>IF('Données projet'!$A$36&gt;35,N63+M64-V63,IF(A64&lt;'Données projet'!$A$36,$K$205^A64,IF(A64='Données projet'!$A$36,'Données projet'!$B$36,N63+M64-V63)))</f>
        <v>506.85714285714255</v>
      </c>
      <c r="O64" s="13">
        <f>N64*VLOOKUP('Données projet'!$B$9,Paramètres!$A$1:$I$89,3,0)*VLOOKUP('Données projet'!$B$9,Paramètres!$A$1:$I$89,5,0)</f>
        <v>283.33314285714266</v>
      </c>
      <c r="P64" s="13">
        <f t="shared" si="33"/>
        <v>67.670911918680105</v>
      </c>
      <c r="Q64" s="20">
        <f t="shared" si="53"/>
        <v>611.33206206789123</v>
      </c>
      <c r="R64" s="59">
        <f t="shared" si="0"/>
        <v>904.66539540122449</v>
      </c>
      <c r="S64" s="59">
        <f ca="1">AVERAGE(OFFSET($R$3,0,0,'Données projet'!$E$9+1,1))-AVERAGE(OFFSET($H$3,0,0,'Données projet'!$E$9+1,1))</f>
        <v>347.01106511825213</v>
      </c>
      <c r="T64" s="59">
        <f t="shared" si="34"/>
        <v>329.53392323581539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30.301495036321629</v>
      </c>
      <c r="AA64" s="21">
        <f>EXP(-LN(2)/25)*AA63+(1-EXP(-LN(2)/25))/(LN(2)/25)*Calculateur!V64*Calculateur!X64*VLOOKUP('Données projet'!$B$9,Paramètres!$A$1:$I$89,3,0)*0.475*44/12</f>
        <v>38.29906942649211</v>
      </c>
      <c r="AB64" s="21">
        <f>EXP(-LN(2)/2)*AB63+(1-EXP(-LN(2)/2))/(LN(2)/2)*V64*Y64*VLOOKUP('Données projet'!$B$9,Paramètres!$A$1:$I$89,3,0)*0.475*44/12</f>
        <v>2.1687445340782401</v>
      </c>
      <c r="AC64" s="22">
        <f t="shared" si="3"/>
        <v>70.769308996891979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5</v>
      </c>
      <c r="AI64" s="13">
        <f>IF('Données projet'!$A$62&gt;35,AI63+AH64-AQ63,IF(A64&lt;'Données projet'!$A$62,$AF$205^A64,IF(A64='Données projet'!$A$62,'Données projet'!$B$62,AI63+AH64-AQ63)))</f>
        <v>104</v>
      </c>
      <c r="AJ64" s="13">
        <f>AI64*VLOOKUP('Données projet'!$B$10,Paramètres!$A$1:$I$89,3,0)*VLOOKUP('Données projet'!$B$10,Paramètres!$A$1:$I$89,5,0)</f>
        <v>94.099199999999996</v>
      </c>
      <c r="AK64" s="13">
        <f t="shared" si="35"/>
        <v>25.551276031514817</v>
      </c>
      <c r="AL64" s="20">
        <f t="shared" si="4"/>
        <v>208.39124575488827</v>
      </c>
      <c r="AM64" s="59">
        <f t="shared" si="5"/>
        <v>501.72457908822162</v>
      </c>
      <c r="AN64" s="59">
        <f ca="1">AVERAGE(OFFSET($AM$3,0,0,'Données projet'!$E$10+1,1))-AVERAGE(OFFSET($H$3,0,0,'Données projet'!$E$10+1,1))</f>
        <v>209.32570518924194</v>
      </c>
      <c r="AO64" s="59">
        <f t="shared" si="36"/>
        <v>138.10530102720475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0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219.86035935827329</v>
      </c>
      <c r="BJ64" s="59">
        <f t="shared" si="38"/>
        <v>322.75312534885239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165.03193533090032</v>
      </c>
      <c r="BQ64" s="21">
        <f>EXP(-LN(2)/25)*BQ63+(1-EXP(-LN(2)/25))/(LN(2)/25)*Calculateur!BL64*Calculateur!BN64*VLOOKUP('Données projet'!$B$11,Paramètres!$A$1:$I$89,3,0)*0.475*44/12</f>
        <v>40.9938528356288</v>
      </c>
      <c r="BR64" s="21">
        <f>EXP(-LN(2)/2)*BR63+(1-EXP(-LN(2)/2))/(LN(2)/2)*BL64*BO64*VLOOKUP('Données projet'!$B$11,Paramètres!$A$1:$I$89,3,0)*0.475*44/12</f>
        <v>20.123876641702221</v>
      </c>
      <c r="BS64" s="22">
        <f t="shared" si="9"/>
        <v>226.14966480823136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6</v>
      </c>
      <c r="BY64" s="12">
        <f>IF('Données projet'!$A$114&gt;35,BY63+BX64-CG63,IF(A64&lt;'Données projet'!$A$114,$BV$205^A64,IF(A64='Données projet'!$A$114,'Données projet'!$B$114,BY63+BX64-CG63)))</f>
        <v>331.99999999999972</v>
      </c>
      <c r="BZ64" s="13">
        <f>BY64*VLOOKUP('Données projet'!$B$12,Paramètres!$A$1:$I$89,3,0)*VLOOKUP('Données projet'!$B$12,Paramètres!$A$1:$I$89,5,0)</f>
        <v>264.13919999999979</v>
      </c>
      <c r="CA64" s="13">
        <f t="shared" si="39"/>
        <v>63.60387543087441</v>
      </c>
      <c r="CB64" s="20">
        <f t="shared" si="10"/>
        <v>570.81918970877257</v>
      </c>
      <c r="CC64" s="59">
        <f t="shared" si="11"/>
        <v>864.15252304210594</v>
      </c>
      <c r="CD64" s="59">
        <f ca="1">AVERAGE(OFFSET($CC$3,0,0,'Données projet'!$E$12+1,1))-AVERAGE(OFFSET($H$3,0,0,'Données projet'!$E$12+1,1))</f>
        <v>378.47278187128137</v>
      </c>
      <c r="CE64" s="59">
        <f t="shared" si="40"/>
        <v>372.59407061242604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14.194626800094595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14.194626800094595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17.893200000000007</v>
      </c>
      <c r="D65" s="11">
        <f t="shared" si="32"/>
        <v>5.8942315945894084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91.811139487888966</v>
      </c>
      <c r="H65" s="67">
        <f t="shared" si="1"/>
        <v>298.09644336057659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15.571428571428571</v>
      </c>
      <c r="N65" s="13">
        <f>IF('Données projet'!$A$36&gt;35,N64+M65-V64,IF(A65&lt;'Données projet'!$A$36,$K$205^A65,IF(A65='Données projet'!$A$36,'Données projet'!$B$36,N64+M65-V64)))</f>
        <v>522.4285714285711</v>
      </c>
      <c r="O65" s="13">
        <f>N65*VLOOKUP('Données projet'!$B$9,Paramètres!$A$1:$I$89,3,0)*VLOOKUP('Données projet'!$B$9,Paramètres!$A$1:$I$89,5,0)</f>
        <v>292.03757142857125</v>
      </c>
      <c r="P65" s="13">
        <f t="shared" si="33"/>
        <v>69.504628296156</v>
      </c>
      <c r="Q65" s="20">
        <f t="shared" si="53"/>
        <v>629.68599785389995</v>
      </c>
      <c r="R65" s="59">
        <f t="shared" si="0"/>
        <v>923.01933118723332</v>
      </c>
      <c r="S65" s="59">
        <f ca="1">AVERAGE(OFFSET($R$3,0,0,'Données projet'!$E$9+1,1))-AVERAGE(OFFSET($H$3,0,0,'Données projet'!$E$9+1,1))</f>
        <v>347.01106511825213</v>
      </c>
      <c r="T65" s="59">
        <f t="shared" si="34"/>
        <v>329.53392323581539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29.707301200746379</v>
      </c>
      <c r="AA65" s="21">
        <f>EXP(-LN(2)/25)*AA64+(1-EXP(-LN(2)/25))/(LN(2)/25)*Calculateur!V65*Calculateur!X65*VLOOKUP('Données projet'!$B$9,Paramètres!$A$1:$I$89,3,0)*0.475*44/12</f>
        <v>37.251779358964157</v>
      </c>
      <c r="AB65" s="21">
        <f>EXP(-LN(2)/2)*AB64+(1-EXP(-LN(2)/2))/(LN(2)/2)*V65*Y65*VLOOKUP('Données projet'!$B$9,Paramètres!$A$1:$I$89,3,0)*0.475*44/12</f>
        <v>1.5335339667079833</v>
      </c>
      <c r="AC65" s="22">
        <f t="shared" si="3"/>
        <v>68.492614526418521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5</v>
      </c>
      <c r="AI65" s="13">
        <f>IF('Données projet'!$A$62&gt;35,AI64+AH65-AQ64,IF(A65&lt;'Données projet'!$A$62,$AF$205^A65,IF(A65='Données projet'!$A$62,'Données projet'!$B$62,AI64+AH65-AQ64)))</f>
        <v>109</v>
      </c>
      <c r="AJ65" s="13">
        <f>AI65*VLOOKUP('Données projet'!$B$10,Paramètres!$A$1:$I$89,3,0)*VLOOKUP('Données projet'!$B$10,Paramètres!$A$1:$I$89,5,0)</f>
        <v>98.623199999999997</v>
      </c>
      <c r="AK65" s="13">
        <f t="shared" si="35"/>
        <v>26.633729748944909</v>
      </c>
      <c r="AL65" s="20">
        <f t="shared" si="4"/>
        <v>218.15581931274573</v>
      </c>
      <c r="AM65" s="59">
        <f t="shared" si="5"/>
        <v>511.48915264607905</v>
      </c>
      <c r="AN65" s="59">
        <f ca="1">AVERAGE(OFFSET($AM$3,0,0,'Données projet'!$E$10+1,1))-AVERAGE(OFFSET($H$3,0,0,'Données projet'!$E$10+1,1))</f>
        <v>209.32570518924194</v>
      </c>
      <c r="AO65" s="59">
        <f t="shared" si="36"/>
        <v>138.10530102720475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0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219.86035935827329</v>
      </c>
      <c r="BJ65" s="59">
        <f t="shared" si="38"/>
        <v>322.75312534885239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161.79575973860261</v>
      </c>
      <c r="BQ65" s="21">
        <f>EXP(-LN(2)/25)*BQ64+(1-EXP(-LN(2)/25))/(LN(2)/25)*Calculateur!BL65*Calculateur!BN65*VLOOKUP('Données projet'!$B$11,Paramètres!$A$1:$I$89,3,0)*0.475*44/12</f>
        <v>39.872873774065503</v>
      </c>
      <c r="BR65" s="21">
        <f>EXP(-LN(2)/2)*BR64+(1-EXP(-LN(2)/2))/(LN(2)/2)*BL65*BO65*VLOOKUP('Données projet'!$B$11,Paramètres!$A$1:$I$89,3,0)*0.475*44/12</f>
        <v>14.229729637109209</v>
      </c>
      <c r="BS65" s="22">
        <f t="shared" si="9"/>
        <v>215.89836314977734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6</v>
      </c>
      <c r="BY65" s="12">
        <f>IF('Données projet'!$A$114&gt;35,BY64+BX65-CG64,IF(A65&lt;'Données projet'!$A$114,$BV$205^A65,IF(A65='Données projet'!$A$114,'Données projet'!$B$114,BY64+BX65-CG64)))</f>
        <v>337.99999999999972</v>
      </c>
      <c r="BZ65" s="13">
        <f>BY65*VLOOKUP('Données projet'!$B$12,Paramètres!$A$1:$I$89,3,0)*VLOOKUP('Données projet'!$B$12,Paramètres!$A$1:$I$89,5,0)</f>
        <v>268.91279999999978</v>
      </c>
      <c r="CA65" s="13">
        <f t="shared" si="39"/>
        <v>64.618483855217065</v>
      </c>
      <c r="CB65" s="20">
        <f t="shared" si="10"/>
        <v>580.90031938116931</v>
      </c>
      <c r="CC65" s="59">
        <f t="shared" si="11"/>
        <v>874.23365271450257</v>
      </c>
      <c r="CD65" s="59">
        <f ca="1">AVERAGE(OFFSET($CC$3,0,0,'Données projet'!$E$12+1,1))-AVERAGE(OFFSET($H$3,0,0,'Données projet'!$E$12+1,1))</f>
        <v>378.47278187128137</v>
      </c>
      <c r="CE65" s="59">
        <f t="shared" si="40"/>
        <v>372.59407061242604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13.916278826412194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13.916278826412194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18.181800000000006</v>
      </c>
      <c r="D66" s="11">
        <f t="shared" si="32"/>
        <v>5.9781555171523015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93.248951118833475</v>
      </c>
      <c r="H66" s="67">
        <f t="shared" si="1"/>
        <v>298.7452558590403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>
        <f>VLOOKUP(A66,'Données projet'!$A$35:$I$55,2,0)</f>
        <v>538</v>
      </c>
      <c r="L66" s="12">
        <f>VLOOKUP(A66,'Données projet'!$A$35:$I$55,9,0)</f>
        <v>15.571428571428571</v>
      </c>
      <c r="M66" s="12">
        <f t="array" ref="M66">INDEX(L:L,MIN(IF(ISNUMBER(L66:L262),ROW(L66:L262),"")))</f>
        <v>15.571428571428571</v>
      </c>
      <c r="N66" s="13">
        <f>IF('Données projet'!$A$36&gt;35,N65+M66-V65,IF(A66&lt;'Données projet'!$A$36,$K$205^A66,IF(A66='Données projet'!$A$36,'Données projet'!$B$36,N65+M66-V65)))</f>
        <v>537.99999999999966</v>
      </c>
      <c r="O66" s="13">
        <f>N66*VLOOKUP('Données projet'!$B$9,Paramètres!$A$1:$I$89,3,0)*VLOOKUP('Données projet'!$B$9,Paramètres!$A$1:$I$89,5,0)</f>
        <v>300.74199999999985</v>
      </c>
      <c r="P66" s="13">
        <f t="shared" si="33"/>
        <v>71.331992805448763</v>
      </c>
      <c r="Q66" s="20">
        <f t="shared" si="53"/>
        <v>648.02887080282289</v>
      </c>
      <c r="R66" s="59">
        <f t="shared" si="0"/>
        <v>941.36220413615615</v>
      </c>
      <c r="S66" s="59">
        <f ca="1">AVERAGE(OFFSET($R$3,0,0,'Données projet'!$E$9+1,1))-AVERAGE(OFFSET($H$3,0,0,'Données projet'!$E$9+1,1))</f>
        <v>347.01106511825213</v>
      </c>
      <c r="T66" s="59">
        <f t="shared" si="34"/>
        <v>329.53392323581539</v>
      </c>
      <c r="U66" s="15">
        <f>IF(ISNA(VLOOKUP(A66,'Données projet'!$A$35:$I$55,3,0)),0,VLOOKUP(A66,'Données projet'!$A$35:$I$55,3,0))</f>
        <v>6</v>
      </c>
      <c r="V66" s="15">
        <f>IF(ISNA(VLOOKUP(A66,'Données projet'!$A$35:$I$55,4,0)),0,VLOOKUP(A66,'Données projet'!$A$35:$I$55,4,0))</f>
        <v>84</v>
      </c>
      <c r="W66" s="16">
        <f>IF(ISNA(VLOOKUP(A66,'Données projet'!$A$35:$I$55,5,0)),0%,VLOOKUP(A66,'Données projet'!$A$35:$I$55,5,0)*VLOOKUP('Données projet'!$B$9,Paramètres!$A$1:$I$89,7,0))</f>
        <v>0.27500000000000002</v>
      </c>
      <c r="X66" s="16">
        <f>IF(ISNA(VLOOKUP(A66,'Données projet'!$A$35:$I$55,6,0)),0%,VLOOKUP(A66,'Données projet'!$A$35:$I$55,6,0)*VLOOKUP('Données projet'!$B$9,Paramètres!$A$1:$I$89,7,0))</f>
        <v>0.16500000000000001</v>
      </c>
      <c r="Y66" s="16">
        <f>IF(ISNA(VLOOKUP(A66,'Données projet'!$A$35:$I$55,7,0)),0%,VLOOKUP(A66,'Données projet'!$A$35:$I$55,7,0))</f>
        <v>0.2</v>
      </c>
      <c r="Z66" s="21">
        <f>EXP(-LN(2)/35)*Z65+(1-EXP(-LN(2)/35))/(LN(2)/35)*V66*W66*VLOOKUP('Données projet'!$B$9,Paramètres!$A$1:$I$89,3,0)*0.475*44/12</f>
        <v>46.254553300509549</v>
      </c>
      <c r="AA66" s="21">
        <f>EXP(-LN(2)/25)*AA65+(1-EXP(-LN(2)/25))/(LN(2)/25)*Calculateur!V66*Calculateur!X66*VLOOKUP('Données projet'!$B$9,Paramètres!$A$1:$I$89,3,0)*0.475*44/12</f>
        <v>46.470536071459691</v>
      </c>
      <c r="AB66" s="21">
        <f>EXP(-LN(2)/2)*AB65+(1-EXP(-LN(2)/2))/(LN(2)/2)*V66*Y66*VLOOKUP('Données projet'!$B$9,Paramètres!$A$1:$I$89,3,0)*0.475*44/12</f>
        <v>11.717392219569668</v>
      </c>
      <c r="AC66" s="22">
        <f t="shared" si="3"/>
        <v>104.44248159153889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5</v>
      </c>
      <c r="AI66" s="13">
        <f>IF('Données projet'!$A$62&gt;35,AI65+AH66-AQ65,IF(A66&lt;'Données projet'!$A$62,$AF$205^A66,IF(A66='Données projet'!$A$62,'Données projet'!$B$62,AI65+AH66-AQ65)))</f>
        <v>114</v>
      </c>
      <c r="AJ66" s="13">
        <f>AI66*VLOOKUP('Données projet'!$B$10,Paramètres!$A$1:$I$89,3,0)*VLOOKUP('Données projet'!$B$10,Paramètres!$A$1:$I$89,5,0)</f>
        <v>103.14719999999998</v>
      </c>
      <c r="AK66" s="13">
        <f t="shared" si="35"/>
        <v>27.710417026801451</v>
      </c>
      <c r="AL66" s="20">
        <f t="shared" si="4"/>
        <v>227.91034965501251</v>
      </c>
      <c r="AM66" s="59">
        <f t="shared" si="5"/>
        <v>521.24368298834588</v>
      </c>
      <c r="AN66" s="59">
        <f ca="1">AVERAGE(OFFSET($AM$3,0,0,'Données projet'!$E$10+1,1))-AVERAGE(OFFSET($H$3,0,0,'Données projet'!$E$10+1,1))</f>
        <v>209.32570518924194</v>
      </c>
      <c r="AO66" s="59">
        <f t="shared" si="36"/>
        <v>138.10530102720475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0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219.86035935827329</v>
      </c>
      <c r="BJ66" s="59">
        <f t="shared" si="38"/>
        <v>322.75312534885239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158.62304357579765</v>
      </c>
      <c r="BQ66" s="21">
        <f>EXP(-LN(2)/25)*BQ65+(1-EXP(-LN(2)/25))/(LN(2)/25)*Calculateur!BL66*Calculateur!BN66*VLOOKUP('Données projet'!$B$11,Paramètres!$A$1:$I$89,3,0)*0.475*44/12</f>
        <v>38.782547943890378</v>
      </c>
      <c r="BR66" s="21">
        <f>EXP(-LN(2)/2)*BR65+(1-EXP(-LN(2)/2))/(LN(2)/2)*BL66*BO66*VLOOKUP('Données projet'!$B$11,Paramètres!$A$1:$I$89,3,0)*0.475*44/12</f>
        <v>10.061938320851112</v>
      </c>
      <c r="BS66" s="22">
        <f t="shared" si="9"/>
        <v>207.46752984053913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6</v>
      </c>
      <c r="BY66" s="12">
        <f>IF('Données projet'!$A$114&gt;35,BY65+BX66-CG65,IF(A66&lt;'Données projet'!$A$114,$BV$205^A66,IF(A66='Données projet'!$A$114,'Données projet'!$B$114,BY65+BX66-CG65)))</f>
        <v>343.99999999999972</v>
      </c>
      <c r="BZ66" s="13">
        <f>BY66*VLOOKUP('Données projet'!$B$12,Paramètres!$A$1:$I$89,3,0)*VLOOKUP('Données projet'!$B$12,Paramètres!$A$1:$I$89,5,0)</f>
        <v>273.68639999999976</v>
      </c>
      <c r="CA66" s="13">
        <f t="shared" si="39"/>
        <v>65.630997870536959</v>
      </c>
      <c r="CB66" s="20">
        <f t="shared" si="10"/>
        <v>590.97780129118485</v>
      </c>
      <c r="CC66" s="59">
        <f t="shared" si="11"/>
        <v>884.31113462451822</v>
      </c>
      <c r="CD66" s="59">
        <f ca="1">AVERAGE(OFFSET($CC$3,0,0,'Données projet'!$E$12+1,1))-AVERAGE(OFFSET($H$3,0,0,'Données projet'!$E$12+1,1))</f>
        <v>378.47278187128137</v>
      </c>
      <c r="CE66" s="59">
        <f t="shared" si="40"/>
        <v>372.59407061242604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13.643389086718205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13.643389086718205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18.470400000000005</v>
      </c>
      <c r="D67" s="11">
        <f t="shared" si="32"/>
        <v>6.0619245165562896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94.686164800743597</v>
      </c>
      <c r="H67" s="67">
        <f t="shared" si="1"/>
        <v>299.39379853300221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13.857142857142858</v>
      </c>
      <c r="N67" s="13">
        <f>IF('Données projet'!$A$36&gt;35,N66+M67-V66,IF(A67&lt;'Données projet'!$A$36,$K$205^A67,IF(A67='Données projet'!$A$36,'Données projet'!$B$36,N66+M67-V66)))</f>
        <v>467.85714285714255</v>
      </c>
      <c r="O67" s="13">
        <f>N67*VLOOKUP('Données projet'!$B$9,Paramètres!$A$1:$I$89,3,0)*VLOOKUP('Données projet'!$B$9,Paramètres!$A$1:$I$89,5,0)</f>
        <v>261.53214285714273</v>
      </c>
      <c r="P67" s="13">
        <f t="shared" si="33"/>
        <v>63.048857133846255</v>
      </c>
      <c r="Q67" s="20">
        <f t="shared" ref="Q67:Q98" si="54">(O67+P67)*0.475*44/12</f>
        <v>565.31190831763899</v>
      </c>
      <c r="R67" s="59">
        <f t="shared" ref="R67:R130" si="55">Q67+(I67+J67)*44/12</f>
        <v>858.64524165097237</v>
      </c>
      <c r="S67" s="59">
        <f ca="1">AVERAGE(OFFSET($R$3,0,0,'Données projet'!$E$9+1,1))-AVERAGE(OFFSET($H$3,0,0,'Données projet'!$E$9+1,1))</f>
        <v>347.01106511825213</v>
      </c>
      <c r="T67" s="59">
        <f t="shared" si="34"/>
        <v>329.53392323581539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45.347529722778319</v>
      </c>
      <c r="AA67" s="21">
        <f>EXP(-LN(2)/25)*AA66+(1-EXP(-LN(2)/25))/(LN(2)/25)*Calculateur!V67*Calculateur!X67*VLOOKUP('Données projet'!$B$9,Paramètres!$A$1:$I$89,3,0)*0.475*44/12</f>
        <v>45.199796818806341</v>
      </c>
      <c r="AB67" s="21">
        <f>EXP(-LN(2)/2)*AB66+(1-EXP(-LN(2)/2))/(LN(2)/2)*V67*Y67*VLOOKUP('Données projet'!$B$9,Paramètres!$A$1:$I$89,3,0)*0.475*44/12</f>
        <v>8.285447496280204</v>
      </c>
      <c r="AC67" s="22">
        <f t="shared" si="3"/>
        <v>98.832774037864851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>
        <f>VLOOKUP(A67,'Données projet'!$A$61:$I$81,2,0)</f>
        <v>119</v>
      </c>
      <c r="AG67" s="12">
        <f>VLOOKUP(A67,'Données projet'!$A$61:$I$81,9,0)</f>
        <v>5</v>
      </c>
      <c r="AH67" s="12">
        <f t="array" ref="AH67">INDEX(AG:AG,MIN(IF(ISNUMBER(AG67:AG263),ROW(AG67:AG263),"")))</f>
        <v>5</v>
      </c>
      <c r="AI67" s="13">
        <f>IF('Données projet'!$A$62&gt;35,AI66+AH67-AQ66,IF(A67&lt;'Données projet'!$A$62,$AF$205^A67,IF(A67='Données projet'!$A$62,'Données projet'!$B$62,AI66+AH67-AQ66)))</f>
        <v>119</v>
      </c>
      <c r="AJ67" s="13">
        <f>AI67*VLOOKUP('Données projet'!$B$10,Paramètres!$A$1:$I$89,3,0)*VLOOKUP('Données projet'!$B$10,Paramètres!$A$1:$I$89,5,0)</f>
        <v>107.6712</v>
      </c>
      <c r="AK67" s="13">
        <f t="shared" si="35"/>
        <v>28.781619683258381</v>
      </c>
      <c r="AL67" s="20">
        <f t="shared" si="4"/>
        <v>237.65532761500836</v>
      </c>
      <c r="AM67" s="59">
        <f t="shared" si="5"/>
        <v>530.9886609483417</v>
      </c>
      <c r="AN67" s="59">
        <f ca="1">AVERAGE(OFFSET($AM$3,0,0,'Données projet'!$E$10+1,1))-AVERAGE(OFFSET($H$3,0,0,'Données projet'!$E$10+1,1))</f>
        <v>209.32570518924194</v>
      </c>
      <c r="AO67" s="59">
        <f t="shared" si="36"/>
        <v>138.10530102720475</v>
      </c>
      <c r="AP67" s="15">
        <f>IF(ISNA(VLOOKUP(A67,'Données projet'!$A$61:$I$81,3,0)),0,VLOOKUP(A67,'Données projet'!$A$61:$I$81,3,0))</f>
        <v>2</v>
      </c>
      <c r="AQ67" s="15">
        <f>IF(ISNA(VLOOKUP(A67,'Données projet'!$A$61:$I$81,4,0)),0,VLOOKUP(A67,'Données projet'!$A$61:$I$81,4,0))</f>
        <v>34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0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219.86035935827329</v>
      </c>
      <c r="BJ67" s="59">
        <f t="shared" si="38"/>
        <v>322.75312534885239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155.51254244177952</v>
      </c>
      <c r="BQ67" s="21">
        <f>EXP(-LN(2)/25)*BQ66+(1-EXP(-LN(2)/25))/(LN(2)/25)*Calculateur!BL67*Calculateur!BN67*VLOOKUP('Données projet'!$B$11,Paramètres!$A$1:$I$89,3,0)*0.475*44/12</f>
        <v>37.722037130879137</v>
      </c>
      <c r="BR67" s="21">
        <f>EXP(-LN(2)/2)*BR66+(1-EXP(-LN(2)/2))/(LN(2)/2)*BL67*BO67*VLOOKUP('Données projet'!$B$11,Paramètres!$A$1:$I$89,3,0)*0.475*44/12</f>
        <v>7.1148648185546053</v>
      </c>
      <c r="BS67" s="22">
        <f t="shared" si="9"/>
        <v>200.34944439121324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6</v>
      </c>
      <c r="BY67" s="12">
        <f>IF('Données projet'!$A$114&gt;35,BY66+BX67-CG66,IF(A67&lt;'Données projet'!$A$114,$BV$205^A67,IF(A67='Données projet'!$A$114,'Données projet'!$B$114,BY66+BX67-CG66)))</f>
        <v>349.99999999999972</v>
      </c>
      <c r="BZ67" s="13">
        <f>BY67*VLOOKUP('Données projet'!$B$12,Paramètres!$A$1:$I$89,3,0)*VLOOKUP('Données projet'!$B$12,Paramètres!$A$1:$I$89,5,0)</f>
        <v>278.45999999999981</v>
      </c>
      <c r="CA67" s="13">
        <f t="shared" si="39"/>
        <v>66.641458222154824</v>
      </c>
      <c r="CB67" s="20">
        <f t="shared" si="10"/>
        <v>601.05170640358597</v>
      </c>
      <c r="CC67" s="59">
        <f t="shared" si="11"/>
        <v>894.38503973691923</v>
      </c>
      <c r="CD67" s="59">
        <f ca="1">AVERAGE(OFFSET($CC$3,0,0,'Données projet'!$E$12+1,1))-AVERAGE(OFFSET($H$3,0,0,'Données projet'!$E$12+1,1))</f>
        <v>378.47278187128137</v>
      </c>
      <c r="CE67" s="59">
        <f t="shared" si="40"/>
        <v>372.59407061242604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13.375850548373309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13.375850548373309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18.759000000000004</v>
      </c>
      <c r="D68" s="11">
        <f t="shared" si="32"/>
        <v>6.1455412930074749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96.122790955467465</v>
      </c>
      <c r="H68" s="67">
        <f t="shared" ref="H68:H131" si="56">(B68+E68+F68)*44/12+(C68+D68)*0.475*44/12</f>
        <v>300.04207608532136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13.857142857142858</v>
      </c>
      <c r="N68" s="13">
        <f>IF('Données projet'!$A$36&gt;35,N67+M68-V67,IF(A68&lt;'Données projet'!$A$36,$K$205^A68,IF(A68='Données projet'!$A$36,'Données projet'!$B$36,N67+M68-V67)))</f>
        <v>481.71428571428538</v>
      </c>
      <c r="O68" s="13">
        <f>N68*VLOOKUP('Données projet'!$B$9,Paramètres!$A$1:$I$89,3,0)*VLOOKUP('Données projet'!$B$9,Paramètres!$A$1:$I$89,5,0)</f>
        <v>269.27828571428557</v>
      </c>
      <c r="P68" s="13">
        <f t="shared" si="33"/>
        <v>64.696079449868591</v>
      </c>
      <c r="Q68" s="20">
        <f t="shared" si="54"/>
        <v>581.67201932756836</v>
      </c>
      <c r="R68" s="59">
        <f t="shared" si="55"/>
        <v>875.00535266090174</v>
      </c>
      <c r="S68" s="59">
        <f ca="1">AVERAGE(OFFSET($R$3,0,0,'Données projet'!$E$9+1,1))-AVERAGE(OFFSET($H$3,0,0,'Données projet'!$E$9+1,1))</f>
        <v>347.01106511825213</v>
      </c>
      <c r="T68" s="59">
        <f t="shared" si="34"/>
        <v>329.53392323581539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44.458292324176639</v>
      </c>
      <c r="AA68" s="21">
        <f>EXP(-LN(2)/25)*AA67+(1-EXP(-LN(2)/25))/(LN(2)/25)*Calculateur!V68*Calculateur!X68*VLOOKUP('Données projet'!$B$9,Paramètres!$A$1:$I$89,3,0)*0.475*44/12</f>
        <v>43.963805997842073</v>
      </c>
      <c r="AB68" s="21">
        <f>EXP(-LN(2)/2)*AB67+(1-EXP(-LN(2)/2))/(LN(2)/2)*V68*Y68*VLOOKUP('Données projet'!$B$9,Paramètres!$A$1:$I$89,3,0)*0.475*44/12</f>
        <v>5.8586961097848347</v>
      </c>
      <c r="AC68" s="22">
        <f t="shared" ref="AC68:AC131" si="57">SUM(Z68:AB68)</f>
        <v>94.280794431803542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4.125</v>
      </c>
      <c r="AI68" s="13">
        <f>IF('Données projet'!$A$62&gt;35,AI67+AH68-AQ67,IF(A68&lt;'Données projet'!$A$62,$AF$205^A68,IF(A68='Données projet'!$A$62,'Données projet'!$B$62,AI67+AH68-AQ67)))</f>
        <v>89.125</v>
      </c>
      <c r="AJ68" s="13">
        <f>AI68*VLOOKUP('Données projet'!$B$10,Paramètres!$A$1:$I$89,3,0)*VLOOKUP('Données projet'!$B$10,Paramètres!$A$1:$I$89,5,0)</f>
        <v>80.640299999999996</v>
      </c>
      <c r="AK68" s="13">
        <f t="shared" si="35"/>
        <v>22.293668096726424</v>
      </c>
      <c r="AL68" s="20">
        <f t="shared" ref="AL68:AL131" si="58">(AJ68+AK68)*0.475*44/12</f>
        <v>179.27666110179848</v>
      </c>
      <c r="AM68" s="59">
        <f t="shared" ref="AM68:AM131" si="59">AL68+(AD68+AE68)*44/12</f>
        <v>472.6099944351318</v>
      </c>
      <c r="AN68" s="59">
        <f ca="1">AVERAGE(OFFSET($AM$3,0,0,'Données projet'!$E$10+1,1))-AVERAGE(OFFSET($H$3,0,0,'Données projet'!$E$10+1,1))</f>
        <v>209.32570518924194</v>
      </c>
      <c r="AO68" s="59">
        <f t="shared" si="36"/>
        <v>138.10530102720475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0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219.86035935827329</v>
      </c>
      <c r="BJ68" s="59">
        <f t="shared" si="38"/>
        <v>322.75312534885239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152.46303633778112</v>
      </c>
      <c r="BQ68" s="21">
        <f>EXP(-LN(2)/25)*BQ67+(1-EXP(-LN(2)/25))/(LN(2)/25)*Calculateur!BL68*Calculateur!BN68*VLOOKUP('Données projet'!$B$11,Paramètres!$A$1:$I$89,3,0)*0.475*44/12</f>
        <v>36.690526041819531</v>
      </c>
      <c r="BR68" s="21">
        <f>EXP(-LN(2)/2)*BR67+(1-EXP(-LN(2)/2))/(LN(2)/2)*BL68*BO68*VLOOKUP('Données projet'!$B$11,Paramètres!$A$1:$I$89,3,0)*0.475*44/12</f>
        <v>5.0309691604255571</v>
      </c>
      <c r="BS68" s="22">
        <f t="shared" ref="BS68:BS131" si="63">SUM(BP68:BR68)</f>
        <v>194.18453154002623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>
        <f>VLOOKUP(A68,'Données projet'!$A$113:$I$133,2,0)</f>
        <v>356</v>
      </c>
      <c r="BW68" s="12">
        <f>VLOOKUP(A68,'Données projet'!$A$113:$I$133,9,0)</f>
        <v>6</v>
      </c>
      <c r="BX68" s="12">
        <f t="array" ref="BX68">INDEX(BW:BW,MIN(IF(ISNUMBER(BW68:BW264),ROW(BW68:BW264),"")))</f>
        <v>6</v>
      </c>
      <c r="BY68" s="12">
        <f>IF('Données projet'!$A$114&gt;35,BY67+BX68-CG67,IF(A68&lt;'Données projet'!$A$114,$BV$205^A68,IF(A68='Données projet'!$A$114,'Données projet'!$B$114,BY67+BX68-CG67)))</f>
        <v>355.99999999999972</v>
      </c>
      <c r="BZ68" s="13">
        <f>BY68*VLOOKUP('Données projet'!$B$12,Paramètres!$A$1:$I$89,3,0)*VLOOKUP('Données projet'!$B$12,Paramètres!$A$1:$I$89,5,0)</f>
        <v>283.2335999999998</v>
      </c>
      <c r="CA68" s="13">
        <f t="shared" si="39"/>
        <v>67.649904178362377</v>
      </c>
      <c r="CB68" s="20">
        <f t="shared" ref="CB68:CB131" si="64">(BZ68+CA68)*0.475*44/12</f>
        <v>611.12210311064734</v>
      </c>
      <c r="CC68" s="59">
        <f t="shared" ref="CC68:CC131" si="65">CB68+(BT68+BU68)*44/12</f>
        <v>904.45543644398072</v>
      </c>
      <c r="CD68" s="59">
        <f ca="1">AVERAGE(OFFSET($CC$3,0,0,'Données projet'!$E$12+1,1))-AVERAGE(OFFSET($H$3,0,0,'Données projet'!$E$12+1,1))</f>
        <v>378.47278187128137</v>
      </c>
      <c r="CE68" s="59">
        <f t="shared" si="40"/>
        <v>372.59407061242604</v>
      </c>
      <c r="CF68" s="15">
        <f>IF(ISNA(VLOOKUP(A68,'Données projet'!$A$113:$I$133,3,0)),0,VLOOKUP(A68,'Données projet'!$A$113:$I$133,3,0))</f>
        <v>9</v>
      </c>
      <c r="CG68" s="15">
        <f>IF(ISNA(VLOOKUP(A68,'Données projet'!$A$113:$I$133,4,0)),0,VLOOKUP(A68,'Données projet'!$A$113:$I$133,4,0))</f>
        <v>16</v>
      </c>
      <c r="CH68" s="16">
        <f>IF(ISNA(VLOOKUP(A68,'Données projet'!$A$113:$I$133,5,0)),0%,VLOOKUP(A68,'Données projet'!$A$113:$I$133,5,0)*VLOOKUP('Données projet'!$B$12,Paramètres!$A$1:$I$89,7,0))</f>
        <v>0.23850000000000002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16.469776962360644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16.469776962360644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19.047600000000003</v>
      </c>
      <c r="D69" s="11">
        <f t="shared" ref="D69:D132" si="86">IFERROR(EXP(-1.0587+0.8836*LN(C69)+0.284),0)</f>
        <v>6.2290084588615819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97.558839665781576</v>
      </c>
      <c r="H69" s="67">
        <f t="shared" si="56"/>
        <v>300.69009306585059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13.857142857142858</v>
      </c>
      <c r="N69" s="13">
        <f>IF('Données projet'!$A$36&gt;35,N68+M69-V68,IF(A69&lt;'Données projet'!$A$36,$K$205^A69,IF(A69='Données projet'!$A$36,'Données projet'!$B$36,N68+M69-V68)))</f>
        <v>495.57142857142821</v>
      </c>
      <c r="O69" s="13">
        <f>N69*VLOOKUP('Données projet'!$B$9,Paramètres!$A$1:$I$89,3,0)*VLOOKUP('Données projet'!$B$9,Paramètres!$A$1:$I$89,5,0)</f>
        <v>277.02442857142842</v>
      </c>
      <c r="P69" s="13">
        <f t="shared" ref="P69:P132" si="87">EXP(-1.0587+0.8836*LN(O69)+0.284)</f>
        <v>66.337794630329327</v>
      </c>
      <c r="Q69" s="20">
        <f t="shared" si="54"/>
        <v>598.02253874306132</v>
      </c>
      <c r="R69" s="59">
        <f t="shared" si="55"/>
        <v>891.35587207639469</v>
      </c>
      <c r="S69" s="59">
        <f ca="1">AVERAGE(OFFSET($R$3,0,0,'Données projet'!$E$9+1,1))-AVERAGE(OFFSET($H$3,0,0,'Données projet'!$E$9+1,1))</f>
        <v>347.01106511825213</v>
      </c>
      <c r="T69" s="59">
        <f t="shared" ref="T69:T132" si="88">$T$3</f>
        <v>329.53392323581539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43.586492328580285</v>
      </c>
      <c r="AA69" s="21">
        <f>EXP(-LN(2)/25)*AA68+(1-EXP(-LN(2)/25))/(LN(2)/25)*Calculateur!V69*Calculateur!X69*VLOOKUP('Données projet'!$B$9,Paramètres!$A$1:$I$89,3,0)*0.475*44/12</f>
        <v>42.761613410875007</v>
      </c>
      <c r="AB69" s="21">
        <f>EXP(-LN(2)/2)*AB68+(1-EXP(-LN(2)/2))/(LN(2)/2)*V69*Y69*VLOOKUP('Données projet'!$B$9,Paramètres!$A$1:$I$89,3,0)*0.475*44/12</f>
        <v>4.1427237481401029</v>
      </c>
      <c r="AC69" s="22">
        <f t="shared" si="57"/>
        <v>90.490829487595391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4.125</v>
      </c>
      <c r="AI69" s="13">
        <f>IF('Données projet'!$A$62&gt;35,AI68+AH69-AQ68,IF(A69&lt;'Données projet'!$A$62,$AF$205^A69,IF(A69='Données projet'!$A$62,'Données projet'!$B$62,AI68+AH69-AQ68)))</f>
        <v>93.25</v>
      </c>
      <c r="AJ69" s="13">
        <f>AI69*VLOOKUP('Données projet'!$B$10,Paramètres!$A$1:$I$89,3,0)*VLOOKUP('Données projet'!$B$10,Paramètres!$A$1:$I$89,5,0)</f>
        <v>84.372599999999991</v>
      </c>
      <c r="AK69" s="13">
        <f t="shared" ref="AK69:AK132" si="89">EXP(-1.0587+0.8836*LN(AJ69)+0.284)</f>
        <v>23.202973847933446</v>
      </c>
      <c r="AL69" s="20">
        <f t="shared" si="58"/>
        <v>187.36079111848406</v>
      </c>
      <c r="AM69" s="59">
        <f t="shared" si="59"/>
        <v>480.6941244518174</v>
      </c>
      <c r="AN69" s="59">
        <f ca="1">AVERAGE(OFFSET($AM$3,0,0,'Données projet'!$E$10+1,1))-AVERAGE(OFFSET($H$3,0,0,'Données projet'!$E$10+1,1))</f>
        <v>209.32570518924194</v>
      </c>
      <c r="AO69" s="59">
        <f t="shared" ref="AO69:AO132" si="90">$AO$3</f>
        <v>138.10530102720475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0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219.86035935827329</v>
      </c>
      <c r="BJ69" s="59">
        <f t="shared" ref="BJ69:BJ132" si="92">$BJ$3</f>
        <v>322.75312534885239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149.47332918846706</v>
      </c>
      <c r="BQ69" s="21">
        <f>EXP(-LN(2)/25)*BQ68+(1-EXP(-LN(2)/25))/(LN(2)/25)*Calculateur!BL69*Calculateur!BN69*VLOOKUP('Données projet'!$B$11,Paramètres!$A$1:$I$89,3,0)*0.475*44/12</f>
        <v>35.687221677735067</v>
      </c>
      <c r="BR69" s="21">
        <f>EXP(-LN(2)/2)*BR68+(1-EXP(-LN(2)/2))/(LN(2)/2)*BL69*BO69*VLOOKUP('Données projet'!$B$11,Paramètres!$A$1:$I$89,3,0)*0.475*44/12</f>
        <v>3.5574324092773035</v>
      </c>
      <c r="BS69" s="22">
        <f t="shared" si="63"/>
        <v>188.71798327547944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345.1999999999997</v>
      </c>
      <c r="BZ69" s="13">
        <f>BY69*VLOOKUP('Données projet'!$B$12,Paramètres!$A$1:$I$89,3,0)*VLOOKUP('Données projet'!$B$12,Paramètres!$A$1:$I$89,5,0)</f>
        <v>274.64111999999977</v>
      </c>
      <c r="CA69" s="13">
        <f t="shared" ref="CA69:CA132" si="93">EXP(-1.0587+0.8836*LN(BZ69)+0.284)</f>
        <v>65.833252956609641</v>
      </c>
      <c r="CB69" s="20">
        <f t="shared" si="64"/>
        <v>592.99286623276123</v>
      </c>
      <c r="CC69" s="59">
        <f t="shared" si="65"/>
        <v>886.3261995660946</v>
      </c>
      <c r="CD69" s="59">
        <f ca="1">AVERAGE(OFFSET($CC$3,0,0,'Données projet'!$E$12+1,1))-AVERAGE(OFFSET($H$3,0,0,'Données projet'!$E$12+1,1))</f>
        <v>378.47278187128137</v>
      </c>
      <c r="CE69" s="59">
        <f t="shared" ref="CE69:CE132" si="94">$CE$3</f>
        <v>372.59407061242604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16.146814681700782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16.146814681700782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19.336200000000002</v>
      </c>
      <c r="D70" s="11">
        <f t="shared" si="86"/>
        <v>6.3123285427690661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98.994320691389404</v>
      </c>
      <c r="H70" s="67">
        <f t="shared" si="56"/>
        <v>301.33785387865612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13.857142857142858</v>
      </c>
      <c r="N70" s="13">
        <f>IF('Données projet'!$A$36&gt;35,N69+M70-V69,IF(A70&lt;'Données projet'!$A$36,$K$205^A70,IF(A70='Données projet'!$A$36,'Données projet'!$B$36,N69+M70-V69)))</f>
        <v>509.42857142857105</v>
      </c>
      <c r="O70" s="13">
        <f>N70*VLOOKUP('Données projet'!$B$9,Paramètres!$A$1:$I$89,3,0)*VLOOKUP('Données projet'!$B$9,Paramètres!$A$1:$I$89,5,0)</f>
        <v>284.77057142857126</v>
      </c>
      <c r="P70" s="13">
        <f t="shared" si="87"/>
        <v>67.974174355789401</v>
      </c>
      <c r="Q70" s="20">
        <f t="shared" si="54"/>
        <v>614.36376557442816</v>
      </c>
      <c r="R70" s="59">
        <f t="shared" si="55"/>
        <v>907.69709890776153</v>
      </c>
      <c r="S70" s="59">
        <f ca="1">AVERAGE(OFFSET($R$3,0,0,'Données projet'!$E$9+1,1))-AVERAGE(OFFSET($H$3,0,0,'Données projet'!$E$9+1,1))</f>
        <v>347.01106511825213</v>
      </c>
      <c r="T70" s="59">
        <f t="shared" si="88"/>
        <v>329.53392323581539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42.73178779915208</v>
      </c>
      <c r="AA70" s="21">
        <f>EXP(-LN(2)/25)*AA69+(1-EXP(-LN(2)/25))/(LN(2)/25)*Calculateur!V70*Calculateur!X70*VLOOKUP('Données projet'!$B$9,Paramètres!$A$1:$I$89,3,0)*0.475*44/12</f>
        <v>41.592294843419111</v>
      </c>
      <c r="AB70" s="21">
        <f>EXP(-LN(2)/2)*AB69+(1-EXP(-LN(2)/2))/(LN(2)/2)*V70*Y70*VLOOKUP('Données projet'!$B$9,Paramètres!$A$1:$I$89,3,0)*0.475*44/12</f>
        <v>2.9293480548924178</v>
      </c>
      <c r="AC70" s="22">
        <f t="shared" si="57"/>
        <v>87.253430697463614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4.125</v>
      </c>
      <c r="AI70" s="13">
        <f>IF('Données projet'!$A$62&gt;35,AI69+AH70-AQ69,IF(A70&lt;'Données projet'!$A$62,$AF$205^A70,IF(A70='Données projet'!$A$62,'Données projet'!$B$62,AI69+AH70-AQ69)))</f>
        <v>97.375</v>
      </c>
      <c r="AJ70" s="13">
        <f>AI70*VLOOKUP('Données projet'!$B$10,Paramètres!$A$1:$I$89,3,0)*VLOOKUP('Données projet'!$B$10,Paramètres!$A$1:$I$89,5,0)</f>
        <v>88.104900000000001</v>
      </c>
      <c r="AK70" s="13">
        <f t="shared" si="89"/>
        <v>24.107607952349973</v>
      </c>
      <c r="AL70" s="20">
        <f t="shared" si="58"/>
        <v>195.43678468367617</v>
      </c>
      <c r="AM70" s="59">
        <f t="shared" si="59"/>
        <v>488.77011801700951</v>
      </c>
      <c r="AN70" s="59">
        <f ca="1">AVERAGE(OFFSET($AM$3,0,0,'Données projet'!$E$10+1,1))-AVERAGE(OFFSET($H$3,0,0,'Données projet'!$E$10+1,1))</f>
        <v>209.32570518924194</v>
      </c>
      <c r="AO70" s="59">
        <f t="shared" si="90"/>
        <v>138.10530102720475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0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219.86035935827329</v>
      </c>
      <c r="BJ70" s="59">
        <f t="shared" si="92"/>
        <v>322.75312534885239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146.54224837280975</v>
      </c>
      <c r="BQ70" s="21">
        <f>EXP(-LN(2)/25)*BQ69+(1-EXP(-LN(2)/25))/(LN(2)/25)*Calculateur!BL70*Calculateur!BN70*VLOOKUP('Données projet'!$B$11,Paramètres!$A$1:$I$89,3,0)*0.475*44/12</f>
        <v>34.71135272424798</v>
      </c>
      <c r="BR70" s="21">
        <f>EXP(-LN(2)/2)*BR69+(1-EXP(-LN(2)/2))/(LN(2)/2)*BL70*BO70*VLOOKUP('Données projet'!$B$11,Paramètres!$A$1:$I$89,3,0)*0.475*44/12</f>
        <v>2.515484580212779</v>
      </c>
      <c r="BS70" s="22">
        <f t="shared" si="63"/>
        <v>183.76908567727051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350.39999999999969</v>
      </c>
      <c r="BZ70" s="13">
        <f>BY70*VLOOKUP('Données projet'!$B$12,Paramètres!$A$1:$I$89,3,0)*VLOOKUP('Données projet'!$B$12,Paramètres!$A$1:$I$89,5,0)</f>
        <v>278.77823999999976</v>
      </c>
      <c r="CA70" s="13">
        <f t="shared" si="93"/>
        <v>66.70875019643654</v>
      </c>
      <c r="CB70" s="20">
        <f t="shared" si="64"/>
        <v>601.7231745921265</v>
      </c>
      <c r="CC70" s="59">
        <f t="shared" si="65"/>
        <v>895.05650792545975</v>
      </c>
      <c r="CD70" s="59">
        <f ca="1">AVERAGE(OFFSET($CC$3,0,0,'Données projet'!$E$12+1,1))-AVERAGE(OFFSET($H$3,0,0,'Données projet'!$E$12+1,1))</f>
        <v>378.47278187128137</v>
      </c>
      <c r="CE70" s="59">
        <f t="shared" si="94"/>
        <v>372.59407061242604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15.830185494377119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15.830185494377119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19.6248</v>
      </c>
      <c r="D71" s="11">
        <f t="shared" si="86"/>
        <v>6.3955039935657112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100.42924348393784</v>
      </c>
      <c r="H71" s="67">
        <f t="shared" si="56"/>
        <v>301.98536278879362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13.857142857142858</v>
      </c>
      <c r="N71" s="13">
        <f>IF('Données projet'!$A$36&gt;35,N70+M71-V70,IF(A71&lt;'Données projet'!$A$36,$K$205^A71,IF(A71='Données projet'!$A$36,'Données projet'!$B$36,N70+M71-V70)))</f>
        <v>523.28571428571388</v>
      </c>
      <c r="O71" s="13">
        <f>N71*VLOOKUP('Données projet'!$B$9,Paramètres!$A$1:$I$89,3,0)*VLOOKUP('Données projet'!$B$9,Paramètres!$A$1:$I$89,5,0)</f>
        <v>292.5167142857141</v>
      </c>
      <c r="P71" s="13">
        <f t="shared" si="87"/>
        <v>69.605380435295899</v>
      </c>
      <c r="Q71" s="20">
        <f t="shared" si="54"/>
        <v>630.69598163909245</v>
      </c>
      <c r="R71" s="59">
        <f t="shared" si="55"/>
        <v>924.02931497242571</v>
      </c>
      <c r="S71" s="59">
        <f ca="1">AVERAGE(OFFSET($R$3,0,0,'Données projet'!$E$9+1,1))-AVERAGE(OFFSET($H$3,0,0,'Données projet'!$E$9+1,1))</f>
        <v>347.01106511825213</v>
      </c>
      <c r="T71" s="59">
        <f t="shared" si="88"/>
        <v>329.53392323581539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41.893843504227675</v>
      </c>
      <c r="AA71" s="21">
        <f>EXP(-LN(2)/25)*AA70+(1-EXP(-LN(2)/25))/(LN(2)/25)*Calculateur!V71*Calculateur!X71*VLOOKUP('Données projet'!$B$9,Paramètres!$A$1:$I$89,3,0)*0.475*44/12</f>
        <v>40.454951353682091</v>
      </c>
      <c r="AB71" s="21">
        <f>EXP(-LN(2)/2)*AB70+(1-EXP(-LN(2)/2))/(LN(2)/2)*V71*Y71*VLOOKUP('Données projet'!$B$9,Paramètres!$A$1:$I$89,3,0)*0.475*44/12</f>
        <v>2.0713618740700515</v>
      </c>
      <c r="AC71" s="22">
        <f t="shared" si="57"/>
        <v>84.420156731979816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4.125</v>
      </c>
      <c r="AI71" s="13">
        <f>IF('Données projet'!$A$62&gt;35,AI70+AH71-AQ70,IF(A71&lt;'Données projet'!$A$62,$AF$205^A71,IF(A71='Données projet'!$A$62,'Données projet'!$B$62,AI70+AH71-AQ70)))</f>
        <v>101.5</v>
      </c>
      <c r="AJ71" s="13">
        <f>AI71*VLOOKUP('Données projet'!$B$10,Paramètres!$A$1:$I$89,3,0)*VLOOKUP('Données projet'!$B$10,Paramètres!$A$1:$I$89,5,0)</f>
        <v>91.837199999999996</v>
      </c>
      <c r="AK71" s="13">
        <f t="shared" si="89"/>
        <v>25.007790936639388</v>
      </c>
      <c r="AL71" s="20">
        <f t="shared" si="58"/>
        <v>203.5050258813136</v>
      </c>
      <c r="AM71" s="59">
        <f t="shared" si="59"/>
        <v>496.83835921464691</v>
      </c>
      <c r="AN71" s="59">
        <f ca="1">AVERAGE(OFFSET($AM$3,0,0,'Données projet'!$E$10+1,1))-AVERAGE(OFFSET($H$3,0,0,'Données projet'!$E$10+1,1))</f>
        <v>209.32570518924194</v>
      </c>
      <c r="AO71" s="59">
        <f t="shared" si="90"/>
        <v>138.10530102720475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0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219.86035935827329</v>
      </c>
      <c r="BJ71" s="59">
        <f t="shared" si="92"/>
        <v>322.75312534885239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143.66864426416473</v>
      </c>
      <c r="BQ71" s="21">
        <f>EXP(-LN(2)/25)*BQ70+(1-EXP(-LN(2)/25))/(LN(2)/25)*Calculateur!BL71*Calculateur!BN71*VLOOKUP('Données projet'!$B$11,Paramètres!$A$1:$I$89,3,0)*0.475*44/12</f>
        <v>33.762168958612712</v>
      </c>
      <c r="BR71" s="21">
        <f>EXP(-LN(2)/2)*BR70+(1-EXP(-LN(2)/2))/(LN(2)/2)*BL71*BO71*VLOOKUP('Données projet'!$B$11,Paramètres!$A$1:$I$89,3,0)*0.475*44/12</f>
        <v>1.778716204638652</v>
      </c>
      <c r="BS71" s="22">
        <f t="shared" si="63"/>
        <v>179.20952942741607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355.59999999999968</v>
      </c>
      <c r="BZ71" s="13">
        <f>BY71*VLOOKUP('Données projet'!$B$12,Paramètres!$A$1:$I$89,3,0)*VLOOKUP('Données projet'!$B$12,Paramètres!$A$1:$I$89,5,0)</f>
        <v>282.91535999999979</v>
      </c>
      <c r="CA71" s="13">
        <f t="shared" si="93"/>
        <v>67.582736351531807</v>
      </c>
      <c r="CB71" s="20">
        <f t="shared" si="64"/>
        <v>610.45085114558412</v>
      </c>
      <c r="CC71" s="59">
        <f t="shared" si="65"/>
        <v>903.7841844789175</v>
      </c>
      <c r="CD71" s="59">
        <f ca="1">AVERAGE(OFFSET($CC$3,0,0,'Données projet'!$E$12+1,1))-AVERAGE(OFFSET($H$3,0,0,'Données projet'!$E$12+1,1))</f>
        <v>378.47278187128137</v>
      </c>
      <c r="CE71" s="59">
        <f t="shared" si="94"/>
        <v>372.59407061242604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15.519765212292137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15.519765212292137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19.913399999999999</v>
      </c>
      <c r="D72" s="11">
        <f t="shared" si="86"/>
        <v>6.4785371839278971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101.86361720112522</v>
      </c>
      <c r="H72" s="67">
        <f t="shared" si="56"/>
        <v>302.63262392867443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13.857142857142858</v>
      </c>
      <c r="N72" s="13">
        <f>IF('Données projet'!$A$36&gt;35,N71+M72-V71,IF(A72&lt;'Données projet'!$A$36,$K$205^A72,IF(A72='Données projet'!$A$36,'Données projet'!$B$36,N71+M72-V71)))</f>
        <v>537.14285714285677</v>
      </c>
      <c r="O72" s="13">
        <f>N72*VLOOKUP('Données projet'!$B$9,Paramètres!$A$1:$I$89,3,0)*VLOOKUP('Données projet'!$B$9,Paramètres!$A$1:$I$89,5,0)</f>
        <v>300.26285714285694</v>
      </c>
      <c r="P72" s="13">
        <f t="shared" si="87"/>
        <v>71.231565620163408</v>
      </c>
      <c r="Q72" s="20">
        <f t="shared" si="54"/>
        <v>647.01945297892712</v>
      </c>
      <c r="R72" s="59">
        <f t="shared" si="55"/>
        <v>940.35278631226038</v>
      </c>
      <c r="S72" s="59">
        <f ca="1">AVERAGE(OFFSET($R$3,0,0,'Données projet'!$E$9+1,1))-AVERAGE(OFFSET($H$3,0,0,'Données projet'!$E$9+1,1))</f>
        <v>347.01106511825213</v>
      </c>
      <c r="T72" s="59">
        <f t="shared" si="88"/>
        <v>329.53392323581539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41.072330785831184</v>
      </c>
      <c r="AA72" s="21">
        <f>EXP(-LN(2)/25)*AA71+(1-EXP(-LN(2)/25))/(LN(2)/25)*Calculateur!V72*Calculateur!X72*VLOOKUP('Données projet'!$B$9,Paramètres!$A$1:$I$89,3,0)*0.475*44/12</f>
        <v>39.348708581482221</v>
      </c>
      <c r="AB72" s="21">
        <f>EXP(-LN(2)/2)*AB71+(1-EXP(-LN(2)/2))/(LN(2)/2)*V72*Y72*VLOOKUP('Données projet'!$B$9,Paramètres!$A$1:$I$89,3,0)*0.475*44/12</f>
        <v>1.4646740274462089</v>
      </c>
      <c r="AC72" s="22">
        <f t="shared" si="57"/>
        <v>81.885713394759605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4.125</v>
      </c>
      <c r="AI72" s="13">
        <f>IF('Données projet'!$A$62&gt;35,AI71+AH72-AQ71,IF(A72&lt;'Données projet'!$A$62,$AF$205^A72,IF(A72='Données projet'!$A$62,'Données projet'!$B$62,AI71+AH72-AQ71)))</f>
        <v>105.625</v>
      </c>
      <c r="AJ72" s="13">
        <f>AI72*VLOOKUP('Données projet'!$B$10,Paramètres!$A$1:$I$89,3,0)*VLOOKUP('Données projet'!$B$10,Paramètres!$A$1:$I$89,5,0)</f>
        <v>95.569499999999991</v>
      </c>
      <c r="AK72" s="13">
        <f t="shared" si="89"/>
        <v>25.903724388490318</v>
      </c>
      <c r="AL72" s="20">
        <f t="shared" si="58"/>
        <v>211.56586580995395</v>
      </c>
      <c r="AM72" s="59">
        <f t="shared" si="59"/>
        <v>504.89919914328726</v>
      </c>
      <c r="AN72" s="59">
        <f ca="1">AVERAGE(OFFSET($AM$3,0,0,'Données projet'!$E$10+1,1))-AVERAGE(OFFSET($H$3,0,0,'Données projet'!$E$10+1,1))</f>
        <v>209.32570518924194</v>
      </c>
      <c r="AO72" s="59">
        <f t="shared" si="90"/>
        <v>138.10530102720475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0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219.86035935827329</v>
      </c>
      <c r="BJ72" s="59">
        <f t="shared" si="92"/>
        <v>322.75312534885239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140.85138977936478</v>
      </c>
      <c r="BQ72" s="21">
        <f>EXP(-LN(2)/25)*BQ71+(1-EXP(-LN(2)/25))/(LN(2)/25)*Calculateur!BL72*Calculateur!BN72*VLOOKUP('Données projet'!$B$11,Paramètres!$A$1:$I$89,3,0)*0.475*44/12</f>
        <v>32.838940672964149</v>
      </c>
      <c r="BR72" s="21">
        <f>EXP(-LN(2)/2)*BR71+(1-EXP(-LN(2)/2))/(LN(2)/2)*BL72*BO72*VLOOKUP('Données projet'!$B$11,Paramètres!$A$1:$I$89,3,0)*0.475*44/12</f>
        <v>1.2577422901063897</v>
      </c>
      <c r="BS72" s="22">
        <f t="shared" si="63"/>
        <v>174.94807274243533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360.79999999999967</v>
      </c>
      <c r="BZ72" s="13">
        <f>BY72*VLOOKUP('Données projet'!$B$12,Paramètres!$A$1:$I$89,3,0)*VLOOKUP('Données projet'!$B$12,Paramètres!$A$1:$I$89,5,0)</f>
        <v>287.05247999999978</v>
      </c>
      <c r="CA72" s="13">
        <f t="shared" si="93"/>
        <v>68.455236071606535</v>
      </c>
      <c r="CB72" s="20">
        <f t="shared" si="64"/>
        <v>619.17593882471431</v>
      </c>
      <c r="CC72" s="59">
        <f t="shared" si="65"/>
        <v>912.50927215804768</v>
      </c>
      <c r="CD72" s="59">
        <f ca="1">AVERAGE(OFFSET($CC$3,0,0,'Données projet'!$E$12+1,1))-AVERAGE(OFFSET($H$3,0,0,'Données projet'!$E$12+1,1))</f>
        <v>378.47278187128137</v>
      </c>
      <c r="CE72" s="59">
        <f t="shared" si="94"/>
        <v>372.59407061242604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15.215432082601167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15.215432082601167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20.201999999999998</v>
      </c>
      <c r="D73" s="11">
        <f t="shared" si="86"/>
        <v>6.5614304138099309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103.29745071996815</v>
      </c>
      <c r="H73" s="67">
        <f t="shared" si="56"/>
        <v>303.27964130405229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551</v>
      </c>
      <c r="L73" s="12">
        <f>VLOOKUP(A73,'Données projet'!$A$35:$I$55,9,0)</f>
        <v>13.857142857142858</v>
      </c>
      <c r="M73" s="12">
        <f t="array" ref="M73">INDEX(L:L,MIN(IF(ISNUMBER(L73:L269),ROW(L73:L269),"")))</f>
        <v>13.857142857142858</v>
      </c>
      <c r="N73" s="13">
        <f>IF('Données projet'!$A$36&gt;35,N72+M73-V72,IF(A73&lt;'Données projet'!$A$36,$K$205^A73,IF(A73='Données projet'!$A$36,'Données projet'!$B$36,N72+M73-V72)))</f>
        <v>550.99999999999966</v>
      </c>
      <c r="O73" s="13">
        <f>N73*VLOOKUP('Données projet'!$B$9,Paramètres!$A$1:$I$89,3,0)*VLOOKUP('Données projet'!$B$9,Paramètres!$A$1:$I$89,5,0)</f>
        <v>308.00899999999979</v>
      </c>
      <c r="P73" s="13">
        <f t="shared" si="87"/>
        <v>72.852874331417695</v>
      </c>
      <c r="Q73" s="20">
        <f t="shared" si="54"/>
        <v>663.33443112721886</v>
      </c>
      <c r="R73" s="59">
        <f t="shared" si="55"/>
        <v>956.66776446055223</v>
      </c>
      <c r="S73" s="59">
        <f ca="1">AVERAGE(OFFSET($R$3,0,0,'Données projet'!$E$9+1,1))-AVERAGE(OFFSET($H$3,0,0,'Données projet'!$E$9+1,1))</f>
        <v>347.01106511825213</v>
      </c>
      <c r="T73" s="59">
        <f t="shared" si="88"/>
        <v>329.53392323581539</v>
      </c>
      <c r="U73" s="15" t="str">
        <f>IF(ISNA(VLOOKUP(A73,'Données projet'!$A$35:$I$55,3,0)),0,VLOOKUP(A73,'Données projet'!$A$35:$I$55,3,0))</f>
        <v>CR</v>
      </c>
      <c r="V73" s="15">
        <f>IF(ISNA(VLOOKUP(A73,'Données projet'!$A$35:$I$55,4,0)),0,VLOOKUP(A73,'Données projet'!$A$35:$I$55,4,0))</f>
        <v>551</v>
      </c>
      <c r="W73" s="16">
        <f>IF(ISNA(VLOOKUP(A73,'Données projet'!$A$35:$I$55,5,0)),0%,VLOOKUP(A73,'Données projet'!$A$35:$I$55,5,0)*VLOOKUP('Données projet'!$B$9,Paramètres!$A$1:$I$89,7,0))</f>
        <v>0.44000000000000006</v>
      </c>
      <c r="X73" s="16">
        <f>IF(ISNA(VLOOKUP(A73,'Données projet'!$A$35:$I$55,6,0)),0%,VLOOKUP(A73,'Données projet'!$A$35:$I$55,6,0)*VLOOKUP('Données projet'!$B$9,Paramètres!$A$1:$I$89,7,0))</f>
        <v>5.5000000000000007E-2</v>
      </c>
      <c r="Y73" s="16">
        <f>IF(ISNA(VLOOKUP(A73,'Données projet'!$A$35:$I$55,7,0)),0%,VLOOKUP(A73,'Données projet'!$A$35:$I$55,7,0))</f>
        <v>0.1</v>
      </c>
      <c r="Z73" s="21">
        <f>EXP(-LN(2)/35)*Z72+(1-EXP(-LN(2)/35))/(LN(2)/35)*V73*W73*VLOOKUP('Données projet'!$B$9,Paramètres!$A$1:$I$89,3,0)*0.475*44/12</f>
        <v>220.04819562717921</v>
      </c>
      <c r="AA73" s="21">
        <f>EXP(-LN(2)/25)*AA72+(1-EXP(-LN(2)/25))/(LN(2)/25)*Calculateur!V73*Calculateur!X73*VLOOKUP('Données projet'!$B$9,Paramètres!$A$1:$I$89,3,0)*0.475*44/12</f>
        <v>60.656891181248824</v>
      </c>
      <c r="AB73" s="21">
        <f>EXP(-LN(2)/2)*AB72+(1-EXP(-LN(2)/2))/(LN(2)/2)*V73*Y73*VLOOKUP('Données projet'!$B$9,Paramètres!$A$1:$I$89,3,0)*0.475*44/12</f>
        <v>35.909454709917952</v>
      </c>
      <c r="AC73" s="22">
        <f t="shared" si="57"/>
        <v>316.61454151834602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4.125</v>
      </c>
      <c r="AI73" s="13">
        <f>IF('Données projet'!$A$62&gt;35,AI72+AH73-AQ72,IF(A73&lt;'Données projet'!$A$62,$AF$205^A73,IF(A73='Données projet'!$A$62,'Données projet'!$B$62,AI72+AH73-AQ72)))</f>
        <v>109.75</v>
      </c>
      <c r="AJ73" s="13">
        <f>AI73*VLOOKUP('Données projet'!$B$10,Paramètres!$A$1:$I$89,3,0)*VLOOKUP('Données projet'!$B$10,Paramètres!$A$1:$I$89,5,0)</f>
        <v>99.3018</v>
      </c>
      <c r="AK73" s="13">
        <f t="shared" si="89"/>
        <v>26.795593258779039</v>
      </c>
      <c r="AL73" s="20">
        <f t="shared" si="58"/>
        <v>219.61962659237349</v>
      </c>
      <c r="AM73" s="59">
        <f t="shared" si="59"/>
        <v>512.95295992570686</v>
      </c>
      <c r="AN73" s="59">
        <f ca="1">AVERAGE(OFFSET($AM$3,0,0,'Données projet'!$E$10+1,1))-AVERAGE(OFFSET($H$3,0,0,'Données projet'!$E$10+1,1))</f>
        <v>209.32570518924194</v>
      </c>
      <c r="AO73" s="59">
        <f t="shared" si="90"/>
        <v>138.10530102720475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0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219.86035935827329</v>
      </c>
      <c r="BJ73" s="59">
        <f t="shared" si="92"/>
        <v>322.75312534885239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138.0893799366562</v>
      </c>
      <c r="BQ73" s="21">
        <f>EXP(-LN(2)/25)*BQ72+(1-EXP(-LN(2)/25))/(LN(2)/25)*Calculateur!BL73*Calculateur!BN73*VLOOKUP('Données projet'!$B$11,Paramètres!$A$1:$I$89,3,0)*0.475*44/12</f>
        <v>31.940958113337111</v>
      </c>
      <c r="BR73" s="21">
        <f>EXP(-LN(2)/2)*BR72+(1-EXP(-LN(2)/2))/(LN(2)/2)*BL73*BO73*VLOOKUP('Données projet'!$B$11,Paramètres!$A$1:$I$89,3,0)*0.475*44/12</f>
        <v>0.8893581023193261</v>
      </c>
      <c r="BS73" s="22">
        <f t="shared" si="63"/>
        <v>170.91969615231264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366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365.99999999999966</v>
      </c>
      <c r="BZ73" s="13">
        <f>BY73*VLOOKUP('Données projet'!$B$12,Paramètres!$A$1:$I$89,3,0)*VLOOKUP('Données projet'!$B$12,Paramètres!$A$1:$I$89,5,0)</f>
        <v>291.18959999999976</v>
      </c>
      <c r="CA73" s="13">
        <f t="shared" si="93"/>
        <v>69.326273255048633</v>
      </c>
      <c r="CB73" s="20">
        <f t="shared" si="64"/>
        <v>627.89847925254264</v>
      </c>
      <c r="CC73" s="59">
        <f t="shared" si="65"/>
        <v>921.23181258587601</v>
      </c>
      <c r="CD73" s="59">
        <f ca="1">AVERAGE(OFFSET($CC$3,0,0,'Données projet'!$E$12+1,1))-AVERAGE(OFFSET($H$3,0,0,'Données projet'!$E$12+1,1))</f>
        <v>378.47278187128137</v>
      </c>
      <c r="CE73" s="59">
        <f t="shared" si="94"/>
        <v>372.59407061242604</v>
      </c>
      <c r="CF73" s="15">
        <f>IF(ISNA(VLOOKUP(A73,'Données projet'!$A$113:$I$133,3,0)),0,VLOOKUP(A73,'Données projet'!$A$113:$I$133,3,0))</f>
        <v>10</v>
      </c>
      <c r="CG73" s="15">
        <f>IF(ISNA(VLOOKUP(A73,'Données projet'!$A$113:$I$133,4,0)),0,VLOOKUP(A73,'Données projet'!$A$113:$I$133,4,0))</f>
        <v>15</v>
      </c>
      <c r="CH73" s="16">
        <f>IF(ISNA(VLOOKUP(A73,'Données projet'!$A$113:$I$133,5,0)),0%,VLOOKUP(A73,'Données projet'!$A$113:$I$133,5,0)*VLOOKUP('Données projet'!$B$12,Paramètres!$A$1:$I$89,7,0))</f>
        <v>0.23850000000000002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18.063521756937632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18.063521756937632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20.490599999999997</v>
      </c>
      <c r="D74" s="11">
        <f t="shared" si="86"/>
        <v>6.6441859136793759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104.73075264928882</v>
      </c>
      <c r="H74" s="67">
        <f t="shared" si="56"/>
        <v>303.92641879965828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-3.4106051316484809E-13</v>
      </c>
      <c r="O74" s="13">
        <f>N74*VLOOKUP('Données projet'!$B$9,Paramètres!$A$1:$I$89,3,0)*VLOOKUP('Données projet'!$B$9,Paramètres!$A$1:$I$89,5,0)</f>
        <v>-1.9065282685915009E-13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347.01106511825213</v>
      </c>
      <c r="T74" s="59">
        <f t="shared" si="88"/>
        <v>329.53392323581539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215.7331847270768</v>
      </c>
      <c r="AA74" s="21">
        <f>EXP(-LN(2)/25)*AA73+(1-EXP(-LN(2)/25))/(LN(2)/25)*Calculateur!V74*Calculateur!X74*VLOOKUP('Données projet'!$B$9,Paramètres!$A$1:$I$89,3,0)*0.475*44/12</f>
        <v>58.998225302090297</v>
      </c>
      <c r="AB74" s="21">
        <f>EXP(-LN(2)/2)*AB73+(1-EXP(-LN(2)/2))/(LN(2)/2)*V74*Y74*VLOOKUP('Données projet'!$B$9,Paramètres!$A$1:$I$89,3,0)*0.475*44/12</f>
        <v>25.391818934094193</v>
      </c>
      <c r="AC74" s="22">
        <f t="shared" si="57"/>
        <v>300.12322896326128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4.125</v>
      </c>
      <c r="AI74" s="13">
        <f>IF('Données projet'!$A$62&gt;35,AI73+AH74-AQ73,IF(A74&lt;'Données projet'!$A$62,$AF$205^A74,IF(A74='Données projet'!$A$62,'Données projet'!$B$62,AI73+AH74-AQ73)))</f>
        <v>113.875</v>
      </c>
      <c r="AJ74" s="13">
        <f>AI74*VLOOKUP('Données projet'!$B$10,Paramètres!$A$1:$I$89,3,0)*VLOOKUP('Données projet'!$B$10,Paramètres!$A$1:$I$89,5,0)</f>
        <v>103.03410000000001</v>
      </c>
      <c r="AK74" s="13">
        <f t="shared" si="89"/>
        <v>27.683567807889602</v>
      </c>
      <c r="AL74" s="20">
        <f t="shared" si="58"/>
        <v>227.6666047654077</v>
      </c>
      <c r="AM74" s="59">
        <f t="shared" si="59"/>
        <v>520.99993809874104</v>
      </c>
      <c r="AN74" s="59">
        <f ca="1">AVERAGE(OFFSET($AM$3,0,0,'Données projet'!$E$10+1,1))-AVERAGE(OFFSET($H$3,0,0,'Données projet'!$E$10+1,1))</f>
        <v>209.32570518924194</v>
      </c>
      <c r="AO74" s="59">
        <f t="shared" si="90"/>
        <v>138.10530102720475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0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219.86035935827329</v>
      </c>
      <c r="BJ74" s="59">
        <f t="shared" si="92"/>
        <v>322.75312534885239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135.38153142230348</v>
      </c>
      <c r="BQ74" s="21">
        <f>EXP(-LN(2)/25)*BQ73+(1-EXP(-LN(2)/25))/(LN(2)/25)*Calculateur!BL74*Calculateur!BN74*VLOOKUP('Données projet'!$B$11,Paramètres!$A$1:$I$89,3,0)*0.475*44/12</f>
        <v>31.067530934025921</v>
      </c>
      <c r="BR74" s="21">
        <f>EXP(-LN(2)/2)*BR73+(1-EXP(-LN(2)/2))/(LN(2)/2)*BL74*BO74*VLOOKUP('Données projet'!$B$11,Paramètres!$A$1:$I$89,3,0)*0.475*44/12</f>
        <v>0.62887114505319486</v>
      </c>
      <c r="BS74" s="22">
        <f t="shared" si="63"/>
        <v>167.07793350138257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355.79999999999967</v>
      </c>
      <c r="BZ74" s="13">
        <f>BY74*VLOOKUP('Données projet'!$B$12,Paramètres!$A$1:$I$89,3,0)*VLOOKUP('Données projet'!$B$12,Paramètres!$A$1:$I$89,5,0)</f>
        <v>283.07447999999977</v>
      </c>
      <c r="CA74" s="13">
        <f t="shared" si="93"/>
        <v>67.616321363645156</v>
      </c>
      <c r="CB74" s="20">
        <f t="shared" si="64"/>
        <v>610.78647904168156</v>
      </c>
      <c r="CC74" s="59">
        <f t="shared" si="65"/>
        <v>904.11981237501482</v>
      </c>
      <c r="CD74" s="59">
        <f ca="1">AVERAGE(OFFSET($CC$3,0,0,'Données projet'!$E$12+1,1))-AVERAGE(OFFSET($H$3,0,0,'Données projet'!$E$12+1,1))</f>
        <v>378.47278187128137</v>
      </c>
      <c r="CE74" s="59">
        <f t="shared" si="94"/>
        <v>372.59407061242604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17.709307112944455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17.709307112944455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20.779199999999996</v>
      </c>
      <c r="D75" s="11">
        <f t="shared" si="86"/>
        <v>6.7268058475649397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106.1635313414787</v>
      </c>
      <c r="H75" s="67">
        <f t="shared" si="56"/>
        <v>304.57296018450893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-3.4106051316484809E-13</v>
      </c>
      <c r="O75" s="13">
        <f>N75*VLOOKUP('Données projet'!$B$9,Paramètres!$A$1:$I$89,3,0)*VLOOKUP('Données projet'!$B$9,Paramètres!$A$1:$I$89,5,0)</f>
        <v>-1.9065282685915009E-13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347.01106511825213</v>
      </c>
      <c r="T75" s="59">
        <f t="shared" si="88"/>
        <v>329.53392323581539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211.50278855882866</v>
      </c>
      <c r="AA75" s="21">
        <f>EXP(-LN(2)/25)*AA74+(1-EXP(-LN(2)/25))/(LN(2)/25)*Calculateur!V75*Calculateur!X75*VLOOKUP('Données projet'!$B$9,Paramètres!$A$1:$I$89,3,0)*0.475*44/12</f>
        <v>57.384915728622815</v>
      </c>
      <c r="AB75" s="21">
        <f>EXP(-LN(2)/2)*AB74+(1-EXP(-LN(2)/2))/(LN(2)/2)*V75*Y75*VLOOKUP('Données projet'!$B$9,Paramètres!$A$1:$I$89,3,0)*0.475*44/12</f>
        <v>17.95472735495898</v>
      </c>
      <c r="AC75" s="22">
        <f t="shared" si="57"/>
        <v>286.84243164241047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>
        <f>VLOOKUP(A75,'Données projet'!$A$61:$I$81,2,0)</f>
        <v>118</v>
      </c>
      <c r="AG75" s="12">
        <f>VLOOKUP(A75,'Données projet'!$A$61:$I$81,9,0)</f>
        <v>4.125</v>
      </c>
      <c r="AH75" s="12">
        <f t="array" ref="AH75">INDEX(AG:AG,MIN(IF(ISNUMBER(AG75:AG271),ROW(AG75:AG271),"")))</f>
        <v>4.125</v>
      </c>
      <c r="AI75" s="13">
        <f>IF('Données projet'!$A$62&gt;35,AI74+AH75-AQ74,IF(A75&lt;'Données projet'!$A$62,$AF$205^A75,IF(A75='Données projet'!$A$62,'Données projet'!$B$62,AI74+AH75-AQ74)))</f>
        <v>118</v>
      </c>
      <c r="AJ75" s="13">
        <f>AI75*VLOOKUP('Données projet'!$B$10,Paramètres!$A$1:$I$89,3,0)*VLOOKUP('Données projet'!$B$10,Paramètres!$A$1:$I$89,5,0)</f>
        <v>106.7664</v>
      </c>
      <c r="AK75" s="13">
        <f t="shared" si="89"/>
        <v>28.5678052620942</v>
      </c>
      <c r="AL75" s="20">
        <f t="shared" si="58"/>
        <v>235.70707416481403</v>
      </c>
      <c r="AM75" s="59">
        <f t="shared" si="59"/>
        <v>529.04040749814737</v>
      </c>
      <c r="AN75" s="59">
        <f ca="1">AVERAGE(OFFSET($AM$3,0,0,'Données projet'!$E$10+1,1))-AVERAGE(OFFSET($H$3,0,0,'Données projet'!$E$10+1,1))</f>
        <v>209.32570518924194</v>
      </c>
      <c r="AO75" s="59">
        <f t="shared" si="90"/>
        <v>138.10530102720475</v>
      </c>
      <c r="AP75" s="15">
        <f>IF(ISNA(VLOOKUP(A75,'Données projet'!$A$61:$I$81,3,0)),0,VLOOKUP(A75,'Données projet'!$A$61:$I$81,3,0))</f>
        <v>3</v>
      </c>
      <c r="AQ75" s="15">
        <f>IF(ISNA(VLOOKUP(A75,'Données projet'!$A$61:$I$81,4,0)),0,VLOOKUP(A75,'Données projet'!$A$61:$I$81,4,0))</f>
        <v>28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0.215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5.9976737123943051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5.9976737123943051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219.86035935827329</v>
      </c>
      <c r="BJ75" s="59">
        <f t="shared" si="92"/>
        <v>322.75312534885239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132.72678216569273</v>
      </c>
      <c r="BQ75" s="21">
        <f>EXP(-LN(2)/25)*BQ74+(1-EXP(-LN(2)/25))/(LN(2)/25)*Calculateur!BL75*Calculateur!BN75*VLOOKUP('Données projet'!$B$11,Paramètres!$A$1:$I$89,3,0)*0.475*44/12</f>
        <v>30.217987666864538</v>
      </c>
      <c r="BR75" s="21">
        <f>EXP(-LN(2)/2)*BR74+(1-EXP(-LN(2)/2))/(LN(2)/2)*BL75*BO75*VLOOKUP('Données projet'!$B$11,Paramètres!$A$1:$I$89,3,0)*0.475*44/12</f>
        <v>0.44467905115966305</v>
      </c>
      <c r="BS75" s="22">
        <f t="shared" si="63"/>
        <v>163.38944888371691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360.59999999999968</v>
      </c>
      <c r="BZ75" s="13">
        <f>BY75*VLOOKUP('Données projet'!$B$12,Paramètres!$A$1:$I$89,3,0)*VLOOKUP('Données projet'!$B$12,Paramètres!$A$1:$I$89,5,0)</f>
        <v>286.89335999999975</v>
      </c>
      <c r="CA75" s="13">
        <f t="shared" si="93"/>
        <v>68.421705584684744</v>
      </c>
      <c r="CB75" s="20">
        <f t="shared" si="64"/>
        <v>618.84040589332551</v>
      </c>
      <c r="CC75" s="59">
        <f t="shared" si="65"/>
        <v>912.17373922665888</v>
      </c>
      <c r="CD75" s="59">
        <f ca="1">AVERAGE(OFFSET($CC$3,0,0,'Données projet'!$E$12+1,1))-AVERAGE(OFFSET($H$3,0,0,'Données projet'!$E$12+1,1))</f>
        <v>378.47278187128137</v>
      </c>
      <c r="CE75" s="59">
        <f t="shared" si="94"/>
        <v>372.59407061242604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17.362038402070382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17.362038402070382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21.067799999999995</v>
      </c>
      <c r="D76" s="11">
        <f t="shared" si="86"/>
        <v>6.8092923159301941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107.5957949035902</v>
      </c>
      <c r="H76" s="67">
        <f t="shared" si="56"/>
        <v>305.21926911691173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-3.4106051316484809E-13</v>
      </c>
      <c r="O76" s="13">
        <f>N76*VLOOKUP('Données projet'!$B$9,Paramètres!$A$1:$I$89,3,0)*VLOOKUP('Données projet'!$B$9,Paramètres!$A$1:$I$89,5,0)</f>
        <v>-1.9065282685915009E-13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347.01106511825213</v>
      </c>
      <c r="T76" s="59">
        <f t="shared" si="88"/>
        <v>329.53392323581539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207.35534787915296</v>
      </c>
      <c r="AA76" s="21">
        <f>EXP(-LN(2)/25)*AA75+(1-EXP(-LN(2)/25))/(LN(2)/25)*Calculateur!V76*Calculateur!X76*VLOOKUP('Données projet'!$B$9,Paramètres!$A$1:$I$89,3,0)*0.475*44/12</f>
        <v>55.81572219028206</v>
      </c>
      <c r="AB76" s="21">
        <f>EXP(-LN(2)/2)*AB75+(1-EXP(-LN(2)/2))/(LN(2)/2)*V76*Y76*VLOOKUP('Données projet'!$B$9,Paramètres!$A$1:$I$89,3,0)*0.475*44/12</f>
        <v>12.6959094670471</v>
      </c>
      <c r="AC76" s="22">
        <f t="shared" si="57"/>
        <v>275.86697953648212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3.5555555555555554</v>
      </c>
      <c r="AI76" s="13">
        <f>IF('Données projet'!$A$62&gt;35,AI75+AH76-AQ75,IF(A76&lt;'Données projet'!$A$62,$AF$205^A76,IF(A76='Données projet'!$A$62,'Données projet'!$B$62,AI75+AH76-AQ75)))</f>
        <v>93.555555555555557</v>
      </c>
      <c r="AJ76" s="13">
        <f>AI76*VLOOKUP('Données projet'!$B$10,Paramètres!$A$1:$I$89,3,0)*VLOOKUP('Données projet'!$B$10,Paramètres!$A$1:$I$89,5,0)</f>
        <v>84.64906666666667</v>
      </c>
      <c r="AK76" s="13">
        <f t="shared" si="89"/>
        <v>23.270141160492319</v>
      </c>
      <c r="AL76" s="20">
        <f t="shared" si="58"/>
        <v>187.95928696563521</v>
      </c>
      <c r="AM76" s="59">
        <f t="shared" si="59"/>
        <v>481.29262029896853</v>
      </c>
      <c r="AN76" s="59">
        <f ca="1">AVERAGE(OFFSET($AM$3,0,0,'Données projet'!$E$10+1,1))-AVERAGE(OFFSET($H$3,0,0,'Données projet'!$E$10+1,1))</f>
        <v>209.32570518924194</v>
      </c>
      <c r="AO76" s="59">
        <f t="shared" si="90"/>
        <v>138.10530102720475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5.8336670093249303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5.8336670093249303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219.86035935827329</v>
      </c>
      <c r="BJ76" s="59">
        <f t="shared" si="92"/>
        <v>322.75312534885239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130.12409092276692</v>
      </c>
      <c r="BQ76" s="21">
        <f>EXP(-LN(2)/25)*BQ75+(1-EXP(-LN(2)/25))/(LN(2)/25)*Calculateur!BL76*Calculateur!BN76*VLOOKUP('Données projet'!$B$11,Paramètres!$A$1:$I$89,3,0)*0.475*44/12</f>
        <v>29.391675205019219</v>
      </c>
      <c r="BR76" s="21">
        <f>EXP(-LN(2)/2)*BR75+(1-EXP(-LN(2)/2))/(LN(2)/2)*BL76*BO76*VLOOKUP('Données projet'!$B$11,Paramètres!$A$1:$I$89,3,0)*0.475*44/12</f>
        <v>0.31443557252659743</v>
      </c>
      <c r="BS76" s="22">
        <f t="shared" si="63"/>
        <v>159.83020170031276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365.39999999999969</v>
      </c>
      <c r="BZ76" s="13">
        <f>BY76*VLOOKUP('Données projet'!$B$12,Paramètres!$A$1:$I$89,3,0)*VLOOKUP('Données projet'!$B$12,Paramètres!$A$1:$I$89,5,0)</f>
        <v>290.71223999999978</v>
      </c>
      <c r="CA76" s="13">
        <f t="shared" si="93"/>
        <v>69.225842856510994</v>
      </c>
      <c r="CB76" s="20">
        <f t="shared" si="64"/>
        <v>626.89216097508961</v>
      </c>
      <c r="CC76" s="59">
        <f t="shared" si="65"/>
        <v>920.22549430842287</v>
      </c>
      <c r="CD76" s="59">
        <f ca="1">AVERAGE(OFFSET($CC$3,0,0,'Données projet'!$E$12+1,1))-AVERAGE(OFFSET($H$3,0,0,'Données projet'!$E$12+1,1))</f>
        <v>378.47278187128137</v>
      </c>
      <c r="CE76" s="59">
        <f t="shared" si="94"/>
        <v>372.59407061242604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17.021579418803551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17.021579418803551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21.356399999999994</v>
      </c>
      <c r="D77" s="11">
        <f t="shared" si="86"/>
        <v>6.8916473583853968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109.02755120780328</v>
      </c>
      <c r="H77" s="67">
        <f t="shared" si="56"/>
        <v>305.86534914918792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-3.4106051316484809E-13</v>
      </c>
      <c r="O77" s="13">
        <f>N77*VLOOKUP('Données projet'!$B$9,Paramètres!$A$1:$I$89,3,0)*VLOOKUP('Données projet'!$B$9,Paramètres!$A$1:$I$89,5,0)</f>
        <v>-1.9065282685915009E-13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347.01106511825213</v>
      </c>
      <c r="T77" s="59">
        <f t="shared" si="88"/>
        <v>329.53392323581539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203.28923598151667</v>
      </c>
      <c r="AA77" s="21">
        <f>EXP(-LN(2)/25)*AA76+(1-EXP(-LN(2)/25))/(LN(2)/25)*Calculateur!V77*Calculateur!X77*VLOOKUP('Données projet'!$B$9,Paramètres!$A$1:$I$89,3,0)*0.475*44/12</f>
        <v>54.289438331767535</v>
      </c>
      <c r="AB77" s="21">
        <f>EXP(-LN(2)/2)*AB76+(1-EXP(-LN(2)/2))/(LN(2)/2)*V77*Y77*VLOOKUP('Données projet'!$B$9,Paramètres!$A$1:$I$89,3,0)*0.475*44/12</f>
        <v>8.9773636774794916</v>
      </c>
      <c r="AC77" s="22">
        <f t="shared" si="57"/>
        <v>266.55603799076368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3.5555555555555554</v>
      </c>
      <c r="AI77" s="13">
        <f>IF('Données projet'!$A$62&gt;35,AI76+AH77-AQ76,IF(A77&lt;'Données projet'!$A$62,$AF$205^A77,IF(A77='Données projet'!$A$62,'Données projet'!$B$62,AI76+AH77-AQ76)))</f>
        <v>97.111111111111114</v>
      </c>
      <c r="AJ77" s="13">
        <f>AI77*VLOOKUP('Données projet'!$B$10,Paramètres!$A$1:$I$89,3,0)*VLOOKUP('Données projet'!$B$10,Paramètres!$A$1:$I$89,5,0)</f>
        <v>87.866133333333337</v>
      </c>
      <c r="AK77" s="13">
        <f t="shared" si="89"/>
        <v>24.049871243607846</v>
      </c>
      <c r="AL77" s="20">
        <f t="shared" si="58"/>
        <v>194.92037463817258</v>
      </c>
      <c r="AM77" s="59">
        <f t="shared" si="59"/>
        <v>488.25370797150589</v>
      </c>
      <c r="AN77" s="59">
        <f ca="1">AVERAGE(OFFSET($AM$3,0,0,'Données projet'!$E$10+1,1))-AVERAGE(OFFSET($H$3,0,0,'Données projet'!$E$10+1,1))</f>
        <v>209.32570518924194</v>
      </c>
      <c r="AO77" s="59">
        <f t="shared" si="90"/>
        <v>138.10530102720475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5.6741450781757248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5.6741450781757248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219.86035935827329</v>
      </c>
      <c r="BJ77" s="59">
        <f t="shared" si="92"/>
        <v>322.75312534885239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127.57243686763</v>
      </c>
      <c r="BQ77" s="21">
        <f>EXP(-LN(2)/25)*BQ76+(1-EXP(-LN(2)/25))/(LN(2)/25)*Calculateur!BL77*Calculateur!BN77*VLOOKUP('Données projet'!$B$11,Paramètres!$A$1:$I$89,3,0)*0.475*44/12</f>
        <v>28.587958300896943</v>
      </c>
      <c r="BR77" s="21">
        <f>EXP(-LN(2)/2)*BR76+(1-EXP(-LN(2)/2))/(LN(2)/2)*BL77*BO77*VLOOKUP('Données projet'!$B$11,Paramètres!$A$1:$I$89,3,0)*0.475*44/12</f>
        <v>0.22233952557983153</v>
      </c>
      <c r="BS77" s="22">
        <f t="shared" si="63"/>
        <v>156.38273469410677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370.1999999999997</v>
      </c>
      <c r="BZ77" s="13">
        <f>BY77*VLOOKUP('Données projet'!$B$12,Paramètres!$A$1:$I$89,3,0)*VLOOKUP('Données projet'!$B$12,Paramètres!$A$1:$I$89,5,0)</f>
        <v>294.53111999999976</v>
      </c>
      <c r="CA77" s="13">
        <f t="shared" si="93"/>
        <v>70.028751453157682</v>
      </c>
      <c r="CB77" s="20">
        <f t="shared" si="64"/>
        <v>634.94177611424914</v>
      </c>
      <c r="CC77" s="59">
        <f t="shared" si="65"/>
        <v>928.27510944758251</v>
      </c>
      <c r="CD77" s="59">
        <f ca="1">AVERAGE(OFFSET($CC$3,0,0,'Données projet'!$E$12+1,1))-AVERAGE(OFFSET($H$3,0,0,'Données projet'!$E$12+1,1))</f>
        <v>378.47278187128137</v>
      </c>
      <c r="CE77" s="59">
        <f t="shared" si="94"/>
        <v>372.59407061242604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16.687796628539108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16.687796628539108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21.644999999999992</v>
      </c>
      <c r="D78" s="11">
        <f t="shared" si="86"/>
        <v>6.9738729562485071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110.45880790131001</v>
      </c>
      <c r="H78" s="67">
        <f t="shared" si="56"/>
        <v>306.5112037321328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-3.4106051316484809E-13</v>
      </c>
      <c r="O78" s="13">
        <f>N78*VLOOKUP('Données projet'!$B$9,Paramètres!$A$1:$I$89,3,0)*VLOOKUP('Données projet'!$B$9,Paramètres!$A$1:$I$89,5,0)</f>
        <v>-1.9065282685915009E-13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347.01106511825213</v>
      </c>
      <c r="T78" s="59">
        <f t="shared" si="88"/>
        <v>329.53392323581539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199.30285805810968</v>
      </c>
      <c r="AA78" s="21">
        <f>EXP(-LN(2)/25)*AA77+(1-EXP(-LN(2)/25))/(LN(2)/25)*Calculateur!V78*Calculateur!X78*VLOOKUP('Données projet'!$B$9,Paramètres!$A$1:$I$89,3,0)*0.475*44/12</f>
        <v>52.804890785627869</v>
      </c>
      <c r="AB78" s="21">
        <f>EXP(-LN(2)/2)*AB77+(1-EXP(-LN(2)/2))/(LN(2)/2)*V78*Y78*VLOOKUP('Données projet'!$B$9,Paramètres!$A$1:$I$89,3,0)*0.475*44/12</f>
        <v>6.3479547335235509</v>
      </c>
      <c r="AC78" s="22">
        <f t="shared" si="57"/>
        <v>258.45570357726109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3.5555555555555554</v>
      </c>
      <c r="AI78" s="13">
        <f>IF('Données projet'!$A$62&gt;35,AI77+AH78-AQ77,IF(A78&lt;'Données projet'!$A$62,$AF$205^A78,IF(A78='Données projet'!$A$62,'Données projet'!$B$62,AI77+AH78-AQ77)))</f>
        <v>100.66666666666667</v>
      </c>
      <c r="AJ78" s="13">
        <f>AI78*VLOOKUP('Données projet'!$B$10,Paramètres!$A$1:$I$89,3,0)*VLOOKUP('Données projet'!$B$10,Paramètres!$A$1:$I$89,5,0)</f>
        <v>91.083199999999991</v>
      </c>
      <c r="AK78" s="13">
        <f t="shared" si="89"/>
        <v>24.826284573079196</v>
      </c>
      <c r="AL78" s="20">
        <f t="shared" si="58"/>
        <v>201.87568563144623</v>
      </c>
      <c r="AM78" s="59">
        <f t="shared" si="59"/>
        <v>495.20901896477955</v>
      </c>
      <c r="AN78" s="59">
        <f ca="1">AVERAGE(OFFSET($AM$3,0,0,'Données projet'!$E$10+1,1))-AVERAGE(OFFSET($H$3,0,0,'Données projet'!$E$10+1,1))</f>
        <v>209.32570518924194</v>
      </c>
      <c r="AO78" s="59">
        <f t="shared" si="90"/>
        <v>138.10530102720475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5.5189852826226886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5.5189852826226886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219.86035935827329</v>
      </c>
      <c r="BJ78" s="59">
        <f t="shared" si="92"/>
        <v>322.75312534885239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125.07081919215902</v>
      </c>
      <c r="BQ78" s="21">
        <f>EXP(-LN(2)/25)*BQ77+(1-EXP(-LN(2)/25))/(LN(2)/25)*Calculateur!BL78*Calculateur!BN78*VLOOKUP('Données projet'!$B$11,Paramètres!$A$1:$I$89,3,0)*0.475*44/12</f>
        <v>27.806219077783528</v>
      </c>
      <c r="BR78" s="21">
        <f>EXP(-LN(2)/2)*BR77+(1-EXP(-LN(2)/2))/(LN(2)/2)*BL78*BO78*VLOOKUP('Données projet'!$B$11,Paramètres!$A$1:$I$89,3,0)*0.475*44/12</f>
        <v>0.15721778626329871</v>
      </c>
      <c r="BS78" s="22">
        <f t="shared" si="63"/>
        <v>153.03425605620583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>
        <f>VLOOKUP(A78,'Données projet'!$A$113:$I$133,2,0)</f>
        <v>375</v>
      </c>
      <c r="BW78" s="12">
        <f>VLOOKUP(A78,'Données projet'!$A$113:$I$133,9,0)</f>
        <v>4.8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374.99999999999972</v>
      </c>
      <c r="BZ78" s="13">
        <f>BY78*VLOOKUP('Données projet'!$B$12,Paramètres!$A$1:$I$89,3,0)*VLOOKUP('Données projet'!$B$12,Paramètres!$A$1:$I$89,5,0)</f>
        <v>298.3499999999998</v>
      </c>
      <c r="CA78" s="13">
        <f t="shared" si="93"/>
        <v>70.83044914753448</v>
      </c>
      <c r="CB78" s="20">
        <f t="shared" si="64"/>
        <v>642.98928226528881</v>
      </c>
      <c r="CC78" s="59">
        <f t="shared" si="65"/>
        <v>936.32261559862218</v>
      </c>
      <c r="CD78" s="59">
        <f ca="1">AVERAGE(OFFSET($CC$3,0,0,'Données projet'!$E$12+1,1))-AVERAGE(OFFSET($H$3,0,0,'Données projet'!$E$12+1,1))</f>
        <v>378.47278187128137</v>
      </c>
      <c r="CE78" s="59">
        <f t="shared" si="94"/>
        <v>372.59407061242604</v>
      </c>
      <c r="CF78" s="15">
        <f>IF(ISNA(VLOOKUP(A78,'Données projet'!$A$113:$I$133,3,0)),0,VLOOKUP(A78,'Données projet'!$A$113:$I$133,3,0))</f>
        <v>11</v>
      </c>
      <c r="CG78" s="15">
        <f>IF(ISNA(VLOOKUP(A78,'Données projet'!$A$113:$I$133,4,0)),0,VLOOKUP(A78,'Données projet'!$A$113:$I$133,4,0))</f>
        <v>14</v>
      </c>
      <c r="CH78" s="16">
        <f>IF(ISNA(VLOOKUP(A78,'Données projet'!$A$113:$I$133,5,0)),0%,VLOOKUP(A78,'Données projet'!$A$113:$I$133,5,0)*VLOOKUP('Données projet'!$B$12,Paramètres!$A$1:$I$89,7,0))</f>
        <v>0.26500000000000001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19.623549503182652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19.623549503182652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21.933599999999991</v>
      </c>
      <c r="D79" s="11">
        <f t="shared" si="86"/>
        <v>7.055971034965772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111.88957241565733</v>
      </c>
      <c r="H79" s="67">
        <f t="shared" si="56"/>
        <v>307.15683621923205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-3.4106051316484809E-13</v>
      </c>
      <c r="O79" s="13">
        <f>N79*VLOOKUP('Données projet'!$B$9,Paramètres!$A$1:$I$89,3,0)*VLOOKUP('Données projet'!$B$9,Paramètres!$A$1:$I$89,5,0)</f>
        <v>-1.9065282685915009E-13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347.01106511825213</v>
      </c>
      <c r="T79" s="59">
        <f t="shared" si="88"/>
        <v>329.53392323581539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195.39465057433023</v>
      </c>
      <c r="AA79" s="21">
        <f>EXP(-LN(2)/25)*AA78+(1-EXP(-LN(2)/25))/(LN(2)/25)*Calculateur!V79*Calculateur!X79*VLOOKUP('Données projet'!$B$9,Paramètres!$A$1:$I$89,3,0)*0.475*44/12</f>
        <v>51.360938270206354</v>
      </c>
      <c r="AB79" s="21">
        <f>EXP(-LN(2)/2)*AB78+(1-EXP(-LN(2)/2))/(LN(2)/2)*V79*Y79*VLOOKUP('Données projet'!$B$9,Paramètres!$A$1:$I$89,3,0)*0.475*44/12</f>
        <v>4.4886818387397467</v>
      </c>
      <c r="AC79" s="22">
        <f t="shared" si="57"/>
        <v>251.24427068327634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3.5555555555555554</v>
      </c>
      <c r="AI79" s="13">
        <f>IF('Données projet'!$A$62&gt;35,AI78+AH79-AQ78,IF(A79&lt;'Données projet'!$A$62,$AF$205^A79,IF(A79='Données projet'!$A$62,'Données projet'!$B$62,AI78+AH79-AQ78)))</f>
        <v>104.22222222222223</v>
      </c>
      <c r="AJ79" s="13">
        <f>AI79*VLOOKUP('Données projet'!$B$10,Paramètres!$A$1:$I$89,3,0)*VLOOKUP('Données projet'!$B$10,Paramètres!$A$1:$I$89,5,0)</f>
        <v>94.300266666666673</v>
      </c>
      <c r="AK79" s="13">
        <f t="shared" si="89"/>
        <v>25.599511719689016</v>
      </c>
      <c r="AL79" s="20">
        <f t="shared" si="58"/>
        <v>208.82544735623617</v>
      </c>
      <c r="AM79" s="59">
        <f t="shared" si="59"/>
        <v>502.15878068956948</v>
      </c>
      <c r="AN79" s="59">
        <f ca="1">AVERAGE(OFFSET($AM$3,0,0,'Données projet'!$E$10+1,1))-AVERAGE(OFFSET($H$3,0,0,'Données projet'!$E$10+1,1))</f>
        <v>209.32570518924194</v>
      </c>
      <c r="AO79" s="59">
        <f t="shared" si="90"/>
        <v>138.10530102720475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5.3680683398385494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5.3680683398385494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219.86035935827329</v>
      </c>
      <c r="BJ79" s="59">
        <f t="shared" si="92"/>
        <v>322.75312534885239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122.6182567134679</v>
      </c>
      <c r="BQ79" s="21">
        <f>EXP(-LN(2)/25)*BQ78+(1-EXP(-LN(2)/25))/(LN(2)/25)*Calculateur!BL79*Calculateur!BN79*VLOOKUP('Données projet'!$B$11,Paramètres!$A$1:$I$89,3,0)*0.475*44/12</f>
        <v>27.045856554836028</v>
      </c>
      <c r="BR79" s="21">
        <f>EXP(-LN(2)/2)*BR78+(1-EXP(-LN(2)/2))/(LN(2)/2)*BL79*BO79*VLOOKUP('Données projet'!$B$11,Paramètres!$A$1:$I$89,3,0)*0.475*44/12</f>
        <v>0.11116976278991576</v>
      </c>
      <c r="BS79" s="22">
        <f t="shared" si="63"/>
        <v>149.77528303109386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</v>
      </c>
      <c r="BY79" s="12">
        <f>IF('Données projet'!$A$114&gt;35,BY78+BX79-CG78,IF(A79&lt;'Données projet'!$A$114,$BV$205^A79,IF(A79='Données projet'!$A$114,'Données projet'!$B$114,BY78+BX79-CG78)))</f>
        <v>364.99999999999972</v>
      </c>
      <c r="BZ79" s="13">
        <f>BY79*VLOOKUP('Données projet'!$B$12,Paramètres!$A$1:$I$89,3,0)*VLOOKUP('Données projet'!$B$12,Paramètres!$A$1:$I$89,5,0)</f>
        <v>290.39399999999978</v>
      </c>
      <c r="CA79" s="13">
        <f t="shared" si="93"/>
        <v>69.158878594433091</v>
      </c>
      <c r="CB79" s="20">
        <f t="shared" si="64"/>
        <v>626.22126355197054</v>
      </c>
      <c r="CC79" s="59">
        <f t="shared" si="65"/>
        <v>919.55459688530391</v>
      </c>
      <c r="CD79" s="59">
        <f ca="1">AVERAGE(OFFSET($CC$3,0,0,'Données projet'!$E$12+1,1))-AVERAGE(OFFSET($H$3,0,0,'Données projet'!$E$12+1,1))</f>
        <v>378.47278187128137</v>
      </c>
      <c r="CE79" s="59">
        <f t="shared" si="94"/>
        <v>372.59407061242604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19.238743666608578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19.238743666608578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22.22219999999999</v>
      </c>
      <c r="D80" s="11">
        <f t="shared" si="86"/>
        <v>7.1379434664012598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113.31985197558377</v>
      </c>
      <c r="H80" s="67">
        <f t="shared" si="56"/>
        <v>307.80224987064889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-3.4106051316484809E-13</v>
      </c>
      <c r="O80" s="13">
        <f>N80*VLOOKUP('Données projet'!$B$9,Paramètres!$A$1:$I$89,3,0)*VLOOKUP('Données projet'!$B$9,Paramètres!$A$1:$I$89,5,0)</f>
        <v>-1.9065282685915009E-13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347.01106511825213</v>
      </c>
      <c r="T80" s="59">
        <f t="shared" si="88"/>
        <v>329.53392323581539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191.56308065553651</v>
      </c>
      <c r="AA80" s="21">
        <f>EXP(-LN(2)/25)*AA79+(1-EXP(-LN(2)/25))/(LN(2)/25)*Calculateur!V80*Calculateur!X80*VLOOKUP('Données projet'!$B$9,Paramètres!$A$1:$I$89,3,0)*0.475*44/12</f>
        <v>49.956470712253207</v>
      </c>
      <c r="AB80" s="21">
        <f>EXP(-LN(2)/2)*AB79+(1-EXP(-LN(2)/2))/(LN(2)/2)*V80*Y80*VLOOKUP('Données projet'!$B$9,Paramètres!$A$1:$I$89,3,0)*0.475*44/12</f>
        <v>3.1739773667617759</v>
      </c>
      <c r="AC80" s="22">
        <f t="shared" si="57"/>
        <v>244.69352873455151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3.5555555555555554</v>
      </c>
      <c r="AI80" s="13">
        <f>IF('Données projet'!$A$62&gt;35,AI79+AH80-AQ79,IF(A80&lt;'Données projet'!$A$62,$AF$205^A80,IF(A80='Données projet'!$A$62,'Données projet'!$B$62,AI79+AH80-AQ79)))</f>
        <v>107.77777777777779</v>
      </c>
      <c r="AJ80" s="13">
        <f>AI80*VLOOKUP('Données projet'!$B$10,Paramètres!$A$1:$I$89,3,0)*VLOOKUP('Données projet'!$B$10,Paramètres!$A$1:$I$89,5,0)</f>
        <v>97.51733333333334</v>
      </c>
      <c r="AK80" s="13">
        <f t="shared" si="89"/>
        <v>26.369673839978265</v>
      </c>
      <c r="AL80" s="20">
        <f t="shared" si="58"/>
        <v>215.76987082685102</v>
      </c>
      <c r="AM80" s="59">
        <f t="shared" si="59"/>
        <v>509.1032041601843</v>
      </c>
      <c r="AN80" s="59">
        <f ca="1">AVERAGE(OFFSET($AM$3,0,0,'Données projet'!$E$10+1,1))-AVERAGE(OFFSET($H$3,0,0,'Données projet'!$E$10+1,1))</f>
        <v>209.32570518924194</v>
      </c>
      <c r="AO80" s="59">
        <f t="shared" si="90"/>
        <v>138.10530102720475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5.2212782287912187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5.2212782287912187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219.86035935827329</v>
      </c>
      <c r="BJ80" s="59">
        <f t="shared" si="92"/>
        <v>322.75312534885239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120.21378748906852</v>
      </c>
      <c r="BQ80" s="21">
        <f>EXP(-LN(2)/25)*BQ79+(1-EXP(-LN(2)/25))/(LN(2)/25)*Calculateur!BL80*Calculateur!BN80*VLOOKUP('Données projet'!$B$11,Paramètres!$A$1:$I$89,3,0)*0.475*44/12</f>
        <v>26.306286185064256</v>
      </c>
      <c r="BR80" s="21">
        <f>EXP(-LN(2)/2)*BR79+(1-EXP(-LN(2)/2))/(LN(2)/2)*BL80*BO80*VLOOKUP('Données projet'!$B$11,Paramètres!$A$1:$I$89,3,0)*0.475*44/12</f>
        <v>7.8608893131649357E-2</v>
      </c>
      <c r="BS80" s="22">
        <f t="shared" si="63"/>
        <v>146.59868256726443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</v>
      </c>
      <c r="BY80" s="12">
        <f>IF('Données projet'!$A$114&gt;35,BY79+BX80-CG79,IF(A80&lt;'Données projet'!$A$114,$BV$205^A80,IF(A80='Données projet'!$A$114,'Données projet'!$B$114,BY79+BX80-CG79)))</f>
        <v>368.99999999999972</v>
      </c>
      <c r="BZ80" s="13">
        <f>BY80*VLOOKUP('Données projet'!$B$12,Paramètres!$A$1:$I$89,3,0)*VLOOKUP('Données projet'!$B$12,Paramètres!$A$1:$I$89,5,0)</f>
        <v>293.57639999999981</v>
      </c>
      <c r="CA80" s="13">
        <f t="shared" si="93"/>
        <v>69.828138511965548</v>
      </c>
      <c r="CB80" s="20">
        <f t="shared" si="64"/>
        <v>632.92957124167299</v>
      </c>
      <c r="CC80" s="59">
        <f t="shared" si="65"/>
        <v>926.26290457500636</v>
      </c>
      <c r="CD80" s="59">
        <f ca="1">AVERAGE(OFFSET($CC$3,0,0,'Données projet'!$E$12+1,1))-AVERAGE(OFFSET($H$3,0,0,'Données projet'!$E$12+1,1))</f>
        <v>378.47278187128137</v>
      </c>
      <c r="CE80" s="59">
        <f t="shared" si="94"/>
        <v>372.59407061242604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18.861483637781337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18.861483637781337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22.510799999999989</v>
      </c>
      <c r="D81" s="11">
        <f t="shared" si="86"/>
        <v>7.2197920710040719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114.7496536073841</v>
      </c>
      <c r="H81" s="67">
        <f t="shared" si="56"/>
        <v>308.44744785699874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-3.4106051316484809E-13</v>
      </c>
      <c r="O81" s="13">
        <f>N81*VLOOKUP('Données projet'!$B$9,Paramètres!$A$1:$I$89,3,0)*VLOOKUP('Données projet'!$B$9,Paramètres!$A$1:$I$89,5,0)</f>
        <v>-1.9065282685915009E-13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347.01106511825213</v>
      </c>
      <c r="T81" s="59">
        <f t="shared" si="88"/>
        <v>329.53392323581539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187.80664548582345</v>
      </c>
      <c r="AA81" s="21">
        <f>EXP(-LN(2)/25)*AA80+(1-EXP(-LN(2)/25))/(LN(2)/25)*Calculateur!V81*Calculateur!X81*VLOOKUP('Données projet'!$B$9,Paramètres!$A$1:$I$89,3,0)*0.475*44/12</f>
        <v>48.590408393530026</v>
      </c>
      <c r="AB81" s="21">
        <f>EXP(-LN(2)/2)*AB80+(1-EXP(-LN(2)/2))/(LN(2)/2)*V81*Y81*VLOOKUP('Données projet'!$B$9,Paramètres!$A$1:$I$89,3,0)*0.475*44/12</f>
        <v>2.2443409193698733</v>
      </c>
      <c r="AC81" s="22">
        <f t="shared" si="57"/>
        <v>238.64139479872335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3.5555555555555554</v>
      </c>
      <c r="AI81" s="13">
        <f>IF('Données projet'!$A$62&gt;35,AI80+AH81-AQ80,IF(A81&lt;'Données projet'!$A$62,$AF$205^A81,IF(A81='Données projet'!$A$62,'Données projet'!$B$62,AI80+AH81-AQ80)))</f>
        <v>111.33333333333334</v>
      </c>
      <c r="AJ81" s="13">
        <f>AI81*VLOOKUP('Données projet'!$B$10,Paramètres!$A$1:$I$89,3,0)*VLOOKUP('Données projet'!$B$10,Paramètres!$A$1:$I$89,5,0)</f>
        <v>100.73440000000001</v>
      </c>
      <c r="AK81" s="13">
        <f t="shared" si="89"/>
        <v>27.136883642976155</v>
      </c>
      <c r="AL81" s="20">
        <f t="shared" si="58"/>
        <v>222.70915234485017</v>
      </c>
      <c r="AM81" s="59">
        <f t="shared" si="59"/>
        <v>516.04248567818354</v>
      </c>
      <c r="AN81" s="59">
        <f ca="1">AVERAGE(OFFSET($AM$3,0,0,'Données projet'!$E$10+1,1))-AVERAGE(OFFSET($H$3,0,0,'Données projet'!$E$10+1,1))</f>
        <v>209.32570518924194</v>
      </c>
      <c r="AO81" s="59">
        <f t="shared" si="90"/>
        <v>138.10530102720475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5.0785021010498346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5.0785021010498346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219.86035935827329</v>
      </c>
      <c r="BJ81" s="59">
        <f t="shared" si="92"/>
        <v>322.75312534885239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117.85646843957819</v>
      </c>
      <c r="BQ81" s="21">
        <f>EXP(-LN(2)/25)*BQ80+(1-EXP(-LN(2)/25))/(LN(2)/25)*Calculateur!BL81*Calculateur!BN81*VLOOKUP('Données projet'!$B$11,Paramètres!$A$1:$I$89,3,0)*0.475*44/12</f>
        <v>25.586939405946207</v>
      </c>
      <c r="BR81" s="21">
        <f>EXP(-LN(2)/2)*BR80+(1-EXP(-LN(2)/2))/(LN(2)/2)*BL81*BO81*VLOOKUP('Données projet'!$B$11,Paramètres!$A$1:$I$89,3,0)*0.475*44/12</f>
        <v>5.5584881394957882E-2</v>
      </c>
      <c r="BS81" s="22">
        <f t="shared" si="63"/>
        <v>143.49899272691937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</v>
      </c>
      <c r="BY81" s="12">
        <f>IF('Données projet'!$A$114&gt;35,BY80+BX81-CG80,IF(A81&lt;'Données projet'!$A$114,$BV$205^A81,IF(A81='Données projet'!$A$114,'Données projet'!$B$114,BY80+BX81-CG80)))</f>
        <v>372.99999999999972</v>
      </c>
      <c r="BZ81" s="13">
        <f>BY81*VLOOKUP('Données projet'!$B$12,Paramètres!$A$1:$I$89,3,0)*VLOOKUP('Données projet'!$B$12,Paramètres!$A$1:$I$89,5,0)</f>
        <v>296.75879999999978</v>
      </c>
      <c r="CA81" s="13">
        <f t="shared" si="93"/>
        <v>70.496554480015604</v>
      </c>
      <c r="CB81" s="20">
        <f t="shared" si="64"/>
        <v>639.63640905269347</v>
      </c>
      <c r="CC81" s="59">
        <f t="shared" si="65"/>
        <v>932.96974238602684</v>
      </c>
      <c r="CD81" s="59">
        <f ca="1">AVERAGE(OFFSET($CC$3,0,0,'Données projet'!$E$12+1,1))-AVERAGE(OFFSET($H$3,0,0,'Données projet'!$E$12+1,1))</f>
        <v>378.47278187128137</v>
      </c>
      <c r="CE81" s="59">
        <f t="shared" si="94"/>
        <v>372.59407061242604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18.4916214480135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18.4916214480135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22.799399999999988</v>
      </c>
      <c r="D82" s="11">
        <f t="shared" si="86"/>
        <v>7.3015186198612829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116.17898414683299</v>
      </c>
      <c r="H82" s="67">
        <f t="shared" si="56"/>
        <v>309.09243326292506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-3.4106051316484809E-13</v>
      </c>
      <c r="O82" s="13">
        <f>N82*VLOOKUP('Données projet'!$B$9,Paramètres!$A$1:$I$89,3,0)*VLOOKUP('Données projet'!$B$9,Paramètres!$A$1:$I$89,5,0)</f>
        <v>-1.9065282685915009E-13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347.01106511825213</v>
      </c>
      <c r="T82" s="59">
        <f t="shared" si="88"/>
        <v>329.53392323581539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184.12387171858924</v>
      </c>
      <c r="AA82" s="21">
        <f>EXP(-LN(2)/25)*AA81+(1-EXP(-LN(2)/25))/(LN(2)/25)*Calculateur!V82*Calculateur!X82*VLOOKUP('Données projet'!$B$9,Paramètres!$A$1:$I$89,3,0)*0.475*44/12</f>
        <v>47.261701120750423</v>
      </c>
      <c r="AB82" s="21">
        <f>EXP(-LN(2)/2)*AB81+(1-EXP(-LN(2)/2))/(LN(2)/2)*V82*Y82*VLOOKUP('Données projet'!$B$9,Paramètres!$A$1:$I$89,3,0)*0.475*44/12</f>
        <v>1.5869886833808879</v>
      </c>
      <c r="AC82" s="22">
        <f t="shared" si="57"/>
        <v>232.97256152272055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3.5555555555555554</v>
      </c>
      <c r="AI82" s="13">
        <f>IF('Données projet'!$A$62&gt;35,AI81+AH82-AQ81,IF(A82&lt;'Données projet'!$A$62,$AF$205^A82,IF(A82='Données projet'!$A$62,'Données projet'!$B$62,AI81+AH82-AQ81)))</f>
        <v>114.8888888888889</v>
      </c>
      <c r="AJ82" s="13">
        <f>AI82*VLOOKUP('Données projet'!$B$10,Paramètres!$A$1:$I$89,3,0)*VLOOKUP('Données projet'!$B$10,Paramètres!$A$1:$I$89,5,0)</f>
        <v>103.95146666666668</v>
      </c>
      <c r="AK82" s="13">
        <f t="shared" si="89"/>
        <v>27.901246229966588</v>
      </c>
      <c r="AL82" s="20">
        <f t="shared" si="58"/>
        <v>229.64347496163623</v>
      </c>
      <c r="AM82" s="59">
        <f t="shared" si="59"/>
        <v>522.97680829496949</v>
      </c>
      <c r="AN82" s="59">
        <f ca="1">AVERAGE(OFFSET($AM$3,0,0,'Données projet'!$E$10+1,1))-AVERAGE(OFFSET($H$3,0,0,'Données projet'!$E$10+1,1))</f>
        <v>209.32570518924194</v>
      </c>
      <c r="AO82" s="59">
        <f t="shared" si="90"/>
        <v>138.10530102720475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4.9396301940298084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4.9396301940298084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219.86035935827329</v>
      </c>
      <c r="BJ82" s="59">
        <f t="shared" si="92"/>
        <v>322.75312534885239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115.54537497882572</v>
      </c>
      <c r="BQ82" s="21">
        <f>EXP(-LN(2)/25)*BQ81+(1-EXP(-LN(2)/25))/(LN(2)/25)*Calculateur!BL82*Calculateur!BN82*VLOOKUP('Données projet'!$B$11,Paramètres!$A$1:$I$89,3,0)*0.475*44/12</f>
        <v>24.887263202331944</v>
      </c>
      <c r="BR82" s="21">
        <f>EXP(-LN(2)/2)*BR81+(1-EXP(-LN(2)/2))/(LN(2)/2)*BL82*BO82*VLOOKUP('Données projet'!$B$11,Paramètres!$A$1:$I$89,3,0)*0.475*44/12</f>
        <v>3.9304446565824679E-2</v>
      </c>
      <c r="BS82" s="22">
        <f t="shared" si="63"/>
        <v>140.47194262772351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</v>
      </c>
      <c r="BY82" s="12">
        <f>IF('Données projet'!$A$114&gt;35,BY81+BX82-CG81,IF(A82&lt;'Données projet'!$A$114,$BV$205^A82,IF(A82='Données projet'!$A$114,'Données projet'!$B$114,BY81+BX82-CG81)))</f>
        <v>376.99999999999972</v>
      </c>
      <c r="BZ82" s="13">
        <f>BY82*VLOOKUP('Données projet'!$B$12,Paramètres!$A$1:$I$89,3,0)*VLOOKUP('Données projet'!$B$12,Paramètres!$A$1:$I$89,5,0)</f>
        <v>299.94119999999981</v>
      </c>
      <c r="CA82" s="13">
        <f t="shared" si="93"/>
        <v>71.164136596531506</v>
      </c>
      <c r="CB82" s="20">
        <f t="shared" si="64"/>
        <v>646.34179457229197</v>
      </c>
      <c r="CC82" s="59">
        <f t="shared" si="65"/>
        <v>939.67512790562523</v>
      </c>
      <c r="CD82" s="59">
        <f ca="1">AVERAGE(OFFSET($CC$3,0,0,'Données projet'!$E$12+1,1))-AVERAGE(OFFSET($H$3,0,0,'Données projet'!$E$12+1,1))</f>
        <v>378.47278187128137</v>
      </c>
      <c r="CE82" s="59">
        <f t="shared" si="94"/>
        <v>372.59407061242604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18.129012030193351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18.129012030193351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23.087999999999987</v>
      </c>
      <c r="D83" s="11">
        <f t="shared" si="86"/>
        <v>7.3831248366439262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117.6078502466958</v>
      </c>
      <c r="H83" s="67">
        <f t="shared" si="56"/>
        <v>309.73720909048814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-3.4106051316484809E-13</v>
      </c>
      <c r="O83" s="13">
        <f>N83*VLOOKUP('Données projet'!$B$9,Paramètres!$A$1:$I$89,3,0)*VLOOKUP('Données projet'!$B$9,Paramètres!$A$1:$I$89,5,0)</f>
        <v>-1.9065282685915009E-13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347.01106511825213</v>
      </c>
      <c r="T83" s="59">
        <f t="shared" si="88"/>
        <v>329.53392323581539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180.5133148986603</v>
      </c>
      <c r="AA83" s="21">
        <f>EXP(-LN(2)/25)*AA82+(1-EXP(-LN(2)/25))/(LN(2)/25)*Calculateur!V83*Calculateur!X83*VLOOKUP('Données projet'!$B$9,Paramètres!$A$1:$I$89,3,0)*0.475*44/12</f>
        <v>45.969327418218661</v>
      </c>
      <c r="AB83" s="21">
        <f>EXP(-LN(2)/2)*AB82+(1-EXP(-LN(2)/2))/(LN(2)/2)*V83*Y83*VLOOKUP('Données projet'!$B$9,Paramètres!$A$1:$I$89,3,0)*0.475*44/12</f>
        <v>1.1221704596849367</v>
      </c>
      <c r="AC83" s="22">
        <f t="shared" si="57"/>
        <v>227.60481277656388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3.5555555555555554</v>
      </c>
      <c r="AI83" s="13">
        <f>IF('Données projet'!$A$62&gt;35,AI82+AH83-AQ82,IF(A83&lt;'Données projet'!$A$62,$AF$205^A83,IF(A83='Données projet'!$A$62,'Données projet'!$B$62,AI82+AH83-AQ82)))</f>
        <v>118.44444444444446</v>
      </c>
      <c r="AJ83" s="13">
        <f>AI83*VLOOKUP('Données projet'!$B$10,Paramètres!$A$1:$I$89,3,0)*VLOOKUP('Données projet'!$B$10,Paramètres!$A$1:$I$89,5,0)</f>
        <v>107.16853333333336</v>
      </c>
      <c r="AK83" s="13">
        <f t="shared" si="89"/>
        <v>28.662859827378433</v>
      </c>
      <c r="AL83" s="20">
        <f t="shared" si="58"/>
        <v>236.57300975490637</v>
      </c>
      <c r="AM83" s="59">
        <f t="shared" si="59"/>
        <v>529.90634308823974</v>
      </c>
      <c r="AN83" s="59">
        <f ca="1">AVERAGE(OFFSET($AM$3,0,0,'Données projet'!$E$10+1,1))-AVERAGE(OFFSET($H$3,0,0,'Données projet'!$E$10+1,1))</f>
        <v>209.32570518924194</v>
      </c>
      <c r="AO83" s="59">
        <f t="shared" si="90"/>
        <v>138.10530102720475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4.8045557466102009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4.8045557466102009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219.86035935827329</v>
      </c>
      <c r="BJ83" s="59">
        <f t="shared" si="92"/>
        <v>322.75312534885239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113.27960065121079</v>
      </c>
      <c r="BQ83" s="21">
        <f>EXP(-LN(2)/25)*BQ82+(1-EXP(-LN(2)/25))/(LN(2)/25)*Calculateur!BL83*Calculateur!BN83*VLOOKUP('Données projet'!$B$11,Paramètres!$A$1:$I$89,3,0)*0.475*44/12</f>
        <v>24.206719681299887</v>
      </c>
      <c r="BR83" s="21">
        <f>EXP(-LN(2)/2)*BR82+(1-EXP(-LN(2)/2))/(LN(2)/2)*BL83*BO83*VLOOKUP('Données projet'!$B$11,Paramètres!$A$1:$I$89,3,0)*0.475*44/12</f>
        <v>2.7792440697478941E-2</v>
      </c>
      <c r="BS83" s="22">
        <f t="shared" si="63"/>
        <v>137.51411277320815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381</v>
      </c>
      <c r="BW83" s="12">
        <f>VLOOKUP(A83,'Données projet'!$A$113:$I$133,9,0)</f>
        <v>4</v>
      </c>
      <c r="BX83" s="12">
        <f t="array" ref="BX83">INDEX(BW:BW,MIN(IF(ISNUMBER(BW83:BW279),ROW(BW83:BW279),"")))</f>
        <v>4</v>
      </c>
      <c r="BY83" s="12">
        <f>IF('Données projet'!$A$114&gt;35,BY82+BX83-CG82,IF(A83&lt;'Données projet'!$A$114,$BV$205^A83,IF(A83='Données projet'!$A$114,'Données projet'!$B$114,BY82+BX83-CG82)))</f>
        <v>380.99999999999972</v>
      </c>
      <c r="BZ83" s="13">
        <f>BY83*VLOOKUP('Données projet'!$B$12,Paramètres!$A$1:$I$89,3,0)*VLOOKUP('Données projet'!$B$12,Paramètres!$A$1:$I$89,5,0)</f>
        <v>303.12359999999978</v>
      </c>
      <c r="CA83" s="13">
        <f t="shared" si="93"/>
        <v>71.830894732837621</v>
      </c>
      <c r="CB83" s="20">
        <f t="shared" si="64"/>
        <v>653.0457449930251</v>
      </c>
      <c r="CC83" s="59">
        <f t="shared" si="65"/>
        <v>946.37907832635847</v>
      </c>
      <c r="CD83" s="59">
        <f ca="1">AVERAGE(OFFSET($CC$3,0,0,'Données projet'!$E$12+1,1))-AVERAGE(OFFSET($H$3,0,0,'Données projet'!$E$12+1,1))</f>
        <v>378.47278187128137</v>
      </c>
      <c r="CE83" s="59">
        <f t="shared" si="94"/>
        <v>372.59407061242604</v>
      </c>
      <c r="CF83" s="15" t="str">
        <f>IF(ISNA(VLOOKUP(A83,'Données projet'!$A$113:$I$133,3,0)),0,VLOOKUP(A83,'Données projet'!$A$113:$I$133,3,0))</f>
        <v>CR</v>
      </c>
      <c r="CG83" s="15">
        <f>IF(ISNA(VLOOKUP(A83,'Données projet'!$A$113:$I$133,4,0)),0,VLOOKUP(A83,'Données projet'!$A$113:$I$133,4,0))</f>
        <v>381</v>
      </c>
      <c r="CH83" s="16">
        <f>IF(ISNA(VLOOKUP(A83,'Données projet'!$A$113:$I$133,5,0)),0%,VLOOKUP(A83,'Données projet'!$A$113:$I$133,5,0)*VLOOKUP('Données projet'!$B$12,Paramètres!$A$1:$I$89,7,0))</f>
        <v>0.371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142.09344694385999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142.09344694385999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23.376599999999986</v>
      </c>
      <c r="D84" s="11">
        <f t="shared" si="86"/>
        <v>7.4646123994529381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119.03625838385341</v>
      </c>
      <c r="H84" s="67">
        <f t="shared" si="56"/>
        <v>310.38177826238052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-3.4106051316484809E-13</v>
      </c>
      <c r="O84" s="13">
        <f>N84*VLOOKUP('Données projet'!$B$9,Paramètres!$A$1:$I$89,3,0)*VLOOKUP('Données projet'!$B$9,Paramètres!$A$1:$I$89,5,0)</f>
        <v>-1.9065282685915009E-13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347.01106511825213</v>
      </c>
      <c r="T84" s="59">
        <f t="shared" si="88"/>
        <v>329.53392323581539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176.97355889574797</v>
      </c>
      <c r="AA84" s="21">
        <f>EXP(-LN(2)/25)*AA83+(1-EXP(-LN(2)/25))/(LN(2)/25)*Calculateur!V84*Calculateur!X84*VLOOKUP('Données projet'!$B$9,Paramètres!$A$1:$I$89,3,0)*0.475*44/12</f>
        <v>44.712293742545604</v>
      </c>
      <c r="AB84" s="21">
        <f>EXP(-LN(2)/2)*AB83+(1-EXP(-LN(2)/2))/(LN(2)/2)*V84*Y84*VLOOKUP('Données projet'!$B$9,Paramètres!$A$1:$I$89,3,0)*0.475*44/12</f>
        <v>0.79349434169044397</v>
      </c>
      <c r="AC84" s="22">
        <f t="shared" si="57"/>
        <v>222.479346979984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>
        <f>VLOOKUP(A84,'Données projet'!$A$61:$I$81,2,0)</f>
        <v>122</v>
      </c>
      <c r="AG84" s="12">
        <f>VLOOKUP(A84,'Données projet'!$A$61:$I$81,9,0)</f>
        <v>3.5555555555555554</v>
      </c>
      <c r="AH84" s="12">
        <f t="array" ref="AH84">INDEX(AG:AG,MIN(IF(ISNUMBER(AG84:AG280),ROW(AG84:AG280),"")))</f>
        <v>3.5555555555555554</v>
      </c>
      <c r="AI84" s="13">
        <f>IF('Données projet'!$A$62&gt;35,AI83+AH84-AQ83,IF(A84&lt;'Données projet'!$A$62,$AF$205^A84,IF(A84='Données projet'!$A$62,'Données projet'!$B$62,AI83+AH84-AQ83)))</f>
        <v>122.00000000000001</v>
      </c>
      <c r="AJ84" s="13">
        <f>AI84*VLOOKUP('Données projet'!$B$10,Paramètres!$A$1:$I$89,3,0)*VLOOKUP('Données projet'!$B$10,Paramètres!$A$1:$I$89,5,0)</f>
        <v>110.38560000000001</v>
      </c>
      <c r="AK84" s="13">
        <f t="shared" si="89"/>
        <v>29.421816429201407</v>
      </c>
      <c r="AL84" s="20">
        <f t="shared" si="58"/>
        <v>243.49791694752579</v>
      </c>
      <c r="AM84" s="59">
        <f t="shared" si="59"/>
        <v>536.83125028085908</v>
      </c>
      <c r="AN84" s="59">
        <f ca="1">AVERAGE(OFFSET($AM$3,0,0,'Données projet'!$E$10+1,1))-AVERAGE(OFFSET($H$3,0,0,'Données projet'!$E$10+1,1))</f>
        <v>209.32570518924194</v>
      </c>
      <c r="AO84" s="59">
        <f t="shared" si="90"/>
        <v>138.10530102720475</v>
      </c>
      <c r="AP84" s="15">
        <f>IF(ISNA(VLOOKUP(A84,'Données projet'!$A$61:$I$81,3,0)),0,VLOOKUP(A84,'Données projet'!$A$61:$I$81,3,0))</f>
        <v>4</v>
      </c>
      <c r="AQ84" s="15">
        <f>IF(ISNA(VLOOKUP(A84,'Données projet'!$A$61:$I$81,4,0)),0,VLOOKUP(A84,'Données projet'!$A$61:$I$81,4,0))</f>
        <v>26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0.215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10.242443364281822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10.242443364281822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219.86035935827329</v>
      </c>
      <c r="BJ84" s="59">
        <f t="shared" si="92"/>
        <v>322.75312534885239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111.0582567761745</v>
      </c>
      <c r="BQ84" s="21">
        <f>EXP(-LN(2)/25)*BQ83+(1-EXP(-LN(2)/25))/(LN(2)/25)*Calculateur!BL84*Calculateur!BN84*VLOOKUP('Données projet'!$B$11,Paramètres!$A$1:$I$89,3,0)*0.475*44/12</f>
        <v>23.544785658638681</v>
      </c>
      <c r="BR84" s="21">
        <f>EXP(-LN(2)/2)*BR83+(1-EXP(-LN(2)/2))/(LN(2)/2)*BL84*BO84*VLOOKUP('Données projet'!$B$11,Paramètres!$A$1:$I$89,3,0)*0.475*44/12</f>
        <v>1.9652223282912339E-2</v>
      </c>
      <c r="BS84" s="22">
        <f t="shared" si="63"/>
        <v>134.62269465809609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-2.8421709430404007E-13</v>
      </c>
      <c r="BZ84" s="13">
        <f>BY84*VLOOKUP('Données projet'!$B$12,Paramètres!$A$1:$I$89,3,0)*VLOOKUP('Données projet'!$B$12,Paramètres!$A$1:$I$89,5,0)</f>
        <v>-2.2612312022829427E-13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378.47278187128137</v>
      </c>
      <c r="CE84" s="59">
        <f t="shared" si="94"/>
        <v>372.59407061242604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139.30708111773572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139.30708111773572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23.665199999999984</v>
      </c>
      <c r="D85" s="11">
        <f t="shared" si="86"/>
        <v>7.5459829425713627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120.46421486606486</v>
      </c>
      <c r="H85" s="67">
        <f t="shared" si="56"/>
        <v>311.02614362497843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-3.4106051316484809E-13</v>
      </c>
      <c r="O85" s="13">
        <f>N85*VLOOKUP('Données projet'!$B$9,Paramètres!$A$1:$I$89,3,0)*VLOOKUP('Données projet'!$B$9,Paramètres!$A$1:$I$89,5,0)</f>
        <v>-1.9065282685915009E-13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347.01106511825213</v>
      </c>
      <c r="T85" s="59">
        <f t="shared" si="88"/>
        <v>329.53392323581539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173.50321534901477</v>
      </c>
      <c r="AA85" s="21">
        <f>EXP(-LN(2)/25)*AA84+(1-EXP(-LN(2)/25))/(LN(2)/25)*Calculateur!V85*Calculateur!X85*VLOOKUP('Données projet'!$B$9,Paramètres!$A$1:$I$89,3,0)*0.475*44/12</f>
        <v>43.489633718838355</v>
      </c>
      <c r="AB85" s="21">
        <f>EXP(-LN(2)/2)*AB84+(1-EXP(-LN(2)/2))/(LN(2)/2)*V85*Y85*VLOOKUP('Données projet'!$B$9,Paramètres!$A$1:$I$89,3,0)*0.475*44/12</f>
        <v>0.56108522984246834</v>
      </c>
      <c r="AC85" s="22">
        <f t="shared" si="57"/>
        <v>217.55393429769558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3.2222222222222223</v>
      </c>
      <c r="AI85" s="13">
        <f>IF('Données projet'!$A$62&gt;35,AI84+AH85-AQ84,IF(A85&lt;'Données projet'!$A$62,$AF$205^A85,IF(A85='Données projet'!$A$62,'Données projet'!$B$62,AI84+AH85-AQ84)))</f>
        <v>99.222222222222243</v>
      </c>
      <c r="AJ85" s="13">
        <f>AI85*VLOOKUP('Données projet'!$B$10,Paramètres!$A$1:$I$89,3,0)*VLOOKUP('Données projet'!$B$10,Paramètres!$A$1:$I$89,5,0)</f>
        <v>89.776266666666686</v>
      </c>
      <c r="AK85" s="13">
        <f t="shared" si="89"/>
        <v>24.511258087315568</v>
      </c>
      <c r="AL85" s="20">
        <f t="shared" si="58"/>
        <v>199.0507722798524</v>
      </c>
      <c r="AM85" s="59">
        <f t="shared" si="59"/>
        <v>492.38410561318574</v>
      </c>
      <c r="AN85" s="59">
        <f ca="1">AVERAGE(OFFSET($AM$3,0,0,'Données projet'!$E$10+1,1))-AVERAGE(OFFSET($H$3,0,0,'Données projet'!$E$10+1,1))</f>
        <v>209.32570518924194</v>
      </c>
      <c r="AO85" s="59">
        <f t="shared" si="90"/>
        <v>138.10530102720475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9.9623632118588485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9.9623632118588485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219.86035935827329</v>
      </c>
      <c r="BJ85" s="59">
        <f t="shared" si="92"/>
        <v>322.75312534885239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108.88047209964169</v>
      </c>
      <c r="BQ85" s="21">
        <f>EXP(-LN(2)/25)*BQ84+(1-EXP(-LN(2)/25))/(LN(2)/25)*Calculateur!BL85*Calculateur!BN85*VLOOKUP('Données projet'!$B$11,Paramètres!$A$1:$I$89,3,0)*0.475*44/12</f>
        <v>22.900952256636739</v>
      </c>
      <c r="BR85" s="21">
        <f>EXP(-LN(2)/2)*BR84+(1-EXP(-LN(2)/2))/(LN(2)/2)*BL85*BO85*VLOOKUP('Données projet'!$B$11,Paramètres!$A$1:$I$89,3,0)*0.475*44/12</f>
        <v>1.389622034873947E-2</v>
      </c>
      <c r="BS85" s="22">
        <f t="shared" si="63"/>
        <v>131.79532057662715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-2.8421709430404007E-13</v>
      </c>
      <c r="BZ85" s="13">
        <f>BY85*VLOOKUP('Données projet'!$B$12,Paramètres!$A$1:$I$89,3,0)*VLOOKUP('Données projet'!$B$12,Paramètres!$A$1:$I$89,5,0)</f>
        <v>-2.2612312022829427E-13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378.47278187128137</v>
      </c>
      <c r="CE85" s="59">
        <f t="shared" si="94"/>
        <v>372.59407061242604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136.57535422594643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136.57535422594643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23.953799999999983</v>
      </c>
      <c r="D86" s="11">
        <f t="shared" si="86"/>
        <v>7.6272380581286008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121.89172583839104</v>
      </c>
      <c r="H86" s="67">
        <f t="shared" si="56"/>
        <v>311.6703079512406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-3.4106051316484809E-13</v>
      </c>
      <c r="O86" s="13">
        <f>N86*VLOOKUP('Données projet'!$B$9,Paramètres!$A$1:$I$89,3,0)*VLOOKUP('Données projet'!$B$9,Paramètres!$A$1:$I$89,5,0)</f>
        <v>-1.9065282685915009E-13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347.01106511825213</v>
      </c>
      <c r="T86" s="59">
        <f t="shared" si="88"/>
        <v>329.53392323581539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170.10092312253244</v>
      </c>
      <c r="AA86" s="21">
        <f>EXP(-LN(2)/25)*AA85+(1-EXP(-LN(2)/25))/(LN(2)/25)*Calculateur!V86*Calculateur!X86*VLOOKUP('Données projet'!$B$9,Paramètres!$A$1:$I$89,3,0)*0.475*44/12</f>
        <v>42.300407397776283</v>
      </c>
      <c r="AB86" s="21">
        <f>EXP(-LN(2)/2)*AB85+(1-EXP(-LN(2)/2))/(LN(2)/2)*V86*Y86*VLOOKUP('Données projet'!$B$9,Paramètres!$A$1:$I$89,3,0)*0.475*44/12</f>
        <v>0.39674717084522199</v>
      </c>
      <c r="AC86" s="22">
        <f t="shared" si="57"/>
        <v>212.79807769115394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3.2222222222222223</v>
      </c>
      <c r="AI86" s="13">
        <f>IF('Données projet'!$A$62&gt;35,AI85+AH86-AQ85,IF(A86&lt;'Données projet'!$A$62,$AF$205^A86,IF(A86='Données projet'!$A$62,'Données projet'!$B$62,AI85+AH86-AQ85)))</f>
        <v>102.44444444444447</v>
      </c>
      <c r="AJ86" s="13">
        <f>AI86*VLOOKUP('Données projet'!$B$10,Paramètres!$A$1:$I$89,3,0)*VLOOKUP('Données projet'!$B$10,Paramètres!$A$1:$I$89,5,0)</f>
        <v>92.691733333333346</v>
      </c>
      <c r="AK86" s="13">
        <f t="shared" si="89"/>
        <v>25.213288638315387</v>
      </c>
      <c r="AL86" s="20">
        <f t="shared" si="58"/>
        <v>205.35124660062152</v>
      </c>
      <c r="AM86" s="59">
        <f t="shared" si="59"/>
        <v>498.68457993395486</v>
      </c>
      <c r="AN86" s="59">
        <f ca="1">AVERAGE(OFFSET($AM$3,0,0,'Données projet'!$E$10+1,1))-AVERAGE(OFFSET($H$3,0,0,'Données projet'!$E$10+1,1))</f>
        <v>209.32570518924194</v>
      </c>
      <c r="AO86" s="59">
        <f t="shared" si="90"/>
        <v>138.10530102720475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9.6899418659326564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9.6899418659326564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219.86035935827329</v>
      </c>
      <c r="BJ86" s="59">
        <f t="shared" si="92"/>
        <v>322.75312534885239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106.7453924522982</v>
      </c>
      <c r="BQ86" s="21">
        <f>EXP(-LN(2)/25)*BQ85+(1-EXP(-LN(2)/25))/(LN(2)/25)*Calculateur!BL86*Calculateur!BN86*VLOOKUP('Données projet'!$B$11,Paramètres!$A$1:$I$89,3,0)*0.475*44/12</f>
        <v>22.274724512870268</v>
      </c>
      <c r="BR86" s="21">
        <f>EXP(-LN(2)/2)*BR85+(1-EXP(-LN(2)/2))/(LN(2)/2)*BL86*BO86*VLOOKUP('Données projet'!$B$11,Paramètres!$A$1:$I$89,3,0)*0.475*44/12</f>
        <v>9.8261116414561697E-3</v>
      </c>
      <c r="BS86" s="22">
        <f t="shared" si="63"/>
        <v>129.02994307680993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-2.8421709430404007E-13</v>
      </c>
      <c r="BZ86" s="13">
        <f>BY86*VLOOKUP('Données projet'!$B$12,Paramètres!$A$1:$I$89,3,0)*VLOOKUP('Données projet'!$B$12,Paramètres!$A$1:$I$89,5,0)</f>
        <v>-2.2612312022829427E-13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378.47278187128137</v>
      </c>
      <c r="CE86" s="59">
        <f t="shared" si="94"/>
        <v>372.59407061242604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133.89719483231625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133.89719483231625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24.242399999999982</v>
      </c>
      <c r="D87" s="11">
        <f t="shared" si="86"/>
        <v>7.708379297682197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123.31879728929964</v>
      </c>
      <c r="H87" s="67">
        <f t="shared" si="56"/>
        <v>312.31427394346315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-3.4106051316484809E-13</v>
      </c>
      <c r="O87" s="13">
        <f>N87*VLOOKUP('Données projet'!$B$9,Paramètres!$A$1:$I$89,3,0)*VLOOKUP('Données projet'!$B$9,Paramètres!$A$1:$I$89,5,0)</f>
        <v>-1.9065282685915009E-13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347.01106511825213</v>
      </c>
      <c r="T87" s="59">
        <f t="shared" si="88"/>
        <v>329.53392323581539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166.76534777141808</v>
      </c>
      <c r="AA87" s="21">
        <f>EXP(-LN(2)/25)*AA86+(1-EXP(-LN(2)/25))/(LN(2)/25)*Calculateur!V87*Calculateur!X87*VLOOKUP('Données projet'!$B$9,Paramètres!$A$1:$I$89,3,0)*0.475*44/12</f>
        <v>41.143700533002345</v>
      </c>
      <c r="AB87" s="21">
        <f>EXP(-LN(2)/2)*AB86+(1-EXP(-LN(2)/2))/(LN(2)/2)*V87*Y87*VLOOKUP('Données projet'!$B$9,Paramètres!$A$1:$I$89,3,0)*0.475*44/12</f>
        <v>0.28054261492123417</v>
      </c>
      <c r="AC87" s="22">
        <f t="shared" si="57"/>
        <v>208.18959091934167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3.2222222222222223</v>
      </c>
      <c r="AI87" s="13">
        <f>IF('Données projet'!$A$62&gt;35,AI86+AH87-AQ86,IF(A87&lt;'Données projet'!$A$62,$AF$205^A87,IF(A87='Données projet'!$A$62,'Données projet'!$B$62,AI86+AH87-AQ86)))</f>
        <v>105.6666666666667</v>
      </c>
      <c r="AJ87" s="13">
        <f>AI87*VLOOKUP('Données projet'!$B$10,Paramètres!$A$1:$I$89,3,0)*VLOOKUP('Données projet'!$B$10,Paramètres!$A$1:$I$89,5,0)</f>
        <v>95.607200000000034</v>
      </c>
      <c r="AK87" s="13">
        <f t="shared" si="89"/>
        <v>25.912753187487812</v>
      </c>
      <c r="AL87" s="20">
        <f t="shared" si="58"/>
        <v>211.64725180154133</v>
      </c>
      <c r="AM87" s="59">
        <f t="shared" si="59"/>
        <v>504.98058513487467</v>
      </c>
      <c r="AN87" s="59">
        <f ca="1">AVERAGE(OFFSET($AM$3,0,0,'Données projet'!$E$10+1,1))-AVERAGE(OFFSET($H$3,0,0,'Données projet'!$E$10+1,1))</f>
        <v>209.32570518924194</v>
      </c>
      <c r="AO87" s="59">
        <f t="shared" si="90"/>
        <v>138.10530102720475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9.4249698960368313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9.4249698960368313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219.86035935827329</v>
      </c>
      <c r="BJ87" s="59">
        <f t="shared" si="92"/>
        <v>322.75312534885239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104.65218041456913</v>
      </c>
      <c r="BQ87" s="21">
        <f>EXP(-LN(2)/25)*BQ86+(1-EXP(-LN(2)/25))/(LN(2)/25)*Calculateur!BL87*Calculateur!BN87*VLOOKUP('Données projet'!$B$11,Paramètres!$A$1:$I$89,3,0)*0.475*44/12</f>
        <v>21.665620999688979</v>
      </c>
      <c r="BR87" s="21">
        <f>EXP(-LN(2)/2)*BR86+(1-EXP(-LN(2)/2))/(LN(2)/2)*BL87*BO87*VLOOKUP('Données projet'!$B$11,Paramètres!$A$1:$I$89,3,0)*0.475*44/12</f>
        <v>6.9481101743697352E-3</v>
      </c>
      <c r="BS87" s="22">
        <f t="shared" si="63"/>
        <v>126.32474952443248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-2.8421709430404007E-13</v>
      </c>
      <c r="BZ87" s="13">
        <f>BY87*VLOOKUP('Données projet'!$B$12,Paramètres!$A$1:$I$89,3,0)*VLOOKUP('Données projet'!$B$12,Paramètres!$A$1:$I$89,5,0)</f>
        <v>-2.2612312022829427E-13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378.47278187128137</v>
      </c>
      <c r="CE87" s="59">
        <f t="shared" si="94"/>
        <v>372.59407061242604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131.27155251087922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131.27155251087922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24.530999999999981</v>
      </c>
      <c r="D88" s="11">
        <f t="shared" si="86"/>
        <v>7.7894081737221743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124.74543505647149</v>
      </c>
      <c r="H88" s="67">
        <f t="shared" si="56"/>
        <v>312.95804423589942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-3.4106051316484809E-13</v>
      </c>
      <c r="O88" s="13">
        <f>N88*VLOOKUP('Données projet'!$B$9,Paramètres!$A$1:$I$89,3,0)*VLOOKUP('Données projet'!$B$9,Paramètres!$A$1:$I$89,5,0)</f>
        <v>-1.9065282685915009E-13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347.01106511825213</v>
      </c>
      <c r="T88" s="59">
        <f t="shared" si="88"/>
        <v>329.53392323581539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163.49518101843901</v>
      </c>
      <c r="AA88" s="21">
        <f>EXP(-LN(2)/25)*AA87+(1-EXP(-LN(2)/25))/(LN(2)/25)*Calculateur!V88*Calculateur!X88*VLOOKUP('Données projet'!$B$9,Paramètres!$A$1:$I$89,3,0)*0.475*44/12</f>
        <v>40.018623878274219</v>
      </c>
      <c r="AB88" s="21">
        <f>EXP(-LN(2)/2)*AB87+(1-EXP(-LN(2)/2))/(LN(2)/2)*V88*Y88*VLOOKUP('Données projet'!$B$9,Paramètres!$A$1:$I$89,3,0)*0.475*44/12</f>
        <v>0.19837358542261099</v>
      </c>
      <c r="AC88" s="22">
        <f t="shared" si="57"/>
        <v>203.71217848213584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3.2222222222222223</v>
      </c>
      <c r="AI88" s="13">
        <f>IF('Données projet'!$A$62&gt;35,AI87+AH88-AQ87,IF(A88&lt;'Données projet'!$A$62,$AF$205^A88,IF(A88='Données projet'!$A$62,'Données projet'!$B$62,AI87+AH88-AQ87)))</f>
        <v>108.88888888888893</v>
      </c>
      <c r="AJ88" s="13">
        <f>AI88*VLOOKUP('Données projet'!$B$10,Paramètres!$A$1:$I$89,3,0)*VLOOKUP('Données projet'!$B$10,Paramètres!$A$1:$I$89,5,0)</f>
        <v>98.522666666666694</v>
      </c>
      <c r="AK88" s="13">
        <f t="shared" si="89"/>
        <v>26.60973896370853</v>
      </c>
      <c r="AL88" s="20">
        <f t="shared" si="58"/>
        <v>217.93893980623682</v>
      </c>
      <c r="AM88" s="59">
        <f t="shared" si="59"/>
        <v>511.27227313957013</v>
      </c>
      <c r="AN88" s="59">
        <f ca="1">AVERAGE(OFFSET($AM$3,0,0,'Données projet'!$E$10+1,1))-AVERAGE(OFFSET($H$3,0,0,'Données projet'!$E$10+1,1))</f>
        <v>209.32570518924194</v>
      </c>
      <c r="AO88" s="59">
        <f t="shared" si="90"/>
        <v>138.10530102720475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9.1672435985920782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9.1672435985920782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219.86035935827329</v>
      </c>
      <c r="BJ88" s="59">
        <f t="shared" si="92"/>
        <v>322.75312534885239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102.60001498816665</v>
      </c>
      <c r="BQ88" s="21">
        <f>EXP(-LN(2)/25)*BQ87+(1-EXP(-LN(2)/25))/(LN(2)/25)*Calculateur!BL88*Calculateur!BN88*VLOOKUP('Données projet'!$B$11,Paramètres!$A$1:$I$89,3,0)*0.475*44/12</f>
        <v>21.073173454106993</v>
      </c>
      <c r="BR88" s="21">
        <f>EXP(-LN(2)/2)*BR87+(1-EXP(-LN(2)/2))/(LN(2)/2)*BL88*BO88*VLOOKUP('Données projet'!$B$11,Paramètres!$A$1:$I$89,3,0)*0.475*44/12</f>
        <v>4.9130558207280848E-3</v>
      </c>
      <c r="BS88" s="22">
        <f t="shared" si="63"/>
        <v>123.67810149809436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-2.8421709430404007E-13</v>
      </c>
      <c r="BZ88" s="13">
        <f>BY88*VLOOKUP('Données projet'!$B$12,Paramètres!$A$1:$I$89,3,0)*VLOOKUP('Données projet'!$B$12,Paramètres!$A$1:$I$89,5,0)</f>
        <v>-2.2612312022829427E-13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378.47278187128137</v>
      </c>
      <c r="CE88" s="59">
        <f t="shared" si="94"/>
        <v>372.59407061242604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128.69739743388189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128.69739743388189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24.81959999999998</v>
      </c>
      <c r="D89" s="11">
        <f t="shared" si="86"/>
        <v>7.8703261611025157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126.17164483232544</v>
      </c>
      <c r="H89" s="67">
        <f t="shared" si="56"/>
        <v>313.60162139725355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-3.4106051316484809E-13</v>
      </c>
      <c r="O89" s="13">
        <f>N89*VLOOKUP('Données projet'!$B$9,Paramètres!$A$1:$I$89,3,0)*VLOOKUP('Données projet'!$B$9,Paramètres!$A$1:$I$89,5,0)</f>
        <v>-1.9065282685915009E-13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347.01106511825213</v>
      </c>
      <c r="T89" s="59">
        <f t="shared" si="88"/>
        <v>329.53392323581539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160.2891402408811</v>
      </c>
      <c r="AA89" s="21">
        <f>EXP(-LN(2)/25)*AA88+(1-EXP(-LN(2)/25))/(LN(2)/25)*Calculateur!V89*Calculateur!X89*VLOOKUP('Données projet'!$B$9,Paramètres!$A$1:$I$89,3,0)*0.475*44/12</f>
        <v>38.924312503834848</v>
      </c>
      <c r="AB89" s="21">
        <f>EXP(-LN(2)/2)*AB88+(1-EXP(-LN(2)/2))/(LN(2)/2)*V89*Y89*VLOOKUP('Données projet'!$B$9,Paramètres!$A$1:$I$89,3,0)*0.475*44/12</f>
        <v>0.14027130746061708</v>
      </c>
      <c r="AC89" s="22">
        <f t="shared" si="57"/>
        <v>199.35372405217655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3.2222222222222223</v>
      </c>
      <c r="AI89" s="13">
        <f>IF('Données projet'!$A$62&gt;35,AI88+AH89-AQ88,IF(A89&lt;'Données projet'!$A$62,$AF$205^A89,IF(A89='Données projet'!$A$62,'Données projet'!$B$62,AI88+AH89-AQ88)))</f>
        <v>112.11111111111116</v>
      </c>
      <c r="AJ89" s="13">
        <f>AI89*VLOOKUP('Données projet'!$B$10,Paramètres!$A$1:$I$89,3,0)*VLOOKUP('Données projet'!$B$10,Paramètres!$A$1:$I$89,5,0)</f>
        <v>101.43813333333338</v>
      </c>
      <c r="AK89" s="13">
        <f t="shared" si="89"/>
        <v>27.304327739854802</v>
      </c>
      <c r="AL89" s="20">
        <f t="shared" si="58"/>
        <v>224.22645303580273</v>
      </c>
      <c r="AM89" s="59">
        <f t="shared" si="59"/>
        <v>517.55978636913608</v>
      </c>
      <c r="AN89" s="59">
        <f ca="1">AVERAGE(OFFSET($AM$3,0,0,'Données projet'!$E$10+1,1))-AVERAGE(OFFSET($H$3,0,0,'Données projet'!$E$10+1,1))</f>
        <v>209.32570518924194</v>
      </c>
      <c r="AO89" s="59">
        <f t="shared" si="90"/>
        <v>138.10530102720475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8.9165648403041882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8.9165648403041882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219.86035935827329</v>
      </c>
      <c r="BJ89" s="59">
        <f t="shared" si="92"/>
        <v>322.75312534885239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100.58809127407859</v>
      </c>
      <c r="BQ89" s="21">
        <f>EXP(-LN(2)/25)*BQ88+(1-EXP(-LN(2)/25))/(LN(2)/25)*Calculateur!BL89*Calculateur!BN89*VLOOKUP('Données projet'!$B$11,Paramètres!$A$1:$I$89,3,0)*0.475*44/12</f>
        <v>20.496926417814407</v>
      </c>
      <c r="BR89" s="21">
        <f>EXP(-LN(2)/2)*BR88+(1-EXP(-LN(2)/2))/(LN(2)/2)*BL89*BO89*VLOOKUP('Données projet'!$B$11,Paramètres!$A$1:$I$89,3,0)*0.475*44/12</f>
        <v>3.4740550871848676E-3</v>
      </c>
      <c r="BS89" s="22">
        <f t="shared" si="63"/>
        <v>121.08849174698018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-2.8421709430404007E-13</v>
      </c>
      <c r="BZ89" s="13">
        <f>BY89*VLOOKUP('Données projet'!$B$12,Paramètres!$A$1:$I$89,3,0)*VLOOKUP('Données projet'!$B$12,Paramètres!$A$1:$I$89,5,0)</f>
        <v>-2.2612312022829427E-13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378.47278187128137</v>
      </c>
      <c r="CE89" s="59">
        <f t="shared" si="94"/>
        <v>372.59407061242604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126.1737199678649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126.1737199678649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25.108199999999979</v>
      </c>
      <c r="D90" s="11">
        <f t="shared" si="86"/>
        <v>7.9511346984042044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127.59743216927932</v>
      </c>
      <c r="H90" s="67">
        <f t="shared" si="56"/>
        <v>314.24500793305396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-3.4106051316484809E-13</v>
      </c>
      <c r="O90" s="13">
        <f>N90*VLOOKUP('Données projet'!$B$9,Paramètres!$A$1:$I$89,3,0)*VLOOKUP('Données projet'!$B$9,Paramètres!$A$1:$I$89,5,0)</f>
        <v>-1.9065282685915009E-13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347.01106511825213</v>
      </c>
      <c r="T90" s="59">
        <f t="shared" si="88"/>
        <v>329.53392323581539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157.14596796747929</v>
      </c>
      <c r="AA90" s="21">
        <f>EXP(-LN(2)/25)*AA89+(1-EXP(-LN(2)/25))/(LN(2)/25)*Calculateur!V90*Calculateur!X90*VLOOKUP('Données projet'!$B$9,Paramètres!$A$1:$I$89,3,0)*0.475*44/12</f>
        <v>37.859925131476849</v>
      </c>
      <c r="AB90" s="21">
        <f>EXP(-LN(2)/2)*AB89+(1-EXP(-LN(2)/2))/(LN(2)/2)*V90*Y90*VLOOKUP('Données projet'!$B$9,Paramètres!$A$1:$I$89,3,0)*0.475*44/12</f>
        <v>9.9186792711305496E-2</v>
      </c>
      <c r="AC90" s="22">
        <f t="shared" si="57"/>
        <v>195.10507989166743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3.2222222222222223</v>
      </c>
      <c r="AI90" s="13">
        <f>IF('Données projet'!$A$62&gt;35,AI89+AH90-AQ89,IF(A90&lt;'Données projet'!$A$62,$AF$205^A90,IF(A90='Données projet'!$A$62,'Données projet'!$B$62,AI89+AH90-AQ89)))</f>
        <v>115.33333333333339</v>
      </c>
      <c r="AJ90" s="13">
        <f>AI90*VLOOKUP('Données projet'!$B$10,Paramètres!$A$1:$I$89,3,0)*VLOOKUP('Données projet'!$B$10,Paramètres!$A$1:$I$89,5,0)</f>
        <v>104.35360000000004</v>
      </c>
      <c r="AK90" s="13">
        <f t="shared" si="89"/>
        <v>27.996596320952669</v>
      </c>
      <c r="AL90" s="20">
        <f t="shared" si="58"/>
        <v>230.50992525899264</v>
      </c>
      <c r="AM90" s="59">
        <f t="shared" si="59"/>
        <v>523.84325859232592</v>
      </c>
      <c r="AN90" s="59">
        <f ca="1">AVERAGE(OFFSET($AM$3,0,0,'Données projet'!$E$10+1,1))-AVERAGE(OFFSET($H$3,0,0,'Données projet'!$E$10+1,1))</f>
        <v>209.32570518924194</v>
      </c>
      <c r="AO90" s="59">
        <f t="shared" si="90"/>
        <v>138.10530102720475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8.6727409058443037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8.6727409058443037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219.86035935827329</v>
      </c>
      <c r="BJ90" s="59">
        <f t="shared" si="92"/>
        <v>322.75312534885239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98.615620156871515</v>
      </c>
      <c r="BQ90" s="21">
        <f>EXP(-LN(2)/25)*BQ89+(1-EXP(-LN(2)/25))/(LN(2)/25)*Calculateur!BL90*Calculateur!BN90*VLOOKUP('Données projet'!$B$11,Paramètres!$A$1:$I$89,3,0)*0.475*44/12</f>
        <v>19.936436887032759</v>
      </c>
      <c r="BR90" s="21">
        <f>EXP(-LN(2)/2)*BR89+(1-EXP(-LN(2)/2))/(LN(2)/2)*BL90*BO90*VLOOKUP('Données projet'!$B$11,Paramètres!$A$1:$I$89,3,0)*0.475*44/12</f>
        <v>2.4565279103640424E-3</v>
      </c>
      <c r="BS90" s="22">
        <f t="shared" si="63"/>
        <v>118.55451357181464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-2.8421709430404007E-13</v>
      </c>
      <c r="BZ90" s="13">
        <f>BY90*VLOOKUP('Données projet'!$B$12,Paramètres!$A$1:$I$89,3,0)*VLOOKUP('Données projet'!$B$12,Paramètres!$A$1:$I$89,5,0)</f>
        <v>-2.2612312022829427E-13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378.47278187128137</v>
      </c>
      <c r="CE90" s="59">
        <f t="shared" si="94"/>
        <v>372.59407061242604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123.69953027766525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123.69953027766525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25.396799999999978</v>
      </c>
      <c r="D91" s="11">
        <f t="shared" si="86"/>
        <v>8.0318351892337763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129.02280248476185</v>
      </c>
      <c r="H91" s="67">
        <f t="shared" si="56"/>
        <v>314.88820628791547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-3.4106051316484809E-13</v>
      </c>
      <c r="O91" s="13">
        <f>N91*VLOOKUP('Données projet'!$B$9,Paramètres!$A$1:$I$89,3,0)*VLOOKUP('Données projet'!$B$9,Paramètres!$A$1:$I$89,5,0)</f>
        <v>-1.9065282685915009E-13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347.01106511825213</v>
      </c>
      <c r="T91" s="59">
        <f t="shared" si="88"/>
        <v>329.53392323581539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154.06443138521311</v>
      </c>
      <c r="AA91" s="21">
        <f>EXP(-LN(2)/25)*AA90+(1-EXP(-LN(2)/25))/(LN(2)/25)*Calculateur!V91*Calculateur!X91*VLOOKUP('Données projet'!$B$9,Paramètres!$A$1:$I$89,3,0)*0.475*44/12</f>
        <v>36.824643487789679</v>
      </c>
      <c r="AB91" s="21">
        <f>EXP(-LN(2)/2)*AB90+(1-EXP(-LN(2)/2))/(LN(2)/2)*V91*Y91*VLOOKUP('Données projet'!$B$9,Paramètres!$A$1:$I$89,3,0)*0.475*44/12</f>
        <v>7.0135653730308542E-2</v>
      </c>
      <c r="AC91" s="22">
        <f t="shared" si="57"/>
        <v>190.9592105267331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3.2222222222222223</v>
      </c>
      <c r="AI91" s="13">
        <f>IF('Données projet'!$A$62&gt;35,AI90+AH91-AQ90,IF(A91&lt;'Données projet'!$A$62,$AF$205^A91,IF(A91='Données projet'!$A$62,'Données projet'!$B$62,AI90+AH91-AQ90)))</f>
        <v>118.55555555555561</v>
      </c>
      <c r="AJ91" s="13">
        <f>AI91*VLOOKUP('Données projet'!$B$10,Paramètres!$A$1:$I$89,3,0)*VLOOKUP('Données projet'!$B$10,Paramètres!$A$1:$I$89,5,0)</f>
        <v>107.26906666666672</v>
      </c>
      <c r="AK91" s="13">
        <f t="shared" si="89"/>
        <v>28.68661697623812</v>
      </c>
      <c r="AL91" s="20">
        <f t="shared" si="58"/>
        <v>236.78948234472591</v>
      </c>
      <c r="AM91" s="59">
        <f t="shared" si="59"/>
        <v>530.12281567805917</v>
      </c>
      <c r="AN91" s="59">
        <f ca="1">AVERAGE(OFFSET($AM$3,0,0,'Données projet'!$E$10+1,1))-AVERAGE(OFFSET($H$3,0,0,'Données projet'!$E$10+1,1))</f>
        <v>209.32570518924194</v>
      </c>
      <c r="AO91" s="59">
        <f t="shared" si="90"/>
        <v>138.10530102720475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8.4355843496943681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8.4355843496943681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219.86035935827329</v>
      </c>
      <c r="BJ91" s="59">
        <f t="shared" si="92"/>
        <v>322.75312534885239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96.681827995184278</v>
      </c>
      <c r="BQ91" s="21">
        <f>EXP(-LN(2)/25)*BQ90+(1-EXP(-LN(2)/25))/(LN(2)/25)*Calculateur!BL91*Calculateur!BN91*VLOOKUP('Données projet'!$B$11,Paramètres!$A$1:$I$89,3,0)*0.475*44/12</f>
        <v>19.391273971945196</v>
      </c>
      <c r="BR91" s="21">
        <f>EXP(-LN(2)/2)*BR90+(1-EXP(-LN(2)/2))/(LN(2)/2)*BL91*BO91*VLOOKUP('Données projet'!$B$11,Paramètres!$A$1:$I$89,3,0)*0.475*44/12</f>
        <v>1.7370275435924338E-3</v>
      </c>
      <c r="BS91" s="22">
        <f t="shared" si="63"/>
        <v>116.07483899467307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-2.8421709430404007E-13</v>
      </c>
      <c r="BZ91" s="13">
        <f>BY91*VLOOKUP('Données projet'!$B$12,Paramètres!$A$1:$I$89,3,0)*VLOOKUP('Données projet'!$B$12,Paramètres!$A$1:$I$89,5,0)</f>
        <v>-2.2612312022829427E-13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378.47278187128137</v>
      </c>
      <c r="CE91" s="59">
        <f t="shared" si="94"/>
        <v>372.59407061242604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121.27385793818371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121.27385793818371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25.685399999999976</v>
      </c>
      <c r="D92" s="11">
        <f t="shared" si="86"/>
        <v>8.1124290034611928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130.44776106599048</v>
      </c>
      <c r="H92" s="67">
        <f t="shared" si="56"/>
        <v>315.5312188476949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-3.4106051316484809E-13</v>
      </c>
      <c r="O92" s="13">
        <f>N92*VLOOKUP('Données projet'!$B$9,Paramètres!$A$1:$I$89,3,0)*VLOOKUP('Données projet'!$B$9,Paramètres!$A$1:$I$89,5,0)</f>
        <v>-1.9065282685915009E-13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347.01106511825213</v>
      </c>
      <c r="T92" s="59">
        <f t="shared" si="88"/>
        <v>329.53392323581539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151.04332185577346</v>
      </c>
      <c r="AA92" s="21">
        <f>EXP(-LN(2)/25)*AA91+(1-EXP(-LN(2)/25))/(LN(2)/25)*Calculateur!V92*Calculateur!X92*VLOOKUP('Données projet'!$B$9,Paramètres!$A$1:$I$89,3,0)*0.475*44/12</f>
        <v>35.817671675092235</v>
      </c>
      <c r="AB92" s="21">
        <f>EXP(-LN(2)/2)*AB91+(1-EXP(-LN(2)/2))/(LN(2)/2)*V92*Y92*VLOOKUP('Données projet'!$B$9,Paramètres!$A$1:$I$89,3,0)*0.475*44/12</f>
        <v>4.9593396355652748E-2</v>
      </c>
      <c r="AC92" s="22">
        <f t="shared" si="57"/>
        <v>186.91058692722135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3.2222222222222223</v>
      </c>
      <c r="AI92" s="13">
        <f>IF('Données projet'!$A$62&gt;35,AI91+AH92-AQ91,IF(A92&lt;'Données projet'!$A$62,$AF$205^A92,IF(A92='Données projet'!$A$62,'Données projet'!$B$62,AI91+AH92-AQ91)))</f>
        <v>121.77777777777784</v>
      </c>
      <c r="AJ92" s="13">
        <f>AI92*VLOOKUP('Données projet'!$B$10,Paramètres!$A$1:$I$89,3,0)*VLOOKUP('Données projet'!$B$10,Paramètres!$A$1:$I$89,5,0)</f>
        <v>110.18453333333338</v>
      </c>
      <c r="AK92" s="13">
        <f t="shared" si="89"/>
        <v>29.374457822925873</v>
      </c>
      <c r="AL92" s="20">
        <f t="shared" si="58"/>
        <v>243.06524293048486</v>
      </c>
      <c r="AM92" s="59">
        <f t="shared" si="59"/>
        <v>536.3985762638182</v>
      </c>
      <c r="AN92" s="59">
        <f ca="1">AVERAGE(OFFSET($AM$3,0,0,'Données projet'!$E$10+1,1))-AVERAGE(OFFSET($H$3,0,0,'Données projet'!$E$10+1,1))</f>
        <v>209.32570518924194</v>
      </c>
      <c r="AO92" s="59">
        <f t="shared" si="90"/>
        <v>138.10530102720475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8.2049128520438739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8.2049128520438739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219.86035935827329</v>
      </c>
      <c r="BJ92" s="59">
        <f t="shared" si="92"/>
        <v>322.75312534885239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94.785956318290985</v>
      </c>
      <c r="BQ92" s="21">
        <f>EXP(-LN(2)/25)*BQ91+(1-EXP(-LN(2)/25))/(LN(2)/25)*Calculateur!BL92*Calculateur!BN92*VLOOKUP('Données projet'!$B$11,Paramètres!$A$1:$I$89,3,0)*0.475*44/12</f>
        <v>18.861018565439576</v>
      </c>
      <c r="BR92" s="21">
        <f>EXP(-LN(2)/2)*BR91+(1-EXP(-LN(2)/2))/(LN(2)/2)*BL92*BO92*VLOOKUP('Données projet'!$B$11,Paramètres!$A$1:$I$89,3,0)*0.475*44/12</f>
        <v>1.2282639551820212E-3</v>
      </c>
      <c r="BS92" s="22">
        <f t="shared" si="63"/>
        <v>113.64820314768575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-2.8421709430404007E-13</v>
      </c>
      <c r="BZ92" s="13">
        <f>BY92*VLOOKUP('Données projet'!$B$12,Paramètres!$A$1:$I$89,3,0)*VLOOKUP('Données projet'!$B$12,Paramètres!$A$1:$I$89,5,0)</f>
        <v>-2.2612312022829427E-13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378.47278187128137</v>
      </c>
      <c r="CE92" s="59">
        <f t="shared" si="94"/>
        <v>372.59407061242604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118.89575155376536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118.89575155376536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25.973999999999975</v>
      </c>
      <c r="D93" s="11">
        <f t="shared" si="86"/>
        <v>8.1929174784004566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131.87231307452799</v>
      </c>
      <c r="H93" s="67">
        <f t="shared" si="56"/>
        <v>316.17404794154743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-3.4106051316484809E-13</v>
      </c>
      <c r="O93" s="13">
        <f>N93*VLOOKUP('Données projet'!$B$9,Paramètres!$A$1:$I$89,3,0)*VLOOKUP('Données projet'!$B$9,Paramètres!$A$1:$I$89,5,0)</f>
        <v>-1.9065282685915009E-13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347.01106511825213</v>
      </c>
      <c r="T93" s="59">
        <f t="shared" si="88"/>
        <v>329.53392323581539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148.08145444151126</v>
      </c>
      <c r="AA93" s="21">
        <f>EXP(-LN(2)/25)*AA92+(1-EXP(-LN(2)/25))/(LN(2)/25)*Calculateur!V93*Calculateur!X93*VLOOKUP('Données projet'!$B$9,Paramètres!$A$1:$I$89,3,0)*0.475*44/12</f>
        <v>34.838235559567345</v>
      </c>
      <c r="AB93" s="21">
        <f>EXP(-LN(2)/2)*AB92+(1-EXP(-LN(2)/2))/(LN(2)/2)*V93*Y93*VLOOKUP('Données projet'!$B$9,Paramètres!$A$1:$I$89,3,0)*0.475*44/12</f>
        <v>3.5067826865154271E-2</v>
      </c>
      <c r="AC93" s="22">
        <f t="shared" si="57"/>
        <v>182.95475782794375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125</v>
      </c>
      <c r="AG93" s="12">
        <f>VLOOKUP(A93,'Données projet'!$A$61:$I$81,9,0)</f>
        <v>3.2222222222222223</v>
      </c>
      <c r="AH93" s="12">
        <f t="array" ref="AH93">INDEX(AG:AG,MIN(IF(ISNUMBER(AG93:AG289),ROW(AG93:AG289),"")))</f>
        <v>3.2222222222222223</v>
      </c>
      <c r="AI93" s="13">
        <f>IF('Données projet'!$A$62&gt;35,AI92+AH93-AQ92,IF(A93&lt;'Données projet'!$A$62,$AF$205^A93,IF(A93='Données projet'!$A$62,'Données projet'!$B$62,AI92+AH93-AQ92)))</f>
        <v>125.00000000000007</v>
      </c>
      <c r="AJ93" s="13">
        <f>AI93*VLOOKUP('Données projet'!$B$10,Paramètres!$A$1:$I$89,3,0)*VLOOKUP('Données projet'!$B$10,Paramètres!$A$1:$I$89,5,0)</f>
        <v>113.10000000000007</v>
      </c>
      <c r="AK93" s="13">
        <f t="shared" si="89"/>
        <v>30.060183168217279</v>
      </c>
      <c r="AL93" s="20">
        <f t="shared" si="58"/>
        <v>249.33731901797856</v>
      </c>
      <c r="AM93" s="59">
        <f t="shared" si="59"/>
        <v>542.6706523513119</v>
      </c>
      <c r="AN93" s="59">
        <f ca="1">AVERAGE(OFFSET($AM$3,0,0,'Données projet'!$E$10+1,1))-AVERAGE(OFFSET($H$3,0,0,'Données projet'!$E$10+1,1))</f>
        <v>209.32570518924194</v>
      </c>
      <c r="AO93" s="59">
        <f t="shared" si="90"/>
        <v>138.10530102720475</v>
      </c>
      <c r="AP93" s="15">
        <f>IF(ISNA(VLOOKUP(A93,'Données projet'!$A$61:$I$81,3,0)),0,VLOOKUP(A93,'Données projet'!$A$61:$I$81,3,0))</f>
        <v>5</v>
      </c>
      <c r="AQ93" s="15">
        <f>IF(ISNA(VLOOKUP(A93,'Données projet'!$A$61:$I$81,4,0)),0,VLOOKUP(A93,'Données projet'!$A$61:$I$81,4,0))</f>
        <v>22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0.215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12.693006995508359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12.693006995508359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219.86035935827329</v>
      </c>
      <c r="BJ93" s="59">
        <f t="shared" si="92"/>
        <v>322.75312534885239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92.927261528614025</v>
      </c>
      <c r="BQ93" s="21">
        <f>EXP(-LN(2)/25)*BQ92+(1-EXP(-LN(2)/25))/(LN(2)/25)*Calculateur!BL93*Calculateur!BN93*VLOOKUP('Données projet'!$B$11,Paramètres!$A$1:$I$89,3,0)*0.475*44/12</f>
        <v>18.345263020909773</v>
      </c>
      <c r="BR93" s="21">
        <f>EXP(-LN(2)/2)*BR92+(1-EXP(-LN(2)/2))/(LN(2)/2)*BL93*BO93*VLOOKUP('Données projet'!$B$11,Paramètres!$A$1:$I$89,3,0)*0.475*44/12</f>
        <v>8.685137717962169E-4</v>
      </c>
      <c r="BS93" s="22">
        <f t="shared" si="63"/>
        <v>111.27339306329559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-2.8421709430404007E-13</v>
      </c>
      <c r="BZ93" s="13">
        <f>BY93*VLOOKUP('Données projet'!$B$12,Paramètres!$A$1:$I$89,3,0)*VLOOKUP('Données projet'!$B$12,Paramètres!$A$1:$I$89,5,0)</f>
        <v>-2.2612312022829427E-13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378.47278187128137</v>
      </c>
      <c r="CE93" s="59">
        <f t="shared" si="94"/>
        <v>372.59407061242604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116.56427838504379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116.56427838504379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26.262599999999974</v>
      </c>
      <c r="D94" s="11">
        <f t="shared" si="86"/>
        <v>8.2733019199363209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133.29646355063133</v>
      </c>
      <c r="H94" s="67">
        <f t="shared" si="56"/>
        <v>316.81669584388908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-3.4106051316484809E-13</v>
      </c>
      <c r="O94" s="13">
        <f>N94*VLOOKUP('Données projet'!$B$9,Paramètres!$A$1:$I$89,3,0)*VLOOKUP('Données projet'!$B$9,Paramètres!$A$1:$I$89,5,0)</f>
        <v>-1.9065282685915009E-13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347.01106511825213</v>
      </c>
      <c r="T94" s="59">
        <f t="shared" si="88"/>
        <v>329.53392323581539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145.177667440682</v>
      </c>
      <c r="AA94" s="21">
        <f>EXP(-LN(2)/25)*AA93+(1-EXP(-LN(2)/25))/(LN(2)/25)*Calculateur!V94*Calculateur!X94*VLOOKUP('Données projet'!$B$9,Paramètres!$A$1:$I$89,3,0)*0.475*44/12</f>
        <v>33.885582176127791</v>
      </c>
      <c r="AB94" s="21">
        <f>EXP(-LN(2)/2)*AB93+(1-EXP(-LN(2)/2))/(LN(2)/2)*V94*Y94*VLOOKUP('Données projet'!$B$9,Paramètres!$A$1:$I$89,3,0)*0.475*44/12</f>
        <v>2.4796698177826374E-2</v>
      </c>
      <c r="AC94" s="22">
        <f t="shared" si="57"/>
        <v>179.08804631498762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3.1</v>
      </c>
      <c r="AI94" s="13">
        <f>IF('Données projet'!$A$62&gt;35,AI93+AH94-AQ93,IF(A94&lt;'Données projet'!$A$62,$AF$205^A94,IF(A94='Données projet'!$A$62,'Données projet'!$B$62,AI93+AH94-AQ93)))</f>
        <v>106.10000000000008</v>
      </c>
      <c r="AJ94" s="13">
        <f>AI94*VLOOKUP('Données projet'!$B$10,Paramètres!$A$1:$I$89,3,0)*VLOOKUP('Données projet'!$B$10,Paramètres!$A$1:$I$89,5,0)</f>
        <v>95.99928000000007</v>
      </c>
      <c r="AK94" s="13">
        <f t="shared" si="89"/>
        <v>26.006628165014433</v>
      </c>
      <c r="AL94" s="20">
        <f t="shared" si="58"/>
        <v>212.49362338740025</v>
      </c>
      <c r="AM94" s="59">
        <f t="shared" si="59"/>
        <v>505.82695672073356</v>
      </c>
      <c r="AN94" s="59">
        <f ca="1">AVERAGE(OFFSET($AM$3,0,0,'Données projet'!$E$10+1,1))-AVERAGE(OFFSET($H$3,0,0,'Données projet'!$E$10+1,1))</f>
        <v>209.32570518924194</v>
      </c>
      <c r="AO94" s="59">
        <f t="shared" si="90"/>
        <v>138.10530102720475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12.345916051719955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12.345916051719955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219.86035935827329</v>
      </c>
      <c r="BJ94" s="59">
        <f t="shared" si="92"/>
        <v>322.75312534885239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91.105014610070754</v>
      </c>
      <c r="BQ94" s="21">
        <f>EXP(-LN(2)/25)*BQ93+(1-EXP(-LN(2)/25))/(LN(2)/25)*Calculateur!BL94*Calculateur!BN94*VLOOKUP('Données projet'!$B$11,Paramètres!$A$1:$I$89,3,0)*0.475*44/12</f>
        <v>17.843610838867541</v>
      </c>
      <c r="BR94" s="21">
        <f>EXP(-LN(2)/2)*BR93+(1-EXP(-LN(2)/2))/(LN(2)/2)*BL94*BO94*VLOOKUP('Données projet'!$B$11,Paramètres!$A$1:$I$89,3,0)*0.475*44/12</f>
        <v>6.141319775910106E-4</v>
      </c>
      <c r="BS94" s="22">
        <f t="shared" si="63"/>
        <v>108.94923958091587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-2.8421709430404007E-13</v>
      </c>
      <c r="BZ94" s="13">
        <f>BY94*VLOOKUP('Données projet'!$B$12,Paramètres!$A$1:$I$89,3,0)*VLOOKUP('Données projet'!$B$12,Paramètres!$A$1:$I$89,5,0)</f>
        <v>-2.2612312022829427E-13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378.47278187128137</v>
      </c>
      <c r="CE94" s="59">
        <f t="shared" si="94"/>
        <v>372.59407061242604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114.27852398310263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114.27852398310263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26.551199999999973</v>
      </c>
      <c r="D95" s="11">
        <f t="shared" si="86"/>
        <v>8.3535836035999633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134.72021741740329</v>
      </c>
      <c r="H95" s="67">
        <f t="shared" si="56"/>
        <v>317.45916477626992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-3.4106051316484809E-13</v>
      </c>
      <c r="O95" s="13">
        <f>N95*VLOOKUP('Données projet'!$B$9,Paramètres!$A$1:$I$89,3,0)*VLOOKUP('Données projet'!$B$9,Paramètres!$A$1:$I$89,5,0)</f>
        <v>-1.9065282685915009E-13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347.01106511825213</v>
      </c>
      <c r="T95" s="59">
        <f t="shared" si="88"/>
        <v>329.53392323581539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142.33082193180383</v>
      </c>
      <c r="AA95" s="21">
        <f>EXP(-LN(2)/25)*AA94+(1-EXP(-LN(2)/25))/(LN(2)/25)*Calculateur!V95*Calculateur!X95*VLOOKUP('Données projet'!$B$9,Paramètres!$A$1:$I$89,3,0)*0.475*44/12</f>
        <v>32.958979149556257</v>
      </c>
      <c r="AB95" s="21">
        <f>EXP(-LN(2)/2)*AB94+(1-EXP(-LN(2)/2))/(LN(2)/2)*V95*Y95*VLOOKUP('Données projet'!$B$9,Paramètres!$A$1:$I$89,3,0)*0.475*44/12</f>
        <v>1.7533913432577135E-2</v>
      </c>
      <c r="AC95" s="22">
        <f t="shared" si="57"/>
        <v>175.30733499479265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3.1</v>
      </c>
      <c r="AI95" s="13">
        <f>IF('Données projet'!$A$62&gt;35,AI94+AH95-AQ94,IF(A95&lt;'Données projet'!$A$62,$AF$205^A95,IF(A95='Données projet'!$A$62,'Données projet'!$B$62,AI94+AH95-AQ94)))</f>
        <v>109.20000000000007</v>
      </c>
      <c r="AJ95" s="13">
        <f>AI95*VLOOKUP('Données projet'!$B$10,Paramètres!$A$1:$I$89,3,0)*VLOOKUP('Données projet'!$B$10,Paramètres!$A$1:$I$89,5,0)</f>
        <v>98.804160000000067</v>
      </c>
      <c r="AK95" s="13">
        <f t="shared" si="89"/>
        <v>26.676905991504544</v>
      </c>
      <c r="AL95" s="20">
        <f t="shared" si="58"/>
        <v>218.54618993520387</v>
      </c>
      <c r="AM95" s="59">
        <f t="shared" si="59"/>
        <v>511.87952326853718</v>
      </c>
      <c r="AN95" s="59">
        <f ca="1">AVERAGE(OFFSET($AM$3,0,0,'Données projet'!$E$10+1,1))-AVERAGE(OFFSET($H$3,0,0,'Données projet'!$E$10+1,1))</f>
        <v>209.32570518924194</v>
      </c>
      <c r="AO95" s="59">
        <f t="shared" si="90"/>
        <v>138.10530102720475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12.008316328042165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12.008316328042165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219.86035935827329</v>
      </c>
      <c r="BJ95" s="59">
        <f t="shared" si="92"/>
        <v>322.75312534885239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89.318500842139244</v>
      </c>
      <c r="BQ95" s="21">
        <f>EXP(-LN(2)/25)*BQ94+(1-EXP(-LN(2)/25))/(LN(2)/25)*Calculateur!BL95*Calculateur!BN95*VLOOKUP('Données projet'!$B$11,Paramètres!$A$1:$I$89,3,0)*0.475*44/12</f>
        <v>17.355676362123997</v>
      </c>
      <c r="BR95" s="21">
        <f>EXP(-LN(2)/2)*BR94+(1-EXP(-LN(2)/2))/(LN(2)/2)*BL95*BO95*VLOOKUP('Données projet'!$B$11,Paramètres!$A$1:$I$89,3,0)*0.475*44/12</f>
        <v>4.3425688589810845E-4</v>
      </c>
      <c r="BS95" s="22">
        <f t="shared" si="63"/>
        <v>106.67461146114914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-2.8421709430404007E-13</v>
      </c>
      <c r="BZ95" s="13">
        <f>BY95*VLOOKUP('Données projet'!$B$12,Paramètres!$A$1:$I$89,3,0)*VLOOKUP('Données projet'!$B$12,Paramètres!$A$1:$I$89,5,0)</f>
        <v>-2.2612312022829427E-13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378.47278187128137</v>
      </c>
      <c r="CE95" s="59">
        <f t="shared" si="94"/>
        <v>372.59407061242604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112.03759183081101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112.03759183081101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26.839799999999972</v>
      </c>
      <c r="D96" s="11">
        <f t="shared" si="86"/>
        <v>8.4337637755966437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136.14357948475887</v>
      </c>
      <c r="H96" s="67">
        <f t="shared" si="56"/>
        <v>318.10145690916409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-3.4106051316484809E-13</v>
      </c>
      <c r="O96" s="13">
        <f>N96*VLOOKUP('Données projet'!$B$9,Paramètres!$A$1:$I$89,3,0)*VLOOKUP('Données projet'!$B$9,Paramètres!$A$1:$I$89,5,0)</f>
        <v>-1.9065282685915009E-13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347.01106511825213</v>
      </c>
      <c r="T96" s="59">
        <f t="shared" si="88"/>
        <v>329.53392323581539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139.53980132695042</v>
      </c>
      <c r="AA96" s="21">
        <f>EXP(-LN(2)/25)*AA95+(1-EXP(-LN(2)/25))/(LN(2)/25)*Calculateur!V96*Calculateur!X96*VLOOKUP('Données projet'!$B$9,Paramètres!$A$1:$I$89,3,0)*0.475*44/12</f>
        <v>32.057714131474256</v>
      </c>
      <c r="AB96" s="21">
        <f>EXP(-LN(2)/2)*AB95+(1-EXP(-LN(2)/2))/(LN(2)/2)*V96*Y96*VLOOKUP('Données projet'!$B$9,Paramètres!$A$1:$I$89,3,0)*0.475*44/12</f>
        <v>1.2398349088913187E-2</v>
      </c>
      <c r="AC96" s="22">
        <f t="shared" si="57"/>
        <v>171.60991380751361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3.1</v>
      </c>
      <c r="AI96" s="13">
        <f>IF('Données projet'!$A$62&gt;35,AI95+AH96-AQ95,IF(A96&lt;'Données projet'!$A$62,$AF$205^A96,IF(A96='Données projet'!$A$62,'Données projet'!$B$62,AI95+AH96-AQ95)))</f>
        <v>112.30000000000007</v>
      </c>
      <c r="AJ96" s="13">
        <f>AI96*VLOOKUP('Données projet'!$B$10,Paramètres!$A$1:$I$89,3,0)*VLOOKUP('Données projet'!$B$10,Paramètres!$A$1:$I$89,5,0)</f>
        <v>101.60904000000005</v>
      </c>
      <c r="AK96" s="13">
        <f t="shared" si="89"/>
        <v>27.344972296383432</v>
      </c>
      <c r="AL96" s="20">
        <f t="shared" si="58"/>
        <v>224.59490474953455</v>
      </c>
      <c r="AM96" s="59">
        <f t="shared" si="59"/>
        <v>517.92823808286789</v>
      </c>
      <c r="AN96" s="59">
        <f ca="1">AVERAGE(OFFSET($AM$3,0,0,'Données projet'!$E$10+1,1))-AVERAGE(OFFSET($H$3,0,0,'Données projet'!$E$10+1,1))</f>
        <v>209.32570518924194</v>
      </c>
      <c r="AO96" s="59">
        <f t="shared" si="90"/>
        <v>138.10530102720475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11.679948286561942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11.679948286561942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219.86035935827329</v>
      </c>
      <c r="BJ96" s="59">
        <f t="shared" si="92"/>
        <v>322.75312534885239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87.567019519531058</v>
      </c>
      <c r="BQ96" s="21">
        <f>EXP(-LN(2)/25)*BQ95+(1-EXP(-LN(2)/25))/(LN(2)/25)*Calculateur!BL96*Calculateur!BN96*VLOOKUP('Données projet'!$B$11,Paramètres!$A$1:$I$89,3,0)*0.475*44/12</f>
        <v>16.881084479306363</v>
      </c>
      <c r="BR96" s="21">
        <f>EXP(-LN(2)/2)*BR95+(1-EXP(-LN(2)/2))/(LN(2)/2)*BL96*BO96*VLOOKUP('Données projet'!$B$11,Paramètres!$A$1:$I$89,3,0)*0.475*44/12</f>
        <v>3.070659887955053E-4</v>
      </c>
      <c r="BS96" s="22">
        <f t="shared" si="63"/>
        <v>104.44841106482622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-2.8421709430404007E-13</v>
      </c>
      <c r="BZ96" s="13">
        <f>BY96*VLOOKUP('Données projet'!$B$12,Paramètres!$A$1:$I$89,3,0)*VLOOKUP('Données projet'!$B$12,Paramètres!$A$1:$I$89,5,0)</f>
        <v>-2.2612312022829427E-13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378.47278187128137</v>
      </c>
      <c r="CE96" s="59">
        <f t="shared" si="94"/>
        <v>372.59407061242604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109.84060299119218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109.84060299119218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27.128399999999971</v>
      </c>
      <c r="D97" s="11">
        <f t="shared" si="86"/>
        <v>8.5138436537878714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137.56655445321624</v>
      </c>
      <c r="H97" s="67">
        <f t="shared" si="56"/>
        <v>318.74357436368052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-3.4106051316484809E-13</v>
      </c>
      <c r="O97" s="13">
        <f>N97*VLOOKUP('Données projet'!$B$9,Paramètres!$A$1:$I$89,3,0)*VLOOKUP('Données projet'!$B$9,Paramètres!$A$1:$I$89,5,0)</f>
        <v>-1.9065282685915009E-13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347.01106511825213</v>
      </c>
      <c r="T97" s="59">
        <f t="shared" si="88"/>
        <v>329.53392323581539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136.80351093380372</v>
      </c>
      <c r="AA97" s="21">
        <f>EXP(-LN(2)/25)*AA96+(1-EXP(-LN(2)/25))/(LN(2)/25)*Calculateur!V97*Calculateur!X97*VLOOKUP('Données projet'!$B$9,Paramètres!$A$1:$I$89,3,0)*0.475*44/12</f>
        <v>31.181094252707176</v>
      </c>
      <c r="AB97" s="21">
        <f>EXP(-LN(2)/2)*AB96+(1-EXP(-LN(2)/2))/(LN(2)/2)*V97*Y97*VLOOKUP('Données projet'!$B$9,Paramètres!$A$1:$I$89,3,0)*0.475*44/12</f>
        <v>8.7669567162885677E-3</v>
      </c>
      <c r="AC97" s="22">
        <f t="shared" si="57"/>
        <v>167.99337214322719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3.1</v>
      </c>
      <c r="AI97" s="13">
        <f>IF('Données projet'!$A$62&gt;35,AI96+AH97-AQ96,IF(A97&lt;'Données projet'!$A$62,$AF$205^A97,IF(A97='Données projet'!$A$62,'Données projet'!$B$62,AI96+AH97-AQ96)))</f>
        <v>115.40000000000006</v>
      </c>
      <c r="AJ97" s="13">
        <f>AI97*VLOOKUP('Données projet'!$B$10,Paramètres!$A$1:$I$89,3,0)*VLOOKUP('Données projet'!$B$10,Paramètres!$A$1:$I$89,5,0)</f>
        <v>104.41392000000005</v>
      </c>
      <c r="AK97" s="13">
        <f t="shared" si="89"/>
        <v>28.010895142032879</v>
      </c>
      <c r="AL97" s="20">
        <f t="shared" si="58"/>
        <v>230.63988637237398</v>
      </c>
      <c r="AM97" s="59">
        <f t="shared" si="59"/>
        <v>523.97321970570727</v>
      </c>
      <c r="AN97" s="59">
        <f ca="1">AVERAGE(OFFSET($AM$3,0,0,'Données projet'!$E$10+1,1))-AVERAGE(OFFSET($H$3,0,0,'Données projet'!$E$10+1,1))</f>
        <v>209.32570518924194</v>
      </c>
      <c r="AO97" s="59">
        <f t="shared" si="90"/>
        <v>138.10530102720475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11.360559486444119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11.360559486444119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219.86035935827329</v>
      </c>
      <c r="BJ97" s="59">
        <f t="shared" si="92"/>
        <v>322.75312534885239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85.849883677361106</v>
      </c>
      <c r="BQ97" s="21">
        <f>EXP(-LN(2)/25)*BQ96+(1-EXP(-LN(2)/25))/(LN(2)/25)*Calculateur!BL97*Calculateur!BN97*VLOOKUP('Données projet'!$B$11,Paramètres!$A$1:$I$89,3,0)*0.475*44/12</f>
        <v>16.419470336482082</v>
      </c>
      <c r="BR97" s="21">
        <f>EXP(-LN(2)/2)*BR96+(1-EXP(-LN(2)/2))/(LN(2)/2)*BL97*BO97*VLOOKUP('Données projet'!$B$11,Paramètres!$A$1:$I$89,3,0)*0.475*44/12</f>
        <v>2.1712844294905422E-4</v>
      </c>
      <c r="BS97" s="22">
        <f t="shared" si="63"/>
        <v>102.26957114228614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-2.8421709430404007E-13</v>
      </c>
      <c r="BZ97" s="13">
        <f>BY97*VLOOKUP('Données projet'!$B$12,Paramètres!$A$1:$I$89,3,0)*VLOOKUP('Données projet'!$B$12,Paramètres!$A$1:$I$89,5,0)</f>
        <v>-2.2612312022829427E-13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378.47278187128137</v>
      </c>
      <c r="CE97" s="59">
        <f t="shared" si="94"/>
        <v>372.59407061242604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107.68669576268741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107.68669576268741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27.41699999999997</v>
      </c>
      <c r="D98" s="11">
        <f t="shared" si="86"/>
        <v>8.5938244286305583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138.98914691752134</v>
      </c>
      <c r="H98" s="67">
        <f t="shared" si="56"/>
        <v>319.38551921319817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-3.4106051316484809E-13</v>
      </c>
      <c r="O98" s="13">
        <f>N98*VLOOKUP('Données projet'!$B$9,Paramètres!$A$1:$I$89,3,0)*VLOOKUP('Données projet'!$B$9,Paramètres!$A$1:$I$89,5,0)</f>
        <v>-1.9065282685915009E-13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347.01106511825213</v>
      </c>
      <c r="T98" s="59">
        <f t="shared" si="88"/>
        <v>329.53392323581539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134.12087752629429</v>
      </c>
      <c r="AA98" s="21">
        <f>EXP(-LN(2)/25)*AA97+(1-EXP(-LN(2)/25))/(LN(2)/25)*Calculateur!V98*Calculateur!X98*VLOOKUP('Données projet'!$B$9,Paramètres!$A$1:$I$89,3,0)*0.475*44/12</f>
        <v>30.328445590624415</v>
      </c>
      <c r="AB98" s="21">
        <f>EXP(-LN(2)/2)*AB97+(1-EXP(-LN(2)/2))/(LN(2)/2)*V98*Y98*VLOOKUP('Données projet'!$B$9,Paramètres!$A$1:$I$89,3,0)*0.475*44/12</f>
        <v>6.1991745444565935E-3</v>
      </c>
      <c r="AC98" s="22">
        <f t="shared" si="57"/>
        <v>164.45552229146318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3.1</v>
      </c>
      <c r="AI98" s="13">
        <f>IF('Données projet'!$A$62&gt;35,AI97+AH98-AQ97,IF(A98&lt;'Données projet'!$A$62,$AF$205^A98,IF(A98='Données projet'!$A$62,'Données projet'!$B$62,AI97+AH98-AQ97)))</f>
        <v>118.50000000000006</v>
      </c>
      <c r="AJ98" s="13">
        <f>AI98*VLOOKUP('Données projet'!$B$10,Paramètres!$A$1:$I$89,3,0)*VLOOKUP('Données projet'!$B$10,Paramètres!$A$1:$I$89,5,0)</f>
        <v>107.21880000000006</v>
      </c>
      <c r="AK98" s="13">
        <f t="shared" si="89"/>
        <v>28.674738725921312</v>
      </c>
      <c r="AL98" s="20">
        <f t="shared" si="58"/>
        <v>236.68124661431304</v>
      </c>
      <c r="AM98" s="59">
        <f t="shared" si="59"/>
        <v>530.01457994764633</v>
      </c>
      <c r="AN98" s="59">
        <f ca="1">AVERAGE(OFFSET($AM$3,0,0,'Données projet'!$E$10+1,1))-AVERAGE(OFFSET($H$3,0,0,'Données projet'!$E$10+1,1))</f>
        <v>209.32570518924194</v>
      </c>
      <c r="AO98" s="59">
        <f t="shared" si="90"/>
        <v>138.10530102720475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11.049904389861446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11.049904389861446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219.86035935827329</v>
      </c>
      <c r="BJ98" s="59">
        <f t="shared" si="92"/>
        <v>322.75312534885239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84.166419821706654</v>
      </c>
      <c r="BQ98" s="21">
        <f>EXP(-LN(2)/25)*BQ97+(1-EXP(-LN(2)/25))/(LN(2)/25)*Calculateur!BL98*Calculateur!BN98*VLOOKUP('Données projet'!$B$11,Paramètres!$A$1:$I$89,3,0)*0.475*44/12</f>
        <v>15.970479056668561</v>
      </c>
      <c r="BR98" s="21">
        <f>EXP(-LN(2)/2)*BR97+(1-EXP(-LN(2)/2))/(LN(2)/2)*BL98*BO98*VLOOKUP('Données projet'!$B$11,Paramètres!$A$1:$I$89,3,0)*0.475*44/12</f>
        <v>1.5353299439775265E-4</v>
      </c>
      <c r="BS98" s="22">
        <f t="shared" si="63"/>
        <v>100.13705241136962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-2.8421709430404007E-13</v>
      </c>
      <c r="BZ98" s="13">
        <f>BY98*VLOOKUP('Données projet'!$B$12,Paramètres!$A$1:$I$89,3,0)*VLOOKUP('Données projet'!$B$12,Paramètres!$A$1:$I$89,5,0)</f>
        <v>-2.2612312022829427E-13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378.47278187128137</v>
      </c>
      <c r="CE98" s="59">
        <f t="shared" si="94"/>
        <v>372.59407061242604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105.57502534117992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105.57502534117992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27.705599999999968</v>
      </c>
      <c r="D99" s="11">
        <f t="shared" si="86"/>
        <v>8.6737072640755262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140.41136137011594</v>
      </c>
      <c r="H99" s="67">
        <f t="shared" si="56"/>
        <v>320.02729348493153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-3.4106051316484809E-13</v>
      </c>
      <c r="O99" s="13">
        <f>N99*VLOOKUP('Données projet'!$B$9,Paramètres!$A$1:$I$89,3,0)*VLOOKUP('Données projet'!$B$9,Paramètres!$A$1:$I$89,5,0)</f>
        <v>-1.9065282685915009E-13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347.01106511825213</v>
      </c>
      <c r="T99" s="59">
        <f t="shared" si="88"/>
        <v>329.53392323581539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131.4908489236613</v>
      </c>
      <c r="AA99" s="21">
        <f>EXP(-LN(2)/25)*AA98+(1-EXP(-LN(2)/25))/(LN(2)/25)*Calculateur!V99*Calculateur!X99*VLOOKUP('Données projet'!$B$9,Paramètres!$A$1:$I$89,3,0)*0.475*44/12</f>
        <v>29.499112651045152</v>
      </c>
      <c r="AB99" s="21">
        <f>EXP(-LN(2)/2)*AB98+(1-EXP(-LN(2)/2))/(LN(2)/2)*V99*Y99*VLOOKUP('Données projet'!$B$9,Paramètres!$A$1:$I$89,3,0)*0.475*44/12</f>
        <v>4.3834783581442839E-3</v>
      </c>
      <c r="AC99" s="22">
        <f t="shared" si="57"/>
        <v>160.99434505306459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3.1</v>
      </c>
      <c r="AI99" s="13">
        <f>IF('Données projet'!$A$62&gt;35,AI98+AH99-AQ98,IF(A99&lt;'Données projet'!$A$62,$AF$205^A99,IF(A99='Données projet'!$A$62,'Données projet'!$B$62,AI98+AH99-AQ98)))</f>
        <v>121.60000000000005</v>
      </c>
      <c r="AJ99" s="13">
        <f>AI99*VLOOKUP('Données projet'!$B$10,Paramètres!$A$1:$I$89,3,0)*VLOOKUP('Données projet'!$B$10,Paramètres!$A$1:$I$89,5,0)</f>
        <v>110.02368000000004</v>
      </c>
      <c r="AK99" s="13">
        <f t="shared" si="89"/>
        <v>29.336563695360827</v>
      </c>
      <c r="AL99" s="20">
        <f t="shared" si="58"/>
        <v>242.71909110275354</v>
      </c>
      <c r="AM99" s="59">
        <f t="shared" si="59"/>
        <v>536.05242443608688</v>
      </c>
      <c r="AN99" s="59">
        <f ca="1">AVERAGE(OFFSET($AM$3,0,0,'Données projet'!$E$10+1,1))-AVERAGE(OFFSET($H$3,0,0,'Données projet'!$E$10+1,1))</f>
        <v>209.32570518924194</v>
      </c>
      <c r="AO99" s="59">
        <f t="shared" si="90"/>
        <v>138.10530102720475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10.747744173231467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10.747744173231467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219.86035935827329</v>
      </c>
      <c r="BJ99" s="59">
        <f t="shared" si="92"/>
        <v>322.75312534885239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82.51596766545002</v>
      </c>
      <c r="BQ99" s="21">
        <f>EXP(-LN(2)/25)*BQ98+(1-EXP(-LN(2)/25))/(LN(2)/25)*Calculateur!BL99*Calculateur!BN99*VLOOKUP('Données projet'!$B$11,Paramètres!$A$1:$I$89,3,0)*0.475*44/12</f>
        <v>15.533765467012966</v>
      </c>
      <c r="BR99" s="21">
        <f>EXP(-LN(2)/2)*BR98+(1-EXP(-LN(2)/2))/(LN(2)/2)*BL99*BO99*VLOOKUP('Données projet'!$B$11,Paramètres!$A$1:$I$89,3,0)*0.475*44/12</f>
        <v>1.0856422147452711E-4</v>
      </c>
      <c r="BS99" s="22">
        <f t="shared" si="63"/>
        <v>98.049841696684467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-2.8421709430404007E-13</v>
      </c>
      <c r="BZ99" s="13">
        <f>BY99*VLOOKUP('Données projet'!$B$12,Paramètres!$A$1:$I$89,3,0)*VLOOKUP('Données projet'!$B$12,Paramètres!$A$1:$I$89,5,0)</f>
        <v>-2.2612312022829427E-13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378.47278187128137</v>
      </c>
      <c r="CE99" s="59">
        <f t="shared" si="94"/>
        <v>372.59407061242604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103.50476348864642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103.50476348864642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27.994199999999967</v>
      </c>
      <c r="D100" s="11">
        <f t="shared" si="86"/>
        <v>8.7534932984275091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141.83320220445697</v>
      </c>
      <c r="H100" s="67">
        <f t="shared" si="56"/>
        <v>320.66889916142787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-3.4106051316484809E-13</v>
      </c>
      <c r="O100" s="13">
        <f>N100*VLOOKUP('Données projet'!$B$9,Paramètres!$A$1:$I$89,3,0)*VLOOKUP('Données projet'!$B$9,Paramètres!$A$1:$I$89,5,0)</f>
        <v>-1.9065282685915009E-13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347.01106511825213</v>
      </c>
      <c r="T100" s="59">
        <f t="shared" si="88"/>
        <v>329.53392323581539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128.91239357776692</v>
      </c>
      <c r="AA100" s="21">
        <f>EXP(-LN(2)/25)*AA99+(1-EXP(-LN(2)/25))/(LN(2)/25)*Calculateur!V100*Calculateur!X100*VLOOKUP('Données projet'!$B$9,Paramètres!$A$1:$I$89,3,0)*0.475*44/12</f>
        <v>28.692457864311411</v>
      </c>
      <c r="AB100" s="21">
        <f>EXP(-LN(2)/2)*AB99+(1-EXP(-LN(2)/2))/(LN(2)/2)*V100*Y100*VLOOKUP('Données projet'!$B$9,Paramètres!$A$1:$I$89,3,0)*0.475*44/12</f>
        <v>3.0995872722282968E-3</v>
      </c>
      <c r="AC100" s="22">
        <f t="shared" si="57"/>
        <v>157.60795102935057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3.1</v>
      </c>
      <c r="AI100" s="13">
        <f>IF('Données projet'!$A$62&gt;35,AI99+AH100-AQ99,IF(A100&lt;'Données projet'!$A$62,$AF$205^A100,IF(A100='Données projet'!$A$62,'Données projet'!$B$62,AI99+AH100-AQ99)))</f>
        <v>124.70000000000005</v>
      </c>
      <c r="AJ100" s="13">
        <f>AI100*VLOOKUP('Données projet'!$B$10,Paramètres!$A$1:$I$89,3,0)*VLOOKUP('Données projet'!$B$10,Paramètres!$A$1:$I$89,5,0)</f>
        <v>112.82856000000004</v>
      </c>
      <c r="AK100" s="13">
        <f t="shared" si="89"/>
        <v>29.996427429264088</v>
      </c>
      <c r="AL100" s="20">
        <f t="shared" si="58"/>
        <v>248.75351977263503</v>
      </c>
      <c r="AM100" s="59">
        <f t="shared" si="59"/>
        <v>542.08685310596832</v>
      </c>
      <c r="AN100" s="59">
        <f ca="1">AVERAGE(OFFSET($AM$3,0,0,'Données projet'!$E$10+1,1))-AVERAGE(OFFSET($H$3,0,0,'Données projet'!$E$10+1,1))</f>
        <v>209.32570518924194</v>
      </c>
      <c r="AO100" s="59">
        <f t="shared" si="90"/>
        <v>138.10530102720475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10.453846543615152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10.453846543615152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219.86035935827329</v>
      </c>
      <c r="BJ100" s="59">
        <f t="shared" si="92"/>
        <v>322.75312534885239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80.897879869301164</v>
      </c>
      <c r="BQ100" s="21">
        <f>EXP(-LN(2)/25)*BQ99+(1-EXP(-LN(2)/25))/(LN(2)/25)*Calculateur!BL100*Calculateur!BN100*VLOOKUP('Données projet'!$B$11,Paramètres!$A$1:$I$89,3,0)*0.475*44/12</f>
        <v>15.108993833432274</v>
      </c>
      <c r="BR100" s="21">
        <f>EXP(-LN(2)/2)*BR99+(1-EXP(-LN(2)/2))/(LN(2)/2)*BL100*BO100*VLOOKUP('Données projet'!$B$11,Paramètres!$A$1:$I$89,3,0)*0.475*44/12</f>
        <v>7.6766497198876325E-5</v>
      </c>
      <c r="BS100" s="22">
        <f t="shared" si="63"/>
        <v>96.006950469230645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-2.8421709430404007E-13</v>
      </c>
      <c r="BZ100" s="13">
        <f>BY100*VLOOKUP('Données projet'!$B$12,Paramètres!$A$1:$I$89,3,0)*VLOOKUP('Données projet'!$B$12,Paramètres!$A$1:$I$89,5,0)</f>
        <v>-2.2612312022829427E-13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378.47278187128137</v>
      </c>
      <c r="CE100" s="59">
        <f t="shared" si="94"/>
        <v>372.59407061242604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101.47509820830605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101.47509820830605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28.282799999999966</v>
      </c>
      <c r="D101" s="11">
        <f t="shared" si="86"/>
        <v>8.8331836451686563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143.25467371819471</v>
      </c>
      <c r="H101" s="67">
        <f t="shared" si="56"/>
        <v>321.31033818200206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-3.4106051316484809E-13</v>
      </c>
      <c r="O101" s="13">
        <f>N101*VLOOKUP('Données projet'!$B$9,Paramètres!$A$1:$I$89,3,0)*VLOOKUP('Données projet'!$B$9,Paramètres!$A$1:$I$89,5,0)</f>
        <v>-1.9065282685915009E-13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347.01106511825213</v>
      </c>
      <c r="T101" s="59">
        <f t="shared" si="88"/>
        <v>329.53392323581539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126.38450016850304</v>
      </c>
      <c r="AA101" s="21">
        <f>EXP(-LN(2)/25)*AA100+(1-EXP(-LN(2)/25))/(LN(2)/25)*Calculateur!V101*Calculateur!X101*VLOOKUP('Données projet'!$B$9,Paramètres!$A$1:$I$89,3,0)*0.475*44/12</f>
        <v>27.907861095141033</v>
      </c>
      <c r="AB101" s="21">
        <f>EXP(-LN(2)/2)*AB100+(1-EXP(-LN(2)/2))/(LN(2)/2)*V101*Y101*VLOOKUP('Données projet'!$B$9,Paramètres!$A$1:$I$89,3,0)*0.475*44/12</f>
        <v>2.1917391790721419E-3</v>
      </c>
      <c r="AC101" s="22">
        <f t="shared" si="57"/>
        <v>154.29455300282314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3.1</v>
      </c>
      <c r="AI101" s="13">
        <f>IF('Données projet'!$A$62&gt;35,AI100+AH101-AQ100,IF(A101&lt;'Données projet'!$A$62,$AF$205^A101,IF(A101='Données projet'!$A$62,'Données projet'!$B$62,AI100+AH101-AQ100)))</f>
        <v>127.80000000000004</v>
      </c>
      <c r="AJ101" s="13">
        <f>AI101*VLOOKUP('Données projet'!$B$10,Paramètres!$A$1:$I$89,3,0)*VLOOKUP('Données projet'!$B$10,Paramètres!$A$1:$I$89,5,0)</f>
        <v>115.63344000000004</v>
      </c>
      <c r="AK101" s="13">
        <f t="shared" si="89"/>
        <v>30.654384291094836</v>
      </c>
      <c r="AL101" s="20">
        <f t="shared" si="58"/>
        <v>254.78462730699025</v>
      </c>
      <c r="AM101" s="59">
        <f t="shared" si="59"/>
        <v>548.11796064032353</v>
      </c>
      <c r="AN101" s="59">
        <f ca="1">AVERAGE(OFFSET($AM$3,0,0,'Données projet'!$E$10+1,1))-AVERAGE(OFFSET($H$3,0,0,'Données projet'!$E$10+1,1))</f>
        <v>209.32570518924194</v>
      </c>
      <c r="AO101" s="59">
        <f t="shared" si="90"/>
        <v>138.10530102720475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10.167985560136097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10.167985560136097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219.86035935827329</v>
      </c>
      <c r="BJ101" s="59">
        <f t="shared" si="92"/>
        <v>322.75312534885239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79.311521787898684</v>
      </c>
      <c r="BQ101" s="21">
        <f>EXP(-LN(2)/25)*BQ100+(1-EXP(-LN(2)/25))/(LN(2)/25)*Calculateur!BL101*Calculateur!BN101*VLOOKUP('Données projet'!$B$11,Paramètres!$A$1:$I$89,3,0)*0.475*44/12</f>
        <v>14.695837602509615</v>
      </c>
      <c r="BR101" s="21">
        <f>EXP(-LN(2)/2)*BR100+(1-EXP(-LN(2)/2))/(LN(2)/2)*BL101*BO101*VLOOKUP('Données projet'!$B$11,Paramètres!$A$1:$I$89,3,0)*0.475*44/12</f>
        <v>5.4282110737263556E-5</v>
      </c>
      <c r="BS101" s="22">
        <f t="shared" si="63"/>
        <v>94.007413672519036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-2.8421709430404007E-13</v>
      </c>
      <c r="BZ101" s="13">
        <f>BY101*VLOOKUP('Données projet'!$B$12,Paramètres!$A$1:$I$89,3,0)*VLOOKUP('Données projet'!$B$12,Paramètres!$A$1:$I$89,5,0)</f>
        <v>-2.2612312022829427E-13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378.47278187128137</v>
      </c>
      <c r="CE101" s="59">
        <f t="shared" si="94"/>
        <v>372.59407061242604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99.485233426139587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99.485233426139587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28.571399999999965</v>
      </c>
      <c r="D102" s="11">
        <f t="shared" si="86"/>
        <v>8.9127793937474955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144.67578011621828</v>
      </c>
      <c r="H102" s="67">
        <f t="shared" si="56"/>
        <v>321.9516124441102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-3.4106051316484809E-13</v>
      </c>
      <c r="O102" s="13">
        <f>N102*VLOOKUP('Données projet'!$B$9,Paramètres!$A$1:$I$89,3,0)*VLOOKUP('Données projet'!$B$9,Paramètres!$A$1:$I$89,5,0)</f>
        <v>-1.9065282685915009E-13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347.01106511825213</v>
      </c>
      <c r="T102" s="59">
        <f t="shared" si="88"/>
        <v>329.53392323581539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123.90617720713209</v>
      </c>
      <c r="AA102" s="21">
        <f>EXP(-LN(2)/25)*AA101+(1-EXP(-LN(2)/25))/(LN(2)/25)*Calculateur!V102*Calculateur!X102*VLOOKUP('Données projet'!$B$9,Paramètres!$A$1:$I$89,3,0)*0.475*44/12</f>
        <v>27.144719165883771</v>
      </c>
      <c r="AB102" s="21">
        <f>EXP(-LN(2)/2)*AB101+(1-EXP(-LN(2)/2))/(LN(2)/2)*V102*Y102*VLOOKUP('Données projet'!$B$9,Paramètres!$A$1:$I$89,3,0)*0.475*44/12</f>
        <v>1.5497936361141484E-3</v>
      </c>
      <c r="AC102" s="22">
        <f t="shared" si="57"/>
        <v>151.05244616665198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3.1</v>
      </c>
      <c r="AI102" s="13">
        <f>IF('Données projet'!$A$62&gt;35,AI101+AH102-AQ101,IF(A102&lt;'Données projet'!$A$62,$AF$205^A102,IF(A102='Données projet'!$A$62,'Données projet'!$B$62,AI101+AH102-AQ101)))</f>
        <v>130.90000000000003</v>
      </c>
      <c r="AJ102" s="13">
        <f>AI102*VLOOKUP('Données projet'!$B$10,Paramètres!$A$1:$I$89,3,0)*VLOOKUP('Données projet'!$B$10,Paramètres!$A$1:$I$89,5,0)</f>
        <v>118.43832000000002</v>
      </c>
      <c r="AK102" s="13">
        <f t="shared" si="89"/>
        <v>31.310485856584627</v>
      </c>
      <c r="AL102" s="20">
        <f t="shared" si="58"/>
        <v>260.81250353355159</v>
      </c>
      <c r="AM102" s="59">
        <f t="shared" si="59"/>
        <v>554.14583686688491</v>
      </c>
      <c r="AN102" s="59">
        <f ca="1">AVERAGE(OFFSET($AM$3,0,0,'Données projet'!$E$10+1,1))-AVERAGE(OFFSET($H$3,0,0,'Données projet'!$E$10+1,1))</f>
        <v>209.32570518924194</v>
      </c>
      <c r="AO102" s="59">
        <f t="shared" si="90"/>
        <v>138.10530102720475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9.8899414602830547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9.8899414602830547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219.86035935827329</v>
      </c>
      <c r="BJ102" s="59">
        <f t="shared" si="92"/>
        <v>322.75312534885239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77.756271220889616</v>
      </c>
      <c r="BQ102" s="21">
        <f>EXP(-LN(2)/25)*BQ101+(1-EXP(-LN(2)/25))/(LN(2)/25)*Calculateur!BL102*Calculateur!BN102*VLOOKUP('Données projet'!$B$11,Paramètres!$A$1:$I$89,3,0)*0.475*44/12</f>
        <v>14.293979150448477</v>
      </c>
      <c r="BR102" s="21">
        <f>EXP(-LN(2)/2)*BR101+(1-EXP(-LN(2)/2))/(LN(2)/2)*BL102*BO102*VLOOKUP('Données projet'!$B$11,Paramètres!$A$1:$I$89,3,0)*0.475*44/12</f>
        <v>3.8383248599438163E-5</v>
      </c>
      <c r="BS102" s="22">
        <f t="shared" si="63"/>
        <v>92.050288754586688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-2.8421709430404007E-13</v>
      </c>
      <c r="BZ102" s="13">
        <f>BY102*VLOOKUP('Données projet'!$B$12,Paramètres!$A$1:$I$89,3,0)*VLOOKUP('Données projet'!$B$12,Paramètres!$A$1:$I$89,5,0)</f>
        <v>-2.2612312022829427E-13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378.47278187128137</v>
      </c>
      <c r="CE102" s="59">
        <f t="shared" si="94"/>
        <v>372.59407061242604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97.534388678653727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97.534388678653727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28.859999999999964</v>
      </c>
      <c r="D103" s="11">
        <f t="shared" si="86"/>
        <v>8.9922816103350627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146.09652551357379</v>
      </c>
      <c r="H103" s="67">
        <f t="shared" si="56"/>
        <v>322.59272380466689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-3.4106051316484809E-13</v>
      </c>
      <c r="O103" s="13">
        <f>N103*VLOOKUP('Données projet'!$B$9,Paramètres!$A$1:$I$89,3,0)*VLOOKUP('Données projet'!$B$9,Paramètres!$A$1:$I$89,5,0)</f>
        <v>-1.9065282685915009E-13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347.01106511825213</v>
      </c>
      <c r="T103" s="59">
        <f t="shared" si="88"/>
        <v>329.53392323581539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121.47645264740588</v>
      </c>
      <c r="AA103" s="21">
        <f>EXP(-LN(2)/25)*AA102+(1-EXP(-LN(2)/25))/(LN(2)/25)*Calculateur!V103*Calculateur!X103*VLOOKUP('Données projet'!$B$9,Paramètres!$A$1:$I$89,3,0)*0.475*44/12</f>
        <v>26.402445392813938</v>
      </c>
      <c r="AB103" s="21">
        <f>EXP(-LN(2)/2)*AB102+(1-EXP(-LN(2)/2))/(LN(2)/2)*V103*Y103*VLOOKUP('Données projet'!$B$9,Paramètres!$A$1:$I$89,3,0)*0.475*44/12</f>
        <v>1.095869589536071E-3</v>
      </c>
      <c r="AC103" s="22">
        <f t="shared" si="57"/>
        <v>147.87999390980934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>
        <f>VLOOKUP(A103,'Données projet'!$A$61:$I$81,2,0)</f>
        <v>134</v>
      </c>
      <c r="AG103" s="12">
        <f>VLOOKUP(A103,'Données projet'!$A$61:$I$81,9,0)</f>
        <v>3.1</v>
      </c>
      <c r="AH103" s="12">
        <f t="array" ref="AH103">INDEX(AG:AG,MIN(IF(ISNUMBER(AG103:AG299),ROW(AG103:AG299),"")))</f>
        <v>3.1</v>
      </c>
      <c r="AI103" s="13">
        <f>IF('Données projet'!$A$62&gt;35,AI102+AH103-AQ102,IF(A103&lt;'Données projet'!$A$62,$AF$205^A103,IF(A103='Données projet'!$A$62,'Données projet'!$B$62,AI102+AH103-AQ102)))</f>
        <v>134.00000000000003</v>
      </c>
      <c r="AJ103" s="13">
        <f>AI103*VLOOKUP('Données projet'!$B$10,Paramètres!$A$1:$I$89,3,0)*VLOOKUP('Données projet'!$B$10,Paramètres!$A$1:$I$89,5,0)</f>
        <v>121.24320000000003</v>
      </c>
      <c r="AK103" s="13">
        <f t="shared" si="89"/>
        <v>31.964781119270363</v>
      </c>
      <c r="AL103" s="20">
        <f t="shared" si="58"/>
        <v>266.83723378272924</v>
      </c>
      <c r="AM103" s="59">
        <f t="shared" si="59"/>
        <v>560.17056711606256</v>
      </c>
      <c r="AN103" s="59">
        <f ca="1">AVERAGE(OFFSET($AM$3,0,0,'Données projet'!$E$10+1,1))-AVERAGE(OFFSET($H$3,0,0,'Données projet'!$E$10+1,1))</f>
        <v>209.32570518924194</v>
      </c>
      <c r="AO103" s="59">
        <f t="shared" si="90"/>
        <v>138.10530102720475</v>
      </c>
      <c r="AP103" s="15">
        <f>IF(ISNA(VLOOKUP(A103,'Données projet'!$A$61:$I$81,3,0)),0,VLOOKUP(A103,'Données projet'!$A$61:$I$81,3,0))</f>
        <v>6</v>
      </c>
      <c r="AQ103" s="15">
        <f>IF(ISNA(VLOOKUP(A103,'Données projet'!$A$61:$I$81,4,0)),0,VLOOKUP(A103,'Données projet'!$A$61:$I$81,4,0))</f>
        <v>22</v>
      </c>
      <c r="AR103" s="16">
        <f>IF(ISNA(VLOOKUP(A103,'Données projet'!$A$61:$I$81,5,0)),0%,VLOOKUP(A103,'Données projet'!$A$61:$I$81,5,0)*VLOOKUP('Données projet'!$B$10,Paramètres!$A$1:$I$89,7,0))</f>
        <v>4.3000000000000003E-2</v>
      </c>
      <c r="AS103" s="16">
        <f>IF(ISNA(VLOOKUP(A103,'Données projet'!$A$61:$I$81,6,0)),0%,VLOOKUP(A103,'Données projet'!$A$61:$I$81,6,0)*VLOOKUP('Données projet'!$B$10,Paramètres!$A$1:$I$89,7,0))</f>
        <v>0.215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0.94621720103373697</v>
      </c>
      <c r="AV103" s="21">
        <f>EXP(-LN(2)/25)*AV102+(1-EXP(-LN(2)/25))/(LN(2)/25)*Calculateur!AQ103*Calculateur!AS103*VLOOKUP('Données projet'!$B$10,Paramètres!$A$1:$I$89,3,0)*0.475*44/12</f>
        <v>14.331958407843437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15.278175608877174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219.86035935827329</v>
      </c>
      <c r="BJ103" s="59">
        <f t="shared" si="92"/>
        <v>322.75312534885239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76.231518168890418</v>
      </c>
      <c r="BQ103" s="21">
        <f>EXP(-LN(2)/25)*BQ102+(1-EXP(-LN(2)/25))/(LN(2)/25)*Calculateur!BL103*Calculateur!BN103*VLOOKUP('Données projet'!$B$11,Paramètres!$A$1:$I$89,3,0)*0.475*44/12</f>
        <v>13.903109538891769</v>
      </c>
      <c r="BR103" s="21">
        <f>EXP(-LN(2)/2)*BR102+(1-EXP(-LN(2)/2))/(LN(2)/2)*BL103*BO103*VLOOKUP('Données projet'!$B$11,Paramètres!$A$1:$I$89,3,0)*0.475*44/12</f>
        <v>2.7141055368631778E-5</v>
      </c>
      <c r="BS103" s="22">
        <f t="shared" si="63"/>
        <v>90.134654848837556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-2.8421709430404007E-13</v>
      </c>
      <c r="BZ103" s="13">
        <f>BY103*VLOOKUP('Données projet'!$B$12,Paramètres!$A$1:$I$89,3,0)*VLOOKUP('Données projet'!$B$12,Paramètres!$A$1:$I$89,5,0)</f>
        <v>-2.2612312022829427E-13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378.47278187128137</v>
      </c>
      <c r="CE103" s="59">
        <f t="shared" si="94"/>
        <v>372.59407061242604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95.621798806768268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95.621798806768268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29.148599999999963</v>
      </c>
      <c r="D104" s="11">
        <f t="shared" si="86"/>
        <v>9.0716913385499733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147.51691393826289</v>
      </c>
      <c r="H104" s="67">
        <f t="shared" si="56"/>
        <v>323.23367408130781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-3.4106051316484809E-13</v>
      </c>
      <c r="O104" s="13">
        <f>N104*VLOOKUP('Données projet'!$B$9,Paramètres!$A$1:$I$89,3,0)*VLOOKUP('Données projet'!$B$9,Paramètres!$A$1:$I$89,5,0)</f>
        <v>-1.9065282685915009E-13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347.01106511825213</v>
      </c>
      <c r="T104" s="59">
        <f t="shared" si="88"/>
        <v>329.53392323581539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119.09437350431025</v>
      </c>
      <c r="AA104" s="21">
        <f>EXP(-LN(2)/25)*AA103+(1-EXP(-LN(2)/25))/(LN(2)/25)*Calculateur!V104*Calculateur!X104*VLOOKUP('Données projet'!$B$9,Paramètres!$A$1:$I$89,3,0)*0.475*44/12</f>
        <v>25.680469135103181</v>
      </c>
      <c r="AB104" s="21">
        <f>EXP(-LN(2)/2)*AB103+(1-EXP(-LN(2)/2))/(LN(2)/2)*V104*Y104*VLOOKUP('Données projet'!$B$9,Paramètres!$A$1:$I$89,3,0)*0.475*44/12</f>
        <v>7.7489681805707419E-4</v>
      </c>
      <c r="AC104" s="22">
        <f t="shared" si="57"/>
        <v>144.77561753623149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3.4</v>
      </c>
      <c r="AI104" s="13">
        <f>IF('Données projet'!$A$62&gt;35,AI103+AH104-AQ103,IF(A104&lt;'Données projet'!$A$62,$AF$205^A104,IF(A104='Données projet'!$A$62,'Données projet'!$B$62,AI103+AH104-AQ103)))</f>
        <v>115.40000000000003</v>
      </c>
      <c r="AJ104" s="13">
        <f>AI104*VLOOKUP('Données projet'!$B$10,Paramètres!$A$1:$I$89,3,0)*VLOOKUP('Données projet'!$B$10,Paramètres!$A$1:$I$89,5,0)</f>
        <v>104.41392000000003</v>
      </c>
      <c r="AK104" s="13">
        <f t="shared" si="89"/>
        <v>28.010895142032854</v>
      </c>
      <c r="AL104" s="20">
        <f t="shared" si="58"/>
        <v>230.63988637237392</v>
      </c>
      <c r="AM104" s="59">
        <f t="shared" si="59"/>
        <v>523.97321970570727</v>
      </c>
      <c r="AN104" s="59">
        <f ca="1">AVERAGE(OFFSET($AM$3,0,0,'Données projet'!$E$10+1,1))-AVERAGE(OFFSET($H$3,0,0,'Données projet'!$E$10+1,1))</f>
        <v>209.32570518924194</v>
      </c>
      <c r="AO104" s="59">
        <f t="shared" si="90"/>
        <v>138.10530102720475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0.92766245885697063</v>
      </c>
      <c r="AV104" s="21">
        <f>EXP(-LN(2)/25)*AV103+(1-EXP(-LN(2)/25))/(LN(2)/25)*Calculateur!AQ104*Calculateur!AS104*VLOOKUP('Données projet'!$B$10,Paramètres!$A$1:$I$89,3,0)*0.475*44/12</f>
        <v>13.940050251496022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14.867712710352992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219.86035935827329</v>
      </c>
      <c r="BJ104" s="59">
        <f t="shared" si="92"/>
        <v>322.75312534885239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74.736664594233403</v>
      </c>
      <c r="BQ104" s="21">
        <f>EXP(-LN(2)/25)*BQ103+(1-EXP(-LN(2)/25))/(LN(2)/25)*Calculateur!BL104*Calculateur!BN104*VLOOKUP('Données projet'!$B$11,Paramètres!$A$1:$I$89,3,0)*0.475*44/12</f>
        <v>13.52292827741802</v>
      </c>
      <c r="BR104" s="21">
        <f>EXP(-LN(2)/2)*BR103+(1-EXP(-LN(2)/2))/(LN(2)/2)*BL104*BO104*VLOOKUP('Données projet'!$B$11,Paramètres!$A$1:$I$89,3,0)*0.475*44/12</f>
        <v>1.9191624299719081E-5</v>
      </c>
      <c r="BS104" s="22">
        <f t="shared" si="63"/>
        <v>88.259612063275725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-2.8421709430404007E-13</v>
      </c>
      <c r="BZ104" s="13">
        <f>BY104*VLOOKUP('Données projet'!$B$12,Paramètres!$A$1:$I$89,3,0)*VLOOKUP('Données projet'!$B$12,Paramètres!$A$1:$I$89,5,0)</f>
        <v>-2.2612312022829427E-13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378.47278187128137</v>
      </c>
      <c r="CE104" s="59">
        <f t="shared" si="94"/>
        <v>372.59407061242604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93.746713655705847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93.746713655705847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29.437199999999962</v>
      </c>
      <c r="D105" s="11">
        <f t="shared" si="86"/>
        <v>9.151009600153909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148.93694933392726</v>
      </c>
      <c r="H105" s="67">
        <f t="shared" si="56"/>
        <v>323.87446505360134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-3.4106051316484809E-13</v>
      </c>
      <c r="O105" s="13">
        <f>N105*VLOOKUP('Données projet'!$B$9,Paramètres!$A$1:$I$89,3,0)*VLOOKUP('Données projet'!$B$9,Paramètres!$A$1:$I$89,5,0)</f>
        <v>-1.9065282685915009E-13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347.01106511825213</v>
      </c>
      <c r="T105" s="59">
        <f t="shared" si="88"/>
        <v>329.53392323581539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116.75900548028592</v>
      </c>
      <c r="AA105" s="21">
        <f>EXP(-LN(2)/25)*AA104+(1-EXP(-LN(2)/25))/(LN(2)/25)*Calculateur!V105*Calculateur!X105*VLOOKUP('Données projet'!$B$9,Paramètres!$A$1:$I$89,3,0)*0.475*44/12</f>
        <v>24.978235356126607</v>
      </c>
      <c r="AB105" s="21">
        <f>EXP(-LN(2)/2)*AB104+(1-EXP(-LN(2)/2))/(LN(2)/2)*V105*Y105*VLOOKUP('Données projet'!$B$9,Paramètres!$A$1:$I$89,3,0)*0.475*44/12</f>
        <v>5.4793479476803548E-4</v>
      </c>
      <c r="AC105" s="22">
        <f t="shared" si="57"/>
        <v>141.73778877120731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3.4</v>
      </c>
      <c r="AI105" s="13">
        <f>IF('Données projet'!$A$62&gt;35,AI104+AH105-AQ104,IF(A105&lt;'Données projet'!$A$62,$AF$205^A105,IF(A105='Données projet'!$A$62,'Données projet'!$B$62,AI104+AH105-AQ104)))</f>
        <v>118.80000000000004</v>
      </c>
      <c r="AJ105" s="13">
        <f>AI105*VLOOKUP('Données projet'!$B$10,Paramètres!$A$1:$I$89,3,0)*VLOOKUP('Données projet'!$B$10,Paramètres!$A$1:$I$89,5,0)</f>
        <v>107.49024000000004</v>
      </c>
      <c r="AK105" s="13">
        <f t="shared" si="89"/>
        <v>28.738873585294066</v>
      </c>
      <c r="AL105" s="20">
        <f t="shared" si="58"/>
        <v>237.26570616105383</v>
      </c>
      <c r="AM105" s="59">
        <f t="shared" si="59"/>
        <v>530.59903949438717</v>
      </c>
      <c r="AN105" s="59">
        <f ca="1">AVERAGE(OFFSET($AM$3,0,0,'Données projet'!$E$10+1,1))-AVERAGE(OFFSET($H$3,0,0,'Données projet'!$E$10+1,1))</f>
        <v>209.32570518924194</v>
      </c>
      <c r="AO105" s="59">
        <f t="shared" si="90"/>
        <v>138.10530102720475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0.90947156385701544</v>
      </c>
      <c r="AV105" s="21">
        <f>EXP(-LN(2)/25)*AV104+(1-EXP(-LN(2)/25))/(LN(2)/25)*Calculateur!AQ105*Calculateur!AS105*VLOOKUP('Données projet'!$B$10,Paramètres!$A$1:$I$89,3,0)*0.475*44/12</f>
        <v>13.55885884429348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14.468330408150496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219.86035935827329</v>
      </c>
      <c r="BJ105" s="59">
        <f t="shared" si="92"/>
        <v>322.75312534885239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73.271124186404762</v>
      </c>
      <c r="BQ105" s="21">
        <f>EXP(-LN(2)/25)*BQ104+(1-EXP(-LN(2)/25))/(LN(2)/25)*Calculateur!BL105*Calculateur!BN105*VLOOKUP('Données projet'!$B$11,Paramètres!$A$1:$I$89,3,0)*0.475*44/12</f>
        <v>13.153143092532133</v>
      </c>
      <c r="BR105" s="21">
        <f>EXP(-LN(2)/2)*BR104+(1-EXP(-LN(2)/2))/(LN(2)/2)*BL105*BO105*VLOOKUP('Données projet'!$B$11,Paramètres!$A$1:$I$89,3,0)*0.475*44/12</f>
        <v>1.3570527684315889E-5</v>
      </c>
      <c r="BS105" s="22">
        <f t="shared" si="63"/>
        <v>86.42428084946458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-2.8421709430404007E-13</v>
      </c>
      <c r="BZ105" s="13">
        <f>BY105*VLOOKUP('Données projet'!$B$12,Paramètres!$A$1:$I$89,3,0)*VLOOKUP('Données projet'!$B$12,Paramètres!$A$1:$I$89,5,0)</f>
        <v>-2.2612312022829427E-13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378.47278187128137</v>
      </c>
      <c r="CE105" s="59">
        <f t="shared" si="94"/>
        <v>372.59407061242604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91.908397780766748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91.908397780766748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29.72579999999996</v>
      </c>
      <c r="D106" s="11">
        <f t="shared" si="86"/>
        <v>9.2302373957190937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150.35663556242443</v>
      </c>
      <c r="H106" s="67">
        <f t="shared" si="56"/>
        <v>324.51509846421072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-3.4106051316484809E-13</v>
      </c>
      <c r="O106" s="13">
        <f>N106*VLOOKUP('Données projet'!$B$9,Paramètres!$A$1:$I$89,3,0)*VLOOKUP('Données projet'!$B$9,Paramètres!$A$1:$I$89,5,0)</f>
        <v>-1.9065282685915009E-13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347.01106511825213</v>
      </c>
      <c r="T106" s="59">
        <f t="shared" si="88"/>
        <v>329.53392323581539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114.46943259877887</v>
      </c>
      <c r="AA106" s="21">
        <f>EXP(-LN(2)/25)*AA105+(1-EXP(-LN(2)/25))/(LN(2)/25)*Calculateur!V106*Calculateur!X106*VLOOKUP('Données projet'!$B$9,Paramètres!$A$1:$I$89,3,0)*0.475*44/12</f>
        <v>24.295204196765017</v>
      </c>
      <c r="AB106" s="21">
        <f>EXP(-LN(2)/2)*AB105+(1-EXP(-LN(2)/2))/(LN(2)/2)*V106*Y106*VLOOKUP('Données projet'!$B$9,Paramètres!$A$1:$I$89,3,0)*0.475*44/12</f>
        <v>3.874484090285371E-4</v>
      </c>
      <c r="AC106" s="22">
        <f t="shared" si="57"/>
        <v>138.76502424395289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3.4</v>
      </c>
      <c r="AI106" s="13">
        <f>IF('Données projet'!$A$62&gt;35,AI105+AH106-AQ105,IF(A106&lt;'Données projet'!$A$62,$AF$205^A106,IF(A106='Données projet'!$A$62,'Données projet'!$B$62,AI105+AH106-AQ105)))</f>
        <v>122.20000000000005</v>
      </c>
      <c r="AJ106" s="13">
        <f>AI106*VLOOKUP('Données projet'!$B$10,Paramètres!$A$1:$I$89,3,0)*VLOOKUP('Données projet'!$B$10,Paramètres!$A$1:$I$89,5,0)</f>
        <v>110.56656000000004</v>
      </c>
      <c r="AK106" s="13">
        <f t="shared" si="89"/>
        <v>29.464430590067003</v>
      </c>
      <c r="AL106" s="20">
        <f t="shared" si="58"/>
        <v>243.8873086110334</v>
      </c>
      <c r="AM106" s="59">
        <f t="shared" si="59"/>
        <v>537.22064194436666</v>
      </c>
      <c r="AN106" s="59">
        <f ca="1">AVERAGE(OFFSET($AM$3,0,0,'Données projet'!$E$10+1,1))-AVERAGE(OFFSET($H$3,0,0,'Données projet'!$E$10+1,1))</f>
        <v>209.32570518924194</v>
      </c>
      <c r="AO106" s="59">
        <f t="shared" si="90"/>
        <v>138.10530102720475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0.89163738121265901</v>
      </c>
      <c r="AV106" s="21">
        <f>EXP(-LN(2)/25)*AV105+(1-EXP(-LN(2)/25))/(LN(2)/25)*Calculateur!AQ106*Calculateur!AS106*VLOOKUP('Données projet'!$B$10,Paramètres!$A$1:$I$89,3,0)*0.475*44/12</f>
        <v>13.188091136166877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14.079728517379536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219.86035935827329</v>
      </c>
      <c r="BJ106" s="59">
        <f t="shared" si="92"/>
        <v>322.75312534885239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71.834322132082249</v>
      </c>
      <c r="BQ106" s="21">
        <f>EXP(-LN(2)/25)*BQ105+(1-EXP(-LN(2)/25))/(LN(2)/25)*Calculateur!BL106*Calculateur!BN106*VLOOKUP('Données projet'!$B$11,Paramètres!$A$1:$I$89,3,0)*0.475*44/12</f>
        <v>12.793469702973109</v>
      </c>
      <c r="BR106" s="21">
        <f>EXP(-LN(2)/2)*BR105+(1-EXP(-LN(2)/2))/(LN(2)/2)*BL106*BO106*VLOOKUP('Données projet'!$B$11,Paramètres!$A$1:$I$89,3,0)*0.475*44/12</f>
        <v>9.5958121498595407E-6</v>
      </c>
      <c r="BS106" s="22">
        <f t="shared" si="63"/>
        <v>84.627801430867507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-2.8421709430404007E-13</v>
      </c>
      <c r="BZ106" s="13">
        <f>BY106*VLOOKUP('Données projet'!$B$12,Paramètres!$A$1:$I$89,3,0)*VLOOKUP('Données projet'!$B$12,Paramètres!$A$1:$I$89,5,0)</f>
        <v>-2.2612312022829427E-13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378.47278187128137</v>
      </c>
      <c r="CE106" s="59">
        <f t="shared" si="94"/>
        <v>372.59407061242604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90.106130158873228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90.106130158873228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30.014399999999959</v>
      </c>
      <c r="D107" s="11">
        <f t="shared" si="86"/>
        <v>9.3093757052690655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151.77597640630154</v>
      </c>
      <c r="H107" s="67">
        <f t="shared" si="56"/>
        <v>325.15557602001024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-3.4106051316484809E-13</v>
      </c>
      <c r="O107" s="13">
        <f>N107*VLOOKUP('Données projet'!$B$9,Paramètres!$A$1:$I$89,3,0)*VLOOKUP('Données projet'!$B$9,Paramètres!$A$1:$I$89,5,0)</f>
        <v>-1.9065282685915009E-13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347.01106511825213</v>
      </c>
      <c r="T107" s="59">
        <f t="shared" si="88"/>
        <v>329.53392323581539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112.2247568449766</v>
      </c>
      <c r="AA107" s="21">
        <f>EXP(-LN(2)/25)*AA106+(1-EXP(-LN(2)/25))/(LN(2)/25)*Calculateur!V107*Calculateur!X107*VLOOKUP('Données projet'!$B$9,Paramètres!$A$1:$I$89,3,0)*0.475*44/12</f>
        <v>23.630850560375215</v>
      </c>
      <c r="AB107" s="21">
        <f>EXP(-LN(2)/2)*AB106+(1-EXP(-LN(2)/2))/(LN(2)/2)*V107*Y107*VLOOKUP('Données projet'!$B$9,Paramètres!$A$1:$I$89,3,0)*0.475*44/12</f>
        <v>2.7396739738401774E-4</v>
      </c>
      <c r="AC107" s="22">
        <f t="shared" si="57"/>
        <v>135.8558813727492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3.4</v>
      </c>
      <c r="AI107" s="13">
        <f>IF('Données projet'!$A$62&gt;35,AI106+AH107-AQ106,IF(A107&lt;'Données projet'!$A$62,$AF$205^A107,IF(A107='Données projet'!$A$62,'Données projet'!$B$62,AI106+AH107-AQ106)))</f>
        <v>125.60000000000005</v>
      </c>
      <c r="AJ107" s="13">
        <f>AI107*VLOOKUP('Données projet'!$B$10,Paramètres!$A$1:$I$89,3,0)*VLOOKUP('Données projet'!$B$10,Paramètres!$A$1:$I$89,5,0)</f>
        <v>113.64288000000005</v>
      </c>
      <c r="AK107" s="13">
        <f t="shared" si="89"/>
        <v>30.187641268716654</v>
      </c>
      <c r="AL107" s="20">
        <f t="shared" si="58"/>
        <v>250.50482454301491</v>
      </c>
      <c r="AM107" s="59">
        <f t="shared" si="59"/>
        <v>543.83815787634819</v>
      </c>
      <c r="AN107" s="59">
        <f ca="1">AVERAGE(OFFSET($AM$3,0,0,'Données projet'!$E$10+1,1))-AVERAGE(OFFSET($H$3,0,0,'Données projet'!$E$10+1,1))</f>
        <v>209.32570518924194</v>
      </c>
      <c r="AO107" s="59">
        <f t="shared" si="90"/>
        <v>138.10530102720475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0.87415291601218104</v>
      </c>
      <c r="AV107" s="21">
        <f>EXP(-LN(2)/25)*AV106+(1-EXP(-LN(2)/25))/(LN(2)/25)*Calculateur!AQ107*Calculateur!AS107*VLOOKUP('Données projet'!$B$10,Paramètres!$A$1:$I$89,3,0)*0.475*44/12</f>
        <v>12.827462090516823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13.701615006529003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219.86035935827329</v>
      </c>
      <c r="BJ107" s="59">
        <f t="shared" si="92"/>
        <v>322.75312534885239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70.425694889682291</v>
      </c>
      <c r="BQ107" s="21">
        <f>EXP(-LN(2)/25)*BQ106+(1-EXP(-LN(2)/25))/(LN(2)/25)*Calculateur!BL107*Calculateur!BN107*VLOOKUP('Données projet'!$B$11,Paramètres!$A$1:$I$89,3,0)*0.475*44/12</f>
        <v>12.443631601165977</v>
      </c>
      <c r="BR107" s="21">
        <f>EXP(-LN(2)/2)*BR106+(1-EXP(-LN(2)/2))/(LN(2)/2)*BL107*BO107*VLOOKUP('Données projet'!$B$11,Paramètres!$A$1:$I$89,3,0)*0.475*44/12</f>
        <v>6.7852638421579445E-6</v>
      </c>
      <c r="BS107" s="22">
        <f t="shared" si="63"/>
        <v>82.869333276112101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-2.8421709430404007E-13</v>
      </c>
      <c r="BZ107" s="13">
        <f>BY107*VLOOKUP('Données projet'!$B$12,Paramètres!$A$1:$I$89,3,0)*VLOOKUP('Données projet'!$B$12,Paramètres!$A$1:$I$89,5,0)</f>
        <v>-2.2612312022829427E-13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378.47278187128137</v>
      </c>
      <c r="CE107" s="59">
        <f t="shared" si="94"/>
        <v>372.59407061242604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88.339203905770333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88.339203905770333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30.302999999999958</v>
      </c>
      <c r="D108" s="11">
        <f t="shared" si="86"/>
        <v>9.3884254888941321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153.19497557117018</v>
      </c>
      <c r="H108" s="67">
        <f t="shared" si="56"/>
        <v>325.79589939315724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-3.4106051316484809E-13</v>
      </c>
      <c r="O108" s="13">
        <f>N108*VLOOKUP('Données projet'!$B$9,Paramètres!$A$1:$I$89,3,0)*VLOOKUP('Données projet'!$B$9,Paramètres!$A$1:$I$89,5,0)</f>
        <v>-1.9065282685915009E-13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347.01106511825213</v>
      </c>
      <c r="T108" s="59">
        <f t="shared" si="88"/>
        <v>329.53392323581539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110.02409781358936</v>
      </c>
      <c r="AA108" s="21">
        <f>EXP(-LN(2)/25)*AA107+(1-EXP(-LN(2)/25))/(LN(2)/25)*Calculateur!V108*Calculateur!X108*VLOOKUP('Données projet'!$B$9,Paramètres!$A$1:$I$89,3,0)*0.475*44/12</f>
        <v>22.984663709109334</v>
      </c>
      <c r="AB108" s="21">
        <f>EXP(-LN(2)/2)*AB107+(1-EXP(-LN(2)/2))/(LN(2)/2)*V108*Y108*VLOOKUP('Données projet'!$B$9,Paramètres!$A$1:$I$89,3,0)*0.475*44/12</f>
        <v>1.9372420451426855E-4</v>
      </c>
      <c r="AC108" s="22">
        <f t="shared" si="57"/>
        <v>133.00895524690321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3.4</v>
      </c>
      <c r="AI108" s="13">
        <f>IF('Données projet'!$A$62&gt;35,AI107+AH108-AQ107,IF(A108&lt;'Données projet'!$A$62,$AF$205^A108,IF(A108='Données projet'!$A$62,'Données projet'!$B$62,AI107+AH108-AQ107)))</f>
        <v>129.00000000000006</v>
      </c>
      <c r="AJ108" s="13">
        <f>AI108*VLOOKUP('Données projet'!$B$10,Paramètres!$A$1:$I$89,3,0)*VLOOKUP('Données projet'!$B$10,Paramètres!$A$1:$I$89,5,0)</f>
        <v>116.71920000000004</v>
      </c>
      <c r="AK108" s="13">
        <f t="shared" si="89"/>
        <v>30.908576435525916</v>
      </c>
      <c r="AL108" s="20">
        <f t="shared" si="58"/>
        <v>257.11837729187437</v>
      </c>
      <c r="AM108" s="59">
        <f t="shared" si="59"/>
        <v>550.45171062520762</v>
      </c>
      <c r="AN108" s="59">
        <f ca="1">AVERAGE(OFFSET($AM$3,0,0,'Données projet'!$E$10+1,1))-AVERAGE(OFFSET($H$3,0,0,'Données projet'!$E$10+1,1))</f>
        <v>209.32570518924194</v>
      </c>
      <c r="AO108" s="59">
        <f t="shared" si="90"/>
        <v>138.10530102720475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0.85701131050981372</v>
      </c>
      <c r="AV108" s="21">
        <f>EXP(-LN(2)/25)*AV107+(1-EXP(-LN(2)/25))/(LN(2)/25)*Calculateur!AQ108*Calculateur!AS108*VLOOKUP('Données projet'!$B$10,Paramètres!$A$1:$I$89,3,0)*0.475*44/12</f>
        <v>12.476694465084726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13.33370577559454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219.86035935827329</v>
      </c>
      <c r="BJ108" s="59">
        <f t="shared" si="92"/>
        <v>322.75312534885239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69.044689968328001</v>
      </c>
      <c r="BQ108" s="21">
        <f>EXP(-LN(2)/25)*BQ107+(1-EXP(-LN(2)/25))/(LN(2)/25)*Calculateur!BL108*Calculateur!BN108*VLOOKUP('Données projet'!$B$11,Paramètres!$A$1:$I$89,3,0)*0.475*44/12</f>
        <v>12.103359840649949</v>
      </c>
      <c r="BR108" s="21">
        <f>EXP(-LN(2)/2)*BR107+(1-EXP(-LN(2)/2))/(LN(2)/2)*BL108*BO108*VLOOKUP('Données projet'!$B$11,Paramètres!$A$1:$I$89,3,0)*0.475*44/12</f>
        <v>4.7979060749297703E-6</v>
      </c>
      <c r="BS108" s="22">
        <f t="shared" si="63"/>
        <v>81.148054606884017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-2.8421709430404007E-13</v>
      </c>
      <c r="BZ108" s="13">
        <f>BY108*VLOOKUP('Données projet'!$B$12,Paramètres!$A$1:$I$89,3,0)*VLOOKUP('Données projet'!$B$12,Paramètres!$A$1:$I$89,5,0)</f>
        <v>-2.2612312022829427E-13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378.47278187128137</v>
      </c>
      <c r="CE108" s="59">
        <f t="shared" si="94"/>
        <v>372.59407061242604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86.606925998772198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86.606925998772198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30.591599999999957</v>
      </c>
      <c r="D109" s="11">
        <f t="shared" si="86"/>
        <v>9.4673876873426881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154.61363668798916</v>
      </c>
      <c r="H109" s="67">
        <f t="shared" si="56"/>
        <v>326.43607022212177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-3.4106051316484809E-13</v>
      </c>
      <c r="O109" s="13">
        <f>N109*VLOOKUP('Données projet'!$B$9,Paramètres!$A$1:$I$89,3,0)*VLOOKUP('Données projet'!$B$9,Paramètres!$A$1:$I$89,5,0)</f>
        <v>-1.9065282685915009E-13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347.01106511825213</v>
      </c>
      <c r="T109" s="59">
        <f t="shared" si="88"/>
        <v>329.53392323581539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107.86659236353817</v>
      </c>
      <c r="AA109" s="21">
        <f>EXP(-LN(2)/25)*AA108+(1-EXP(-LN(2)/25))/(LN(2)/25)*Calculateur!V109*Calculateur!X109*VLOOKUP('Données projet'!$B$9,Paramètres!$A$1:$I$89,3,0)*0.475*44/12</f>
        <v>22.356146871272806</v>
      </c>
      <c r="AB109" s="21">
        <f>EXP(-LN(2)/2)*AB108+(1-EXP(-LN(2)/2))/(LN(2)/2)*V109*Y109*VLOOKUP('Données projet'!$B$9,Paramètres!$A$1:$I$89,3,0)*0.475*44/12</f>
        <v>1.3698369869200887E-4</v>
      </c>
      <c r="AC109" s="22">
        <f t="shared" si="57"/>
        <v>130.22287621850967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3.4</v>
      </c>
      <c r="AI109" s="13">
        <f>IF('Données projet'!$A$62&gt;35,AI108+AH109-AQ108,IF(A109&lt;'Données projet'!$A$62,$AF$205^A109,IF(A109='Données projet'!$A$62,'Données projet'!$B$62,AI108+AH109-AQ108)))</f>
        <v>132.40000000000006</v>
      </c>
      <c r="AJ109" s="13">
        <f>AI109*VLOOKUP('Données projet'!$B$10,Paramètres!$A$1:$I$89,3,0)*VLOOKUP('Données projet'!$B$10,Paramètres!$A$1:$I$89,5,0)</f>
        <v>119.79552000000005</v>
      </c>
      <c r="AK109" s="13">
        <f t="shared" si="89"/>
        <v>31.627302959354271</v>
      </c>
      <c r="AL109" s="20">
        <f t="shared" si="58"/>
        <v>263.72808332087544</v>
      </c>
      <c r="AM109" s="59">
        <f t="shared" si="59"/>
        <v>557.06141665420876</v>
      </c>
      <c r="AN109" s="59">
        <f ca="1">AVERAGE(OFFSET($AM$3,0,0,'Données projet'!$E$10+1,1))-AVERAGE(OFFSET($H$3,0,0,'Données projet'!$E$10+1,1))</f>
        <v>209.32570518924194</v>
      </c>
      <c r="AO109" s="59">
        <f t="shared" si="90"/>
        <v>138.10530102720475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0.84020584143600086</v>
      </c>
      <c r="AV109" s="21">
        <f>EXP(-LN(2)/25)*AV108+(1-EXP(-LN(2)/25))/(LN(2)/25)*Calculateur!AQ109*Calculateur!AS109*VLOOKUP('Données projet'!$B$10,Paramètres!$A$1:$I$89,3,0)*0.475*44/12</f>
        <v>12.135518598816139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12.97572444025214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219.86035935827329</v>
      </c>
      <c r="BJ109" s="59">
        <f t="shared" si="92"/>
        <v>322.75312534885239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67.690765711151641</v>
      </c>
      <c r="BQ109" s="21">
        <f>EXP(-LN(2)/25)*BQ108+(1-EXP(-LN(2)/25))/(LN(2)/25)*Calculateur!BL109*Calculateur!BN109*VLOOKUP('Données projet'!$B$11,Paramètres!$A$1:$I$89,3,0)*0.475*44/12</f>
        <v>11.772392829319344</v>
      </c>
      <c r="BR109" s="21">
        <f>EXP(-LN(2)/2)*BR108+(1-EXP(-LN(2)/2))/(LN(2)/2)*BL109*BO109*VLOOKUP('Données projet'!$B$11,Paramètres!$A$1:$I$89,3,0)*0.475*44/12</f>
        <v>3.3926319210789723E-6</v>
      </c>
      <c r="BS109" s="22">
        <f t="shared" si="63"/>
        <v>79.46316193310291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-2.8421709430404007E-13</v>
      </c>
      <c r="BZ109" s="13">
        <f>BY109*VLOOKUP('Données projet'!$B$12,Paramètres!$A$1:$I$89,3,0)*VLOOKUP('Données projet'!$B$12,Paramètres!$A$1:$I$89,5,0)</f>
        <v>-2.2612312022829427E-13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378.47278187128137</v>
      </c>
      <c r="CE109" s="59">
        <f t="shared" si="94"/>
        <v>372.59407061242604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84.9086170049451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84.9086170049451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30.880199999999956</v>
      </c>
      <c r="D110" s="11">
        <f t="shared" si="86"/>
        <v>9.546263222589598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156.03196331525791</v>
      </c>
      <c r="H110" s="67">
        <f t="shared" si="56"/>
        <v>327.07609011267681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-3.4106051316484809E-13</v>
      </c>
      <c r="O110" s="13">
        <f>N110*VLOOKUP('Données projet'!$B$9,Paramètres!$A$1:$I$89,3,0)*VLOOKUP('Données projet'!$B$9,Paramètres!$A$1:$I$89,5,0)</f>
        <v>-1.9065282685915009E-13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347.01106511825213</v>
      </c>
      <c r="T110" s="59">
        <f t="shared" si="88"/>
        <v>329.53392323581539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105.7513942794141</v>
      </c>
      <c r="AA110" s="21">
        <f>EXP(-LN(2)/25)*AA109+(1-EXP(-LN(2)/25))/(LN(2)/25)*Calculateur!V110*Calculateur!X110*VLOOKUP('Données projet'!$B$9,Paramètres!$A$1:$I$89,3,0)*0.475*44/12</f>
        <v>21.744816859419181</v>
      </c>
      <c r="AB110" s="21">
        <f>EXP(-LN(2)/2)*AB109+(1-EXP(-LN(2)/2))/(LN(2)/2)*V110*Y110*VLOOKUP('Données projet'!$B$9,Paramètres!$A$1:$I$89,3,0)*0.475*44/12</f>
        <v>9.6862102257134274E-5</v>
      </c>
      <c r="AC110" s="22">
        <f t="shared" si="57"/>
        <v>127.49630800093553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3.4</v>
      </c>
      <c r="AI110" s="13">
        <f>IF('Données projet'!$A$62&gt;35,AI109+AH110-AQ109,IF(A110&lt;'Données projet'!$A$62,$AF$205^A110,IF(A110='Données projet'!$A$62,'Données projet'!$B$62,AI109+AH110-AQ109)))</f>
        <v>135.80000000000007</v>
      </c>
      <c r="AJ110" s="13">
        <f>AI110*VLOOKUP('Données projet'!$B$10,Paramètres!$A$1:$I$89,3,0)*VLOOKUP('Données projet'!$B$10,Paramètres!$A$1:$I$89,5,0)</f>
        <v>122.87184000000006</v>
      </c>
      <c r="AK110" s="13">
        <f t="shared" si="89"/>
        <v>32.343884079052209</v>
      </c>
      <c r="AL110" s="20">
        <f t="shared" si="58"/>
        <v>270.33405277101605</v>
      </c>
      <c r="AM110" s="59">
        <f t="shared" si="59"/>
        <v>563.66738610434936</v>
      </c>
      <c r="AN110" s="59">
        <f ca="1">AVERAGE(OFFSET($AM$3,0,0,'Données projet'!$E$10+1,1))-AVERAGE(OFFSET($H$3,0,0,'Données projet'!$E$10+1,1))</f>
        <v>209.32570518924194</v>
      </c>
      <c r="AO110" s="59">
        <f t="shared" si="90"/>
        <v>138.10530102720475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0.82372991736040146</v>
      </c>
      <c r="AV110" s="21">
        <f>EXP(-LN(2)/25)*AV109+(1-EXP(-LN(2)/25))/(LN(2)/25)*Calculateur!AQ110*Calculateur!AS110*VLOOKUP('Données projet'!$B$10,Paramètres!$A$1:$I$89,3,0)*0.475*44/12</f>
        <v>11.803672204552324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12.627402121912725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219.86035935827329</v>
      </c>
      <c r="BJ110" s="59">
        <f t="shared" si="92"/>
        <v>322.75312534885239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66.363391082846263</v>
      </c>
      <c r="BQ110" s="21">
        <f>EXP(-LN(2)/25)*BQ109+(1-EXP(-LN(2)/25))/(LN(2)/25)*Calculateur!BL110*Calculateur!BN110*VLOOKUP('Données projet'!$B$11,Paramètres!$A$1:$I$89,3,0)*0.475*44/12</f>
        <v>11.450476128318373</v>
      </c>
      <c r="BR110" s="21">
        <f>EXP(-LN(2)/2)*BR109+(1-EXP(-LN(2)/2))/(LN(2)/2)*BL110*BO110*VLOOKUP('Données projet'!$B$11,Paramètres!$A$1:$I$89,3,0)*0.475*44/12</f>
        <v>2.3989530374648852E-6</v>
      </c>
      <c r="BS110" s="22">
        <f t="shared" si="63"/>
        <v>77.813869610117678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-2.8421709430404007E-13</v>
      </c>
      <c r="BZ110" s="13">
        <f>BY110*VLOOKUP('Données projet'!$B$12,Paramètres!$A$1:$I$89,3,0)*VLOOKUP('Données projet'!$B$12,Paramètres!$A$1:$I$89,5,0)</f>
        <v>-2.2612312022829427E-13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378.47278187128137</v>
      </c>
      <c r="CE110" s="59">
        <f t="shared" si="94"/>
        <v>372.59407061242604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83.243610814620752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83.243610814620752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31.168799999999955</v>
      </c>
      <c r="D111" s="11">
        <f t="shared" si="86"/>
        <v>9.6250529983827064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157.44995894112608</v>
      </c>
      <c r="H111" s="67">
        <f t="shared" si="56"/>
        <v>327.71596063884982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-3.4106051316484809E-13</v>
      </c>
      <c r="O111" s="13">
        <f>N111*VLOOKUP('Données projet'!$B$9,Paramètres!$A$1:$I$89,3,0)*VLOOKUP('Données projet'!$B$9,Paramètres!$A$1:$I$89,5,0)</f>
        <v>-1.9065282685915009E-13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347.01106511825213</v>
      </c>
      <c r="T111" s="59">
        <f t="shared" si="88"/>
        <v>329.53392323581539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103.67767393957625</v>
      </c>
      <c r="AA111" s="21">
        <f>EXP(-LN(2)/25)*AA110+(1-EXP(-LN(2)/25))/(LN(2)/25)*Calculateur!V111*Calculateur!X111*VLOOKUP('Données projet'!$B$9,Paramètres!$A$1:$I$89,3,0)*0.475*44/12</f>
        <v>21.150203698888145</v>
      </c>
      <c r="AB111" s="21">
        <f>EXP(-LN(2)/2)*AB110+(1-EXP(-LN(2)/2))/(LN(2)/2)*V111*Y111*VLOOKUP('Données projet'!$B$9,Paramètres!$A$1:$I$89,3,0)*0.475*44/12</f>
        <v>6.8491849346004436E-5</v>
      </c>
      <c r="AC111" s="22">
        <f t="shared" si="57"/>
        <v>124.82794613031375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3.4</v>
      </c>
      <c r="AI111" s="13">
        <f>IF('Données projet'!$A$62&gt;35,AI110+AH111-AQ110,IF(A111&lt;'Données projet'!$A$62,$AF$205^A111,IF(A111='Données projet'!$A$62,'Données projet'!$B$62,AI110+AH111-AQ110)))</f>
        <v>139.20000000000007</v>
      </c>
      <c r="AJ111" s="13">
        <f>AI111*VLOOKUP('Données projet'!$B$10,Paramètres!$A$1:$I$89,3,0)*VLOOKUP('Données projet'!$B$10,Paramètres!$A$1:$I$89,5,0)</f>
        <v>125.94816000000006</v>
      </c>
      <c r="AK111" s="13">
        <f t="shared" si="89"/>
        <v>33.058379686398517</v>
      </c>
      <c r="AL111" s="20">
        <f t="shared" si="58"/>
        <v>276.93638995381087</v>
      </c>
      <c r="AM111" s="59">
        <f t="shared" si="59"/>
        <v>570.26972328714419</v>
      </c>
      <c r="AN111" s="59">
        <f ca="1">AVERAGE(OFFSET($AM$3,0,0,'Données projet'!$E$10+1,1))-AVERAGE(OFFSET($H$3,0,0,'Données projet'!$E$10+1,1))</f>
        <v>209.32570518924194</v>
      </c>
      <c r="AO111" s="59">
        <f t="shared" si="90"/>
        <v>138.10530102720475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0.80757707610660312</v>
      </c>
      <c r="AV111" s="21">
        <f>EXP(-LN(2)/25)*AV110+(1-EXP(-LN(2)/25))/(LN(2)/25)*Calculateur!AQ111*Calculateur!AS111*VLOOKUP('Données projet'!$B$10,Paramètres!$A$1:$I$89,3,0)*0.475*44/12</f>
        <v>11.480900167390697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12.288477243497301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219.86035935827329</v>
      </c>
      <c r="BJ111" s="59">
        <f t="shared" si="92"/>
        <v>322.75312534885239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65.062045461383377</v>
      </c>
      <c r="BQ111" s="21">
        <f>EXP(-LN(2)/25)*BQ110+(1-EXP(-LN(2)/25))/(LN(2)/25)*Calculateur!BL111*Calculateur!BN111*VLOOKUP('Données projet'!$B$11,Paramètres!$A$1:$I$89,3,0)*0.475*44/12</f>
        <v>11.137362256435138</v>
      </c>
      <c r="BR111" s="21">
        <f>EXP(-LN(2)/2)*BR110+(1-EXP(-LN(2)/2))/(LN(2)/2)*BL111*BO111*VLOOKUP('Données projet'!$B$11,Paramètres!$A$1:$I$89,3,0)*0.475*44/12</f>
        <v>1.6963159605394861E-6</v>
      </c>
      <c r="BS111" s="22">
        <f t="shared" si="63"/>
        <v>76.199409414134479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-2.8421709430404007E-13</v>
      </c>
      <c r="BZ111" s="13">
        <f>BY111*VLOOKUP('Données projet'!$B$12,Paramètres!$A$1:$I$89,3,0)*VLOOKUP('Données projet'!$B$12,Paramètres!$A$1:$I$89,5,0)</f>
        <v>-2.2612312022829427E-13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378.47278187128137</v>
      </c>
      <c r="CE111" s="59">
        <f t="shared" si="94"/>
        <v>372.59407061242604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81.611254380135165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81.611254380135165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31.457399999999954</v>
      </c>
      <c r="D112" s="11">
        <f t="shared" si="86"/>
        <v>9.7037579007685384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158.86762698542225</v>
      </c>
      <c r="H112" s="67">
        <f t="shared" si="56"/>
        <v>328.35568334383845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-3.4106051316484809E-13</v>
      </c>
      <c r="O112" s="13">
        <f>N112*VLOOKUP('Données projet'!$B$9,Paramètres!$A$1:$I$89,3,0)*VLOOKUP('Données projet'!$B$9,Paramètres!$A$1:$I$89,5,0)</f>
        <v>-1.9065282685915009E-13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347.01106511825213</v>
      </c>
      <c r="T112" s="59">
        <f t="shared" si="88"/>
        <v>329.53392323581539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101.64461799075812</v>
      </c>
      <c r="AA112" s="21">
        <f>EXP(-LN(2)/25)*AA111+(1-EXP(-LN(2)/25))/(LN(2)/25)*Calculateur!V112*Calculateur!X112*VLOOKUP('Données projet'!$B$9,Paramètres!$A$1:$I$89,3,0)*0.475*44/12</f>
        <v>20.571850266501176</v>
      </c>
      <c r="AB112" s="21">
        <f>EXP(-LN(2)/2)*AB111+(1-EXP(-LN(2)/2))/(LN(2)/2)*V112*Y112*VLOOKUP('Données projet'!$B$9,Paramètres!$A$1:$I$89,3,0)*0.475*44/12</f>
        <v>4.8431051128567137E-5</v>
      </c>
      <c r="AC112" s="22">
        <f t="shared" si="57"/>
        <v>122.21651668831042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3.4</v>
      </c>
      <c r="AI112" s="13">
        <f>IF('Données projet'!$A$62&gt;35,AI111+AH112-AQ111,IF(A112&lt;'Données projet'!$A$62,$AF$205^A112,IF(A112='Données projet'!$A$62,'Données projet'!$B$62,AI111+AH112-AQ111)))</f>
        <v>142.60000000000008</v>
      </c>
      <c r="AJ112" s="13">
        <f>AI112*VLOOKUP('Données projet'!$B$10,Paramètres!$A$1:$I$89,3,0)*VLOOKUP('Données projet'!$B$10,Paramètres!$A$1:$I$89,5,0)</f>
        <v>129.02448000000007</v>
      </c>
      <c r="AK112" s="13">
        <f t="shared" si="89"/>
        <v>33.770846580616279</v>
      </c>
      <c r="AL112" s="20">
        <f t="shared" si="58"/>
        <v>283.53519379457344</v>
      </c>
      <c r="AM112" s="59">
        <f t="shared" si="59"/>
        <v>576.86852712790676</v>
      </c>
      <c r="AN112" s="59">
        <f ca="1">AVERAGE(OFFSET($AM$3,0,0,'Données projet'!$E$10+1,1))-AVERAGE(OFFSET($H$3,0,0,'Données projet'!$E$10+1,1))</f>
        <v>209.32570518924194</v>
      </c>
      <c r="AO112" s="59">
        <f t="shared" si="90"/>
        <v>138.10530102720475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0.79174098221753153</v>
      </c>
      <c r="AV112" s="21">
        <f>EXP(-LN(2)/25)*AV111+(1-EXP(-LN(2)/25))/(LN(2)/25)*Calculateur!AQ112*Calculateur!AS112*VLOOKUP('Données projet'!$B$10,Paramètres!$A$1:$I$89,3,0)*0.475*44/12</f>
        <v>11.166954348559099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11.95869533077663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219.86035935827329</v>
      </c>
      <c r="BJ112" s="59">
        <f t="shared" si="92"/>
        <v>322.75312534885239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63.786218433814916</v>
      </c>
      <c r="BQ112" s="21">
        <f>EXP(-LN(2)/25)*BQ111+(1-EXP(-LN(2)/25))/(LN(2)/25)*Calculateur!BL112*Calculateur!BN112*VLOOKUP('Données projet'!$B$11,Paramètres!$A$1:$I$89,3,0)*0.475*44/12</f>
        <v>10.832810499844493</v>
      </c>
      <c r="BR112" s="21">
        <f>EXP(-LN(2)/2)*BR111+(1-EXP(-LN(2)/2))/(LN(2)/2)*BL112*BO112*VLOOKUP('Données projet'!$B$11,Paramètres!$A$1:$I$89,3,0)*0.475*44/12</f>
        <v>1.1994765187324426E-6</v>
      </c>
      <c r="BS112" s="22">
        <f t="shared" si="63"/>
        <v>74.619030133135922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-2.8421709430404007E-13</v>
      </c>
      <c r="BZ112" s="13">
        <f>BY112*VLOOKUP('Données projet'!$B$12,Paramètres!$A$1:$I$89,3,0)*VLOOKUP('Données projet'!$B$12,Paramètres!$A$1:$I$89,5,0)</f>
        <v>-2.2612312022829427E-13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378.47278187128137</v>
      </c>
      <c r="CE112" s="59">
        <f t="shared" si="94"/>
        <v>372.59407061242604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80.010907459690728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80.010907459690728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31.745999999999952</v>
      </c>
      <c r="D113" s="11">
        <f t="shared" si="86"/>
        <v>9.7823787985981507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160.2849708016067</v>
      </c>
      <c r="H113" s="67">
        <f t="shared" si="56"/>
        <v>328.9952597408917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-3.4106051316484809E-13</v>
      </c>
      <c r="O113" s="13">
        <f>N113*VLOOKUP('Données projet'!$B$9,Paramètres!$A$1:$I$89,3,0)*VLOOKUP('Données projet'!$B$9,Paramètres!$A$1:$I$89,5,0)</f>
        <v>-1.9065282685915009E-13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347.01106511825213</v>
      </c>
      <c r="T113" s="59">
        <f t="shared" si="88"/>
        <v>329.53392323581539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99.651429029054626</v>
      </c>
      <c r="AA113" s="21">
        <f>EXP(-LN(2)/25)*AA112+(1-EXP(-LN(2)/25))/(LN(2)/25)*Calculateur!V113*Calculateur!X113*VLOOKUP('Données projet'!$B$9,Paramètres!$A$1:$I$89,3,0)*0.475*44/12</f>
        <v>20.009311939137113</v>
      </c>
      <c r="AB113" s="21">
        <f>EXP(-LN(2)/2)*AB112+(1-EXP(-LN(2)/2))/(LN(2)/2)*V113*Y113*VLOOKUP('Données projet'!$B$9,Paramètres!$A$1:$I$89,3,0)*0.475*44/12</f>
        <v>3.4245924673002218E-5</v>
      </c>
      <c r="AC113" s="22">
        <f t="shared" si="57"/>
        <v>119.6607752141164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>
        <f>VLOOKUP(A113,'Données projet'!$A$61:$I$81,2,0)</f>
        <v>146</v>
      </c>
      <c r="AG113" s="12">
        <f>VLOOKUP(A113,'Données projet'!$A$61:$I$81,9,0)</f>
        <v>3.4</v>
      </c>
      <c r="AH113" s="12">
        <f t="array" ref="AH113">INDEX(AG:AG,MIN(IF(ISNUMBER(AG113:AG309),ROW(AG113:AG309),"")))</f>
        <v>3.4</v>
      </c>
      <c r="AI113" s="13">
        <f>IF('Données projet'!$A$62&gt;35,AI112+AH113-AQ112,IF(A113&lt;'Données projet'!$A$62,$AF$205^A113,IF(A113='Données projet'!$A$62,'Données projet'!$B$62,AI112+AH113-AQ112)))</f>
        <v>146.00000000000009</v>
      </c>
      <c r="AJ113" s="13">
        <f>AI113*VLOOKUP('Données projet'!$B$10,Paramètres!$A$1:$I$89,3,0)*VLOOKUP('Données projet'!$B$10,Paramètres!$A$1:$I$89,5,0)</f>
        <v>132.10080000000008</v>
      </c>
      <c r="AK113" s="13">
        <f t="shared" si="89"/>
        <v>34.48133869793115</v>
      </c>
      <c r="AL113" s="20">
        <f t="shared" si="58"/>
        <v>290.13055823223016</v>
      </c>
      <c r="AM113" s="59">
        <f t="shared" si="59"/>
        <v>583.46389156556347</v>
      </c>
      <c r="AN113" s="59">
        <f ca="1">AVERAGE(OFFSET($AM$3,0,0,'Données projet'!$E$10+1,1))-AVERAGE(OFFSET($H$3,0,0,'Données projet'!$E$10+1,1))</f>
        <v>209.32570518924194</v>
      </c>
      <c r="AO113" s="59">
        <f t="shared" si="90"/>
        <v>138.10530102720475</v>
      </c>
      <c r="AP113" s="15">
        <f>IF(ISNA(VLOOKUP(A113,'Données projet'!$A$61:$I$81,3,0)),0,VLOOKUP(A113,'Données projet'!$A$61:$I$81,3,0))</f>
        <v>7</v>
      </c>
      <c r="AQ113" s="15">
        <f>IF(ISNA(VLOOKUP(A113,'Données projet'!$A$61:$I$81,4,0)),0,VLOOKUP(A113,'Données projet'!$A$61:$I$81,4,0))</f>
        <v>24</v>
      </c>
      <c r="AR113" s="16">
        <f>IF(ISNA(VLOOKUP(A113,'Données projet'!$A$61:$I$81,5,0)),0%,VLOOKUP(A113,'Données projet'!$A$61:$I$81,5,0)*VLOOKUP('Données projet'!$B$10,Paramètres!$A$1:$I$89,7,0))</f>
        <v>0.129</v>
      </c>
      <c r="AS113" s="16">
        <f>IF(ISNA(VLOOKUP(A113,'Données projet'!$A$61:$I$81,6,0)),0%,VLOOKUP(A113,'Données projet'!$A$61:$I$81,6,0)*VLOOKUP('Données projet'!$B$10,Paramètres!$A$1:$I$89,7,0))</f>
        <v>0.15049999999999999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3.8729262642173365</v>
      </c>
      <c r="AV113" s="21">
        <f>EXP(-LN(2)/25)*AV112+(1-EXP(-LN(2)/25))/(LN(2)/25)*Calculateur!AQ113*Calculateur!AS113*VLOOKUP('Données projet'!$B$10,Paramètres!$A$1:$I$89,3,0)*0.475*44/12</f>
        <v>14.460197622089726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18.333123886307064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219.86035935827329</v>
      </c>
      <c r="BJ113" s="59">
        <f t="shared" si="92"/>
        <v>322.75312534885239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62.535409596079425</v>
      </c>
      <c r="BQ113" s="21">
        <f>EXP(-LN(2)/25)*BQ112+(1-EXP(-LN(2)/25))/(LN(2)/25)*Calculateur!BL113*Calculateur!BN113*VLOOKUP('Données projet'!$B$11,Paramètres!$A$1:$I$89,3,0)*0.475*44/12</f>
        <v>10.5365867270535</v>
      </c>
      <c r="BR113" s="21">
        <f>EXP(-LN(2)/2)*BR112+(1-EXP(-LN(2)/2))/(LN(2)/2)*BL113*BO113*VLOOKUP('Données projet'!$B$11,Paramètres!$A$1:$I$89,3,0)*0.475*44/12</f>
        <v>8.4815798026974307E-7</v>
      </c>
      <c r="BS113" s="22">
        <f t="shared" si="63"/>
        <v>73.071997171290903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-2.8421709430404007E-13</v>
      </c>
      <c r="BZ113" s="13">
        <f>BY113*VLOOKUP('Données projet'!$B$12,Paramètres!$A$1:$I$89,3,0)*VLOOKUP('Données projet'!$B$12,Paramètres!$A$1:$I$89,5,0)</f>
        <v>-2.2612312022829427E-13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378.47278187128137</v>
      </c>
      <c r="CE113" s="59">
        <f t="shared" si="94"/>
        <v>372.59407061242604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78.441942366240966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78.441942366240966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32.034599999999955</v>
      </c>
      <c r="D114" s="11">
        <f t="shared" si="86"/>
        <v>9.8609165440140618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161.70199367865058</v>
      </c>
      <c r="H114" s="67">
        <f t="shared" si="56"/>
        <v>329.63469131415775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-3.4106051316484809E-13</v>
      </c>
      <c r="O114" s="13">
        <f>N114*VLOOKUP('Données projet'!$B$9,Paramètres!$A$1:$I$89,3,0)*VLOOKUP('Données projet'!$B$9,Paramètres!$A$1:$I$89,5,0)</f>
        <v>-1.9065282685915009E-13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347.01106511825213</v>
      </c>
      <c r="T114" s="59">
        <f t="shared" si="88"/>
        <v>329.53392323581539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97.697325287164915</v>
      </c>
      <c r="AA114" s="21">
        <f>EXP(-LN(2)/25)*AA113+(1-EXP(-LN(2)/25))/(LN(2)/25)*Calculateur!V114*Calculateur!X114*VLOOKUP('Données projet'!$B$9,Paramètres!$A$1:$I$89,3,0)*0.475*44/12</f>
        <v>19.462156251917428</v>
      </c>
      <c r="AB114" s="21">
        <f>EXP(-LN(2)/2)*AB113+(1-EXP(-LN(2)/2))/(LN(2)/2)*V114*Y114*VLOOKUP('Données projet'!$B$9,Paramètres!$A$1:$I$89,3,0)*0.475*44/12</f>
        <v>2.4215525564283568E-5</v>
      </c>
      <c r="AC114" s="22">
        <f t="shared" si="57"/>
        <v>117.15950575460792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3.0833333333333335</v>
      </c>
      <c r="AI114" s="13">
        <f>IF('Données projet'!$A$62&gt;35,AI113+AH114-AQ113,IF(A114&lt;'Données projet'!$A$62,$AF$205^A114,IF(A114='Données projet'!$A$62,'Données projet'!$B$62,AI113+AH114-AQ113)))</f>
        <v>125.08333333333343</v>
      </c>
      <c r="AJ114" s="13">
        <f>AI114*VLOOKUP('Données projet'!$B$10,Paramètres!$A$1:$I$89,3,0)*VLOOKUP('Données projet'!$B$10,Paramètres!$A$1:$I$89,5,0)</f>
        <v>113.1754000000001</v>
      </c>
      <c r="AK114" s="13">
        <f t="shared" si="89"/>
        <v>30.077889933236836</v>
      </c>
      <c r="AL114" s="20">
        <f t="shared" si="58"/>
        <v>249.49947996705433</v>
      </c>
      <c r="AM114" s="59">
        <f t="shared" si="59"/>
        <v>542.83281330038767</v>
      </c>
      <c r="AN114" s="59">
        <f ca="1">AVERAGE(OFFSET($AM$3,0,0,'Données projet'!$E$10+1,1))-AVERAGE(OFFSET($H$3,0,0,'Données projet'!$E$10+1,1))</f>
        <v>209.32570518924194</v>
      </c>
      <c r="AO114" s="59">
        <f t="shared" si="90"/>
        <v>138.10530102720475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3.7969805424278027</v>
      </c>
      <c r="AV114" s="21">
        <f>EXP(-LN(2)/25)*AV113+(1-EXP(-LN(2)/25))/(LN(2)/25)*Calculateur!AQ114*Calculateur!AS114*VLOOKUP('Données projet'!$B$10,Paramètres!$A$1:$I$89,3,0)*0.475*44/12</f>
        <v>14.06478275768494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17.861763300112742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219.86035935827329</v>
      </c>
      <c r="BJ114" s="59">
        <f t="shared" si="92"/>
        <v>322.75312534885239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61.309128356733872</v>
      </c>
      <c r="BQ114" s="21">
        <f>EXP(-LN(2)/25)*BQ113+(1-EXP(-LN(2)/25))/(LN(2)/25)*Calculateur!BL114*Calculateur!BN114*VLOOKUP('Données projet'!$B$11,Paramètres!$A$1:$I$89,3,0)*0.475*44/12</f>
        <v>10.248463208907207</v>
      </c>
      <c r="BR114" s="21">
        <f>EXP(-LN(2)/2)*BR113+(1-EXP(-LN(2)/2))/(LN(2)/2)*BL114*BO114*VLOOKUP('Données projet'!$B$11,Paramètres!$A$1:$I$89,3,0)*0.475*44/12</f>
        <v>5.9973825936622129E-7</v>
      </c>
      <c r="BS114" s="22">
        <f t="shared" si="63"/>
        <v>71.557592165379333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-2.8421709430404007E-13</v>
      </c>
      <c r="BZ114" s="13">
        <f>BY114*VLOOKUP('Données projet'!$B$12,Paramètres!$A$1:$I$89,3,0)*VLOOKUP('Données projet'!$B$12,Paramètres!$A$1:$I$89,5,0)</f>
        <v>-2.2612312022829427E-13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378.47278187128137</v>
      </c>
      <c r="CE114" s="59">
        <f t="shared" si="94"/>
        <v>372.59407061242604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76.903743721299534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76.903743721299534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32.323199999999957</v>
      </c>
      <c r="D115" s="11">
        <f t="shared" si="86"/>
        <v>9.9393719729191368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163.11869884284565</v>
      </c>
      <c r="H115" s="67">
        <f t="shared" si="56"/>
        <v>330.27397951950076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-3.4106051316484809E-13</v>
      </c>
      <c r="O115" s="13">
        <f>N115*VLOOKUP('Données projet'!$B$9,Paramètres!$A$1:$I$89,3,0)*VLOOKUP('Données projet'!$B$9,Paramètres!$A$1:$I$89,5,0)</f>
        <v>-1.9065282685915009E-13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347.01106511825213</v>
      </c>
      <c r="T115" s="59">
        <f t="shared" si="88"/>
        <v>329.53392323581539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95.78154032776807</v>
      </c>
      <c r="AA115" s="21">
        <f>EXP(-LN(2)/25)*AA114+(1-EXP(-LN(2)/25))/(LN(2)/25)*Calculateur!V115*Calculateur!X115*VLOOKUP('Données projet'!$B$9,Paramètres!$A$1:$I$89,3,0)*0.475*44/12</f>
        <v>18.929962565738428</v>
      </c>
      <c r="AB115" s="21">
        <f>EXP(-LN(2)/2)*AB114+(1-EXP(-LN(2)/2))/(LN(2)/2)*V115*Y115*VLOOKUP('Données projet'!$B$9,Paramètres!$A$1:$I$89,3,0)*0.475*44/12</f>
        <v>1.7122962336501109E-5</v>
      </c>
      <c r="AC115" s="22">
        <f t="shared" si="57"/>
        <v>114.71152001646882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3.0833333333333335</v>
      </c>
      <c r="AI115" s="13">
        <f>IF('Données projet'!$A$62&gt;35,AI114+AH115-AQ114,IF(A115&lt;'Données projet'!$A$62,$AF$205^A115,IF(A115='Données projet'!$A$62,'Données projet'!$B$62,AI114+AH115-AQ114)))</f>
        <v>128.16666666666677</v>
      </c>
      <c r="AJ115" s="13">
        <f>AI115*VLOOKUP('Données projet'!$B$10,Paramètres!$A$1:$I$89,3,0)*VLOOKUP('Données projet'!$B$10,Paramètres!$A$1:$I$89,5,0)</f>
        <v>115.96520000000008</v>
      </c>
      <c r="AK115" s="13">
        <f t="shared" si="89"/>
        <v>30.732083470875732</v>
      </c>
      <c r="AL115" s="20">
        <f t="shared" si="58"/>
        <v>255.49776871177539</v>
      </c>
      <c r="AM115" s="59">
        <f t="shared" si="59"/>
        <v>548.83110204510876</v>
      </c>
      <c r="AN115" s="59">
        <f ca="1">AVERAGE(OFFSET($AM$3,0,0,'Données projet'!$E$10+1,1))-AVERAGE(OFFSET($H$3,0,0,'Données projet'!$E$10+1,1))</f>
        <v>209.32570518924194</v>
      </c>
      <c r="AO115" s="59">
        <f t="shared" si="90"/>
        <v>138.10530102720475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3.7225240699202455</v>
      </c>
      <c r="AV115" s="21">
        <f>EXP(-LN(2)/25)*AV114+(1-EXP(-LN(2)/25))/(LN(2)/25)*Calculateur!AQ115*Calculateur!AS115*VLOOKUP('Données projet'!$B$10,Paramètres!$A$1:$I$89,3,0)*0.475*44/12</f>
        <v>13.680180533541265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17.402704603461508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219.86035935827329</v>
      </c>
      <c r="BJ115" s="59">
        <f t="shared" si="92"/>
        <v>322.75312534885239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60.106893744534183</v>
      </c>
      <c r="BQ115" s="21">
        <f>EXP(-LN(2)/25)*BQ114+(1-EXP(-LN(2)/25))/(LN(2)/25)*Calculateur!BL115*Calculateur!BN115*VLOOKUP('Données projet'!$B$11,Paramètres!$A$1:$I$89,3,0)*0.475*44/12</f>
        <v>9.968218443516383</v>
      </c>
      <c r="BR115" s="21">
        <f>EXP(-LN(2)/2)*BR114+(1-EXP(-LN(2)/2))/(LN(2)/2)*BL115*BO115*VLOOKUP('Données projet'!$B$11,Paramètres!$A$1:$I$89,3,0)*0.475*44/12</f>
        <v>4.2407899013487153E-7</v>
      </c>
      <c r="BS115" s="22">
        <f t="shared" si="63"/>
        <v>70.075112612129558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-2.8421709430404007E-13</v>
      </c>
      <c r="BZ115" s="13">
        <f>BY115*VLOOKUP('Données projet'!$B$12,Paramètres!$A$1:$I$89,3,0)*VLOOKUP('Données projet'!$B$12,Paramètres!$A$1:$I$89,5,0)</f>
        <v>-2.2612312022829427E-13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378.47278187128137</v>
      </c>
      <c r="CE115" s="59">
        <f t="shared" si="94"/>
        <v>372.59407061242604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75.395708213576867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75.395708213576867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32.61179999999996</v>
      </c>
      <c r="D116" s="11">
        <f t="shared" si="86"/>
        <v>10.017745905428256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164.53508945954749</v>
      </c>
      <c r="H116" s="67">
        <f t="shared" si="56"/>
        <v>330.91312578528749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-3.4106051316484809E-13</v>
      </c>
      <c r="O116" s="13">
        <f>N116*VLOOKUP('Données projet'!$B$9,Paramètres!$A$1:$I$89,3,0)*VLOOKUP('Données projet'!$B$9,Paramètres!$A$1:$I$89,5,0)</f>
        <v>-1.9065282685915009E-13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347.01106511825213</v>
      </c>
      <c r="T116" s="59">
        <f t="shared" si="88"/>
        <v>329.53392323581539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93.903322742911541</v>
      </c>
      <c r="AA116" s="21">
        <f>EXP(-LN(2)/25)*AA115+(1-EXP(-LN(2)/25))/(LN(2)/25)*Calculateur!V116*Calculateur!X116*VLOOKUP('Données projet'!$B$9,Paramètres!$A$1:$I$89,3,0)*0.475*44/12</f>
        <v>18.412321743894843</v>
      </c>
      <c r="AB116" s="21">
        <f>EXP(-LN(2)/2)*AB115+(1-EXP(-LN(2)/2))/(LN(2)/2)*V116*Y116*VLOOKUP('Données projet'!$B$9,Paramètres!$A$1:$I$89,3,0)*0.475*44/12</f>
        <v>1.2107762782141784E-5</v>
      </c>
      <c r="AC116" s="22">
        <f t="shared" si="57"/>
        <v>112.31565659456916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3.0833333333333335</v>
      </c>
      <c r="AI116" s="13">
        <f>IF('Données projet'!$A$62&gt;35,AI115+AH116-AQ115,IF(A116&lt;'Données projet'!$A$62,$AF$205^A116,IF(A116='Données projet'!$A$62,'Données projet'!$B$62,AI115+AH116-AQ115)))</f>
        <v>131.25000000000011</v>
      </c>
      <c r="AJ116" s="13">
        <f>AI116*VLOOKUP('Données projet'!$B$10,Paramètres!$A$1:$I$89,3,0)*VLOOKUP('Données projet'!$B$10,Paramètres!$A$1:$I$89,5,0)</f>
        <v>118.75500000000009</v>
      </c>
      <c r="AK116" s="13">
        <f t="shared" si="89"/>
        <v>31.384447472481</v>
      </c>
      <c r="AL116" s="20">
        <f t="shared" si="58"/>
        <v>261.49287101457122</v>
      </c>
      <c r="AM116" s="59">
        <f t="shared" si="59"/>
        <v>554.82620434790454</v>
      </c>
      <c r="AN116" s="59">
        <f ca="1">AVERAGE(OFFSET($AM$3,0,0,'Données projet'!$E$10+1,1))-AVERAGE(OFFSET($H$3,0,0,'Données projet'!$E$10+1,1))</f>
        <v>209.32570518924194</v>
      </c>
      <c r="AO116" s="59">
        <f t="shared" si="90"/>
        <v>138.10530102720475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3.6495276434245976</v>
      </c>
      <c r="AV116" s="21">
        <f>EXP(-LN(2)/25)*AV115+(1-EXP(-LN(2)/25))/(LN(2)/25)*Calculateur!AQ116*Calculateur!AS116*VLOOKUP('Données projet'!$B$10,Paramètres!$A$1:$I$89,3,0)*0.475*44/12</f>
        <v>13.30609527744215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16.955622920866748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219.86035935827329</v>
      </c>
      <c r="BJ116" s="59">
        <f t="shared" si="92"/>
        <v>322.75312534885239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58.928234219789019</v>
      </c>
      <c r="BQ116" s="21">
        <f>EXP(-LN(2)/25)*BQ115+(1-EXP(-LN(2)/25))/(LN(2)/25)*Calculateur!BL116*Calculateur!BN116*VLOOKUP('Données projet'!$B$11,Paramètres!$A$1:$I$89,3,0)*0.475*44/12</f>
        <v>9.6956369859726017</v>
      </c>
      <c r="BR116" s="21">
        <f>EXP(-LN(2)/2)*BR115+(1-EXP(-LN(2)/2))/(LN(2)/2)*BL116*BO116*VLOOKUP('Données projet'!$B$11,Paramètres!$A$1:$I$89,3,0)*0.475*44/12</f>
        <v>2.9986912968311065E-7</v>
      </c>
      <c r="BS116" s="22">
        <f t="shared" si="63"/>
        <v>68.623871505630746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-2.8421709430404007E-13</v>
      </c>
      <c r="BZ116" s="13">
        <f>BY116*VLOOKUP('Données projet'!$B$12,Paramètres!$A$1:$I$89,3,0)*VLOOKUP('Données projet'!$B$12,Paramètres!$A$1:$I$89,5,0)</f>
        <v>-2.2612312022829427E-13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378.47278187128137</v>
      </c>
      <c r="CE116" s="59">
        <f t="shared" si="94"/>
        <v>372.59407061242604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73.917244362349805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73.917244362349805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32.900399999999962</v>
      </c>
      <c r="D117" s="11">
        <f t="shared" si="86"/>
        <v>10.096039146303495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165.95116863485546</v>
      </c>
      <c r="H117" s="67">
        <f t="shared" si="56"/>
        <v>331.55213151314518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-3.4106051316484809E-13</v>
      </c>
      <c r="O117" s="13">
        <f>N117*VLOOKUP('Données projet'!$B$9,Paramètres!$A$1:$I$89,3,0)*VLOOKUP('Données projet'!$B$9,Paramètres!$A$1:$I$89,5,0)</f>
        <v>-1.9065282685915009E-13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347.01106511825213</v>
      </c>
      <c r="T117" s="59">
        <f t="shared" si="88"/>
        <v>329.53392323581539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92.061935859294451</v>
      </c>
      <c r="AA117" s="21">
        <f>EXP(-LN(2)/25)*AA116+(1-EXP(-LN(2)/25))/(LN(2)/25)*Calculateur!V117*Calculateur!X117*VLOOKUP('Données projet'!$B$9,Paramètres!$A$1:$I$89,3,0)*0.475*44/12</f>
        <v>17.908835837546121</v>
      </c>
      <c r="AB117" s="21">
        <f>EXP(-LN(2)/2)*AB116+(1-EXP(-LN(2)/2))/(LN(2)/2)*V117*Y117*VLOOKUP('Données projet'!$B$9,Paramètres!$A$1:$I$89,3,0)*0.475*44/12</f>
        <v>8.5614811682505544E-6</v>
      </c>
      <c r="AC117" s="22">
        <f t="shared" si="57"/>
        <v>109.97078025832174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3.0833333333333335</v>
      </c>
      <c r="AI117" s="13">
        <f>IF('Données projet'!$A$62&gt;35,AI116+AH117-AQ116,IF(A117&lt;'Données projet'!$A$62,$AF$205^A117,IF(A117='Données projet'!$A$62,'Données projet'!$B$62,AI116+AH117-AQ116)))</f>
        <v>134.33333333333346</v>
      </c>
      <c r="AJ117" s="13">
        <f>AI117*VLOOKUP('Données projet'!$B$10,Paramètres!$A$1:$I$89,3,0)*VLOOKUP('Données projet'!$B$10,Paramètres!$A$1:$I$89,5,0)</f>
        <v>121.54480000000011</v>
      </c>
      <c r="AK117" s="13">
        <f t="shared" si="89"/>
        <v>32.035029863819865</v>
      </c>
      <c r="AL117" s="20">
        <f t="shared" si="58"/>
        <v>267.48487034615312</v>
      </c>
      <c r="AM117" s="59">
        <f t="shared" si="59"/>
        <v>560.81820367948649</v>
      </c>
      <c r="AN117" s="59">
        <f ca="1">AVERAGE(OFFSET($AM$3,0,0,'Données projet'!$E$10+1,1))-AVERAGE(OFFSET($H$3,0,0,'Données projet'!$E$10+1,1))</f>
        <v>209.32570518924194</v>
      </c>
      <c r="AO117" s="59">
        <f t="shared" si="90"/>
        <v>138.10530102720475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3.5779626323291054</v>
      </c>
      <c r="AV117" s="21">
        <f>EXP(-LN(2)/25)*AV116+(1-EXP(-LN(2)/25))/(LN(2)/25)*Calculateur!AQ117*Calculateur!AS117*VLOOKUP('Données projet'!$B$10,Paramètres!$A$1:$I$89,3,0)*0.475*44/12</f>
        <v>12.942239402343356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16.520202034672462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219.86035935827329</v>
      </c>
      <c r="BJ117" s="59">
        <f t="shared" si="92"/>
        <v>322.75312534885239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57.772687489412789</v>
      </c>
      <c r="BQ117" s="21">
        <f>EXP(-LN(2)/25)*BQ116+(1-EXP(-LN(2)/25))/(LN(2)/25)*Calculateur!BL117*Calculateur!BN117*VLOOKUP('Données projet'!$B$11,Paramètres!$A$1:$I$89,3,0)*0.475*44/12</f>
        <v>9.4305092827197914</v>
      </c>
      <c r="BR117" s="21">
        <f>EXP(-LN(2)/2)*BR116+(1-EXP(-LN(2)/2))/(LN(2)/2)*BL117*BO117*VLOOKUP('Données projet'!$B$11,Paramètres!$A$1:$I$89,3,0)*0.475*44/12</f>
        <v>2.1203949506743577E-7</v>
      </c>
      <c r="BS117" s="22">
        <f t="shared" si="63"/>
        <v>67.203196984172081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-2.8421709430404007E-13</v>
      </c>
      <c r="BZ117" s="13">
        <f>BY117*VLOOKUP('Données projet'!$B$12,Paramètres!$A$1:$I$89,3,0)*VLOOKUP('Données projet'!$B$12,Paramètres!$A$1:$I$89,5,0)</f>
        <v>-2.2612312022829427E-13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378.47278187128137</v>
      </c>
      <c r="CE117" s="59">
        <f t="shared" si="94"/>
        <v>372.59407061242604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72.467772285471412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72.467772285471412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33.188999999999965</v>
      </c>
      <c r="D118" s="11">
        <f t="shared" si="86"/>
        <v>10.174252485373664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167.36693941723158</v>
      </c>
      <c r="H118" s="67">
        <f t="shared" si="56"/>
        <v>332.19099807869242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-3.4106051316484809E-13</v>
      </c>
      <c r="O118" s="13">
        <f>N118*VLOOKUP('Données projet'!$B$9,Paramètres!$A$1:$I$89,3,0)*VLOOKUP('Données projet'!$B$9,Paramètres!$A$1:$I$89,5,0)</f>
        <v>-1.9065282685915009E-13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347.01106511825213</v>
      </c>
      <c r="T118" s="59">
        <f t="shared" si="88"/>
        <v>329.53392323581539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90.256657449329992</v>
      </c>
      <c r="AA118" s="21">
        <f>EXP(-LN(2)/25)*AA117+(1-EXP(-LN(2)/25))/(LN(2)/25)*Calculateur!V118*Calculateur!X118*VLOOKUP('Données projet'!$B$9,Paramètres!$A$1:$I$89,3,0)*0.475*44/12</f>
        <v>17.419117779783676</v>
      </c>
      <c r="AB118" s="21">
        <f>EXP(-LN(2)/2)*AB117+(1-EXP(-LN(2)/2))/(LN(2)/2)*V118*Y118*VLOOKUP('Données projet'!$B$9,Paramètres!$A$1:$I$89,3,0)*0.475*44/12</f>
        <v>6.0538813910708921E-6</v>
      </c>
      <c r="AC118" s="22">
        <f t="shared" si="57"/>
        <v>107.67578128299506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3.0833333333333335</v>
      </c>
      <c r="AI118" s="13">
        <f>IF('Données projet'!$A$62&gt;35,AI117+AH118-AQ117,IF(A118&lt;'Données projet'!$A$62,$AF$205^A118,IF(A118='Données projet'!$A$62,'Données projet'!$B$62,AI117+AH118-AQ117)))</f>
        <v>137.4166666666668</v>
      </c>
      <c r="AJ118" s="13">
        <f>AI118*VLOOKUP('Données projet'!$B$10,Paramètres!$A$1:$I$89,3,0)*VLOOKUP('Données projet'!$B$10,Paramètres!$A$1:$I$89,5,0)</f>
        <v>124.33460000000012</v>
      </c>
      <c r="AK118" s="13">
        <f t="shared" si="89"/>
        <v>32.683876245042413</v>
      </c>
      <c r="AL118" s="20">
        <f t="shared" si="58"/>
        <v>273.47384612678246</v>
      </c>
      <c r="AM118" s="59">
        <f t="shared" si="59"/>
        <v>566.80717946011578</v>
      </c>
      <c r="AN118" s="59">
        <f ca="1">AVERAGE(OFFSET($AM$3,0,0,'Données projet'!$E$10+1,1))-AVERAGE(OFFSET($H$3,0,0,'Données projet'!$E$10+1,1))</f>
        <v>209.32570518924194</v>
      </c>
      <c r="AO118" s="59">
        <f t="shared" si="90"/>
        <v>138.10530102720475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3.5078009674508488</v>
      </c>
      <c r="AV118" s="21">
        <f>EXP(-LN(2)/25)*AV117+(1-EXP(-LN(2)/25))/(LN(2)/25)*Calculateur!AQ118*Calculateur!AS118*VLOOKUP('Données projet'!$B$10,Paramètres!$A$1:$I$89,3,0)*0.475*44/12</f>
        <v>12.588333185283487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16.096134152734336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219.86035935827329</v>
      </c>
      <c r="BJ118" s="59">
        <f t="shared" si="92"/>
        <v>322.75312534885239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56.639800325605322</v>
      </c>
      <c r="BQ118" s="21">
        <f>EXP(-LN(2)/25)*BQ117+(1-EXP(-LN(2)/25))/(LN(2)/25)*Calculateur!BL118*Calculateur!BN118*VLOOKUP('Données projet'!$B$11,Paramètres!$A$1:$I$89,3,0)*0.475*44/12</f>
        <v>9.1726315104548899</v>
      </c>
      <c r="BR118" s="21">
        <f>EXP(-LN(2)/2)*BR117+(1-EXP(-LN(2)/2))/(LN(2)/2)*BL118*BO118*VLOOKUP('Données projet'!$B$11,Paramètres!$A$1:$I$89,3,0)*0.475*44/12</f>
        <v>1.4993456484155532E-7</v>
      </c>
      <c r="BS118" s="22">
        <f t="shared" si="63"/>
        <v>65.812431985994778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-2.8421709430404007E-13</v>
      </c>
      <c r="BZ118" s="13">
        <f>BY118*VLOOKUP('Données projet'!$B$12,Paramètres!$A$1:$I$89,3,0)*VLOOKUP('Données projet'!$B$12,Paramètres!$A$1:$I$89,5,0)</f>
        <v>-2.2612312022829427E-13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378.47278187128137</v>
      </c>
      <c r="CE118" s="59">
        <f t="shared" si="94"/>
        <v>372.59407061242604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71.046723471929923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71.046723471929923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33.477599999999967</v>
      </c>
      <c r="D119" s="11">
        <f t="shared" si="86"/>
        <v>10.252386697938785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168.78240479906188</v>
      </c>
      <c r="H119" s="67">
        <f t="shared" si="56"/>
        <v>332.82972683224335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-3.4106051316484809E-13</v>
      </c>
      <c r="O119" s="13">
        <f>N119*VLOOKUP('Données projet'!$B$9,Paramètres!$A$1:$I$89,3,0)*VLOOKUP('Données projet'!$B$9,Paramètres!$A$1:$I$89,5,0)</f>
        <v>-1.9065282685915009E-13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347.01106511825213</v>
      </c>
      <c r="T119" s="59">
        <f t="shared" si="88"/>
        <v>329.53392323581539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88.486779447873829</v>
      </c>
      <c r="AA119" s="21">
        <f>EXP(-LN(2)/25)*AA118+(1-EXP(-LN(2)/25))/(LN(2)/25)*Calculateur!V119*Calculateur!X119*VLOOKUP('Données projet'!$B$9,Paramètres!$A$1:$I$89,3,0)*0.475*44/12</f>
        <v>16.942791088063899</v>
      </c>
      <c r="AB119" s="21">
        <f>EXP(-LN(2)/2)*AB118+(1-EXP(-LN(2)/2))/(LN(2)/2)*V119*Y119*VLOOKUP('Données projet'!$B$9,Paramètres!$A$1:$I$89,3,0)*0.475*44/12</f>
        <v>4.2807405841252772E-6</v>
      </c>
      <c r="AC119" s="22">
        <f t="shared" si="57"/>
        <v>105.42957481667831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3.0833333333333335</v>
      </c>
      <c r="AI119" s="13">
        <f>IF('Données projet'!$A$62&gt;35,AI118+AH119-AQ118,IF(A119&lt;'Données projet'!$A$62,$AF$205^A119,IF(A119='Données projet'!$A$62,'Données projet'!$B$62,AI118+AH119-AQ118)))</f>
        <v>140.50000000000014</v>
      </c>
      <c r="AJ119" s="13">
        <f>AI119*VLOOKUP('Données projet'!$B$10,Paramètres!$A$1:$I$89,3,0)*VLOOKUP('Données projet'!$B$10,Paramètres!$A$1:$I$89,5,0)</f>
        <v>127.12440000000014</v>
      </c>
      <c r="AK119" s="13">
        <f t="shared" si="89"/>
        <v>33.331030053143557</v>
      </c>
      <c r="AL119" s="20">
        <f t="shared" si="58"/>
        <v>279.4598740092253</v>
      </c>
      <c r="AM119" s="59">
        <f t="shared" si="59"/>
        <v>572.79320734255862</v>
      </c>
      <c r="AN119" s="59">
        <f ca="1">AVERAGE(OFFSET($AM$3,0,0,'Données projet'!$E$10+1,1))-AVERAGE(OFFSET($H$3,0,0,'Données projet'!$E$10+1,1))</f>
        <v>209.32570518924194</v>
      </c>
      <c r="AO119" s="59">
        <f t="shared" si="90"/>
        <v>138.10530102720475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3.4390151300264651</v>
      </c>
      <c r="AV119" s="21">
        <f>EXP(-LN(2)/25)*AV118+(1-EXP(-LN(2)/25))/(LN(2)/25)*Calculateur!AQ119*Calculateur!AS119*VLOOKUP('Données projet'!$B$10,Paramètres!$A$1:$I$89,3,0)*0.475*44/12</f>
        <v>12.244104552340239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15.683119682366705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219.86035935827329</v>
      </c>
      <c r="BJ119" s="59">
        <f t="shared" si="92"/>
        <v>322.75312534885239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55.52912838808718</v>
      </c>
      <c r="BQ119" s="21">
        <f>EXP(-LN(2)/25)*BQ118+(1-EXP(-LN(2)/25))/(LN(2)/25)*Calculateur!BL119*Calculateur!BN119*VLOOKUP('Données projet'!$B$11,Paramètres!$A$1:$I$89,3,0)*0.475*44/12</f>
        <v>8.9218054194337739</v>
      </c>
      <c r="BR119" s="21">
        <f>EXP(-LN(2)/2)*BR118+(1-EXP(-LN(2)/2))/(LN(2)/2)*BL119*BO119*VLOOKUP('Données projet'!$B$11,Paramètres!$A$1:$I$89,3,0)*0.475*44/12</f>
        <v>1.0601974753371788E-7</v>
      </c>
      <c r="BS119" s="22">
        <f t="shared" si="63"/>
        <v>64.450933913540695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-2.8421709430404007E-13</v>
      </c>
      <c r="BZ119" s="13">
        <f>BY119*VLOOKUP('Données projet'!$B$12,Paramètres!$A$1:$I$89,3,0)*VLOOKUP('Données projet'!$B$12,Paramètres!$A$1:$I$89,5,0)</f>
        <v>-2.2612312022829427E-13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378.47278187128137</v>
      </c>
      <c r="CE119" s="59">
        <f t="shared" si="94"/>
        <v>372.59407061242604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69.653540558867789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69.653540558867789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33.766199999999969</v>
      </c>
      <c r="D120" s="11">
        <f t="shared" si="86"/>
        <v>10.330442545160237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170.19756771816222</v>
      </c>
      <c r="H120" s="67">
        <f t="shared" si="56"/>
        <v>333.46831909948736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-3.4106051316484809E-13</v>
      </c>
      <c r="O120" s="13">
        <f>N120*VLOOKUP('Données projet'!$B$9,Paramètres!$A$1:$I$89,3,0)*VLOOKUP('Données projet'!$B$9,Paramètres!$A$1:$I$89,5,0)</f>
        <v>-1.9065282685915009E-13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347.01106511825213</v>
      </c>
      <c r="T120" s="59">
        <f t="shared" si="88"/>
        <v>329.53392323581539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86.751607674507227</v>
      </c>
      <c r="AA120" s="21">
        <f>EXP(-LN(2)/25)*AA119+(1-EXP(-LN(2)/25))/(LN(2)/25)*Calculateur!V120*Calculateur!X120*VLOOKUP('Données projet'!$B$9,Paramètres!$A$1:$I$89,3,0)*0.475*44/12</f>
        <v>16.479489574778132</v>
      </c>
      <c r="AB120" s="21">
        <f>EXP(-LN(2)/2)*AB119+(1-EXP(-LN(2)/2))/(LN(2)/2)*V120*Y120*VLOOKUP('Données projet'!$B$9,Paramètres!$A$1:$I$89,3,0)*0.475*44/12</f>
        <v>3.0269406955354461E-6</v>
      </c>
      <c r="AC120" s="22">
        <f t="shared" si="57"/>
        <v>103.23110027622604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3.0833333333333335</v>
      </c>
      <c r="AI120" s="13">
        <f>IF('Données projet'!$A$62&gt;35,AI119+AH120-AQ119,IF(A120&lt;'Données projet'!$A$62,$AF$205^A120,IF(A120='Données projet'!$A$62,'Données projet'!$B$62,AI119+AH120-AQ119)))</f>
        <v>143.58333333333348</v>
      </c>
      <c r="AJ120" s="13">
        <f>AI120*VLOOKUP('Données projet'!$B$10,Paramètres!$A$1:$I$89,3,0)*VLOOKUP('Données projet'!$B$10,Paramètres!$A$1:$I$89,5,0)</f>
        <v>129.91420000000014</v>
      </c>
      <c r="AK120" s="13">
        <f t="shared" si="89"/>
        <v>33.976532709761713</v>
      </c>
      <c r="AL120" s="20">
        <f t="shared" si="58"/>
        <v>285.4430261361685</v>
      </c>
      <c r="AM120" s="59">
        <f t="shared" si="59"/>
        <v>578.77635946950181</v>
      </c>
      <c r="AN120" s="59">
        <f ca="1">AVERAGE(OFFSET($AM$3,0,0,'Données projet'!$E$10+1,1))-AVERAGE(OFFSET($H$3,0,0,'Données projet'!$E$10+1,1))</f>
        <v>209.32570518924194</v>
      </c>
      <c r="AO120" s="59">
        <f t="shared" si="90"/>
        <v>138.10530102720475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3.3715781409187553</v>
      </c>
      <c r="AV120" s="21">
        <f>EXP(-LN(2)/25)*AV119+(1-EXP(-LN(2)/25))/(LN(2)/25)*Calculateur!AQ120*Calculateur!AS120*VLOOKUP('Données projet'!$B$10,Paramètres!$A$1:$I$89,3,0)*0.475*44/12</f>
        <v>11.909288869467021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15.280867010385776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219.86035935827329</v>
      </c>
      <c r="BJ120" s="59">
        <f t="shared" si="92"/>
        <v>322.75312534885239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54.440236049820783</v>
      </c>
      <c r="BQ120" s="21">
        <f>EXP(-LN(2)/25)*BQ119+(1-EXP(-LN(2)/25))/(LN(2)/25)*Calculateur!BL120*Calculateur!BN120*VLOOKUP('Données projet'!$B$11,Paramètres!$A$1:$I$89,3,0)*0.475*44/12</f>
        <v>8.6778381810620022</v>
      </c>
      <c r="BR120" s="21">
        <f>EXP(-LN(2)/2)*BR119+(1-EXP(-LN(2)/2))/(LN(2)/2)*BL120*BO120*VLOOKUP('Données projet'!$B$11,Paramètres!$A$1:$I$89,3,0)*0.475*44/12</f>
        <v>7.4967282420777662E-8</v>
      </c>
      <c r="BS120" s="22">
        <f t="shared" si="63"/>
        <v>63.118074305850065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-2.8421709430404007E-13</v>
      </c>
      <c r="BZ120" s="13">
        <f>BY120*VLOOKUP('Données projet'!$B$12,Paramètres!$A$1:$I$89,3,0)*VLOOKUP('Données projet'!$B$12,Paramètres!$A$1:$I$89,5,0)</f>
        <v>-2.2612312022829427E-13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378.47278187128137</v>
      </c>
      <c r="CE120" s="59">
        <f t="shared" si="94"/>
        <v>372.59407061242604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68.287677112973142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68.287677112973142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34.054799999999972</v>
      </c>
      <c r="D121" s="11">
        <f t="shared" si="86"/>
        <v>10.408420774437181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171.61243105923111</v>
      </c>
      <c r="H121" s="67">
        <f t="shared" si="56"/>
        <v>334.1067761821447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-3.4106051316484809E-13</v>
      </c>
      <c r="O121" s="13">
        <f>N121*VLOOKUP('Données projet'!$B$9,Paramètres!$A$1:$I$89,3,0)*VLOOKUP('Données projet'!$B$9,Paramètres!$A$1:$I$89,5,0)</f>
        <v>-1.9065282685915009E-13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347.01106511825213</v>
      </c>
      <c r="T121" s="59">
        <f t="shared" si="88"/>
        <v>329.53392323581539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85.050461561266076</v>
      </c>
      <c r="AA121" s="21">
        <f>EXP(-LN(2)/25)*AA120+(1-EXP(-LN(2)/25))/(LN(2)/25)*Calculateur!V121*Calculateur!X121*VLOOKUP('Données projet'!$B$9,Paramètres!$A$1:$I$89,3,0)*0.475*44/12</f>
        <v>16.028857065737132</v>
      </c>
      <c r="AB121" s="21">
        <f>EXP(-LN(2)/2)*AB120+(1-EXP(-LN(2)/2))/(LN(2)/2)*V121*Y121*VLOOKUP('Données projet'!$B$9,Paramètres!$A$1:$I$89,3,0)*0.475*44/12</f>
        <v>2.1403702920626386E-6</v>
      </c>
      <c r="AC121" s="22">
        <f t="shared" si="57"/>
        <v>101.0793207673735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3.0833333333333335</v>
      </c>
      <c r="AI121" s="13">
        <f>IF('Données projet'!$A$62&gt;35,AI120+AH121-AQ120,IF(A121&lt;'Données projet'!$A$62,$AF$205^A121,IF(A121='Données projet'!$A$62,'Données projet'!$B$62,AI120+AH121-AQ120)))</f>
        <v>146.66666666666683</v>
      </c>
      <c r="AJ121" s="13">
        <f>AI121*VLOOKUP('Données projet'!$B$10,Paramètres!$A$1:$I$89,3,0)*VLOOKUP('Données projet'!$B$10,Paramètres!$A$1:$I$89,5,0)</f>
        <v>132.70400000000012</v>
      </c>
      <c r="AK121" s="13">
        <f t="shared" si="89"/>
        <v>34.620423755923852</v>
      </c>
      <c r="AL121" s="20">
        <f t="shared" si="58"/>
        <v>291.42337137490091</v>
      </c>
      <c r="AM121" s="59">
        <f t="shared" si="59"/>
        <v>584.75670470823422</v>
      </c>
      <c r="AN121" s="59">
        <f ca="1">AVERAGE(OFFSET($AM$3,0,0,'Données projet'!$E$10+1,1))-AVERAGE(OFFSET($H$3,0,0,'Données projet'!$E$10+1,1))</f>
        <v>209.32570518924194</v>
      </c>
      <c r="AO121" s="59">
        <f t="shared" si="90"/>
        <v>138.10530102720475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3.3054635500349461</v>
      </c>
      <c r="AV121" s="21">
        <f>EXP(-LN(2)/25)*AV120+(1-EXP(-LN(2)/25))/(LN(2)/25)*Calculateur!AQ121*Calculateur!AS121*VLOOKUP('Données projet'!$B$10,Paramètres!$A$1:$I$89,3,0)*0.475*44/12</f>
        <v>11.583628739049162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14.889092289084108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219.86035935827329</v>
      </c>
      <c r="BJ121" s="59">
        <f t="shared" si="92"/>
        <v>322.75312534885239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53.372696226149039</v>
      </c>
      <c r="BQ121" s="21">
        <f>EXP(-LN(2)/25)*BQ120+(1-EXP(-LN(2)/25))/(LN(2)/25)*Calculateur!BL121*Calculateur!BN121*VLOOKUP('Données projet'!$B$11,Paramètres!$A$1:$I$89,3,0)*0.475*44/12</f>
        <v>8.4405422396531851</v>
      </c>
      <c r="BR121" s="21">
        <f>EXP(-LN(2)/2)*BR120+(1-EXP(-LN(2)/2))/(LN(2)/2)*BL121*BO121*VLOOKUP('Données projet'!$B$11,Paramètres!$A$1:$I$89,3,0)*0.475*44/12</f>
        <v>5.3009873766858942E-8</v>
      </c>
      <c r="BS121" s="22">
        <f t="shared" si="63"/>
        <v>61.813238518812092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-2.8421709430404007E-13</v>
      </c>
      <c r="BZ121" s="13">
        <f>BY121*VLOOKUP('Données projet'!$B$12,Paramètres!$A$1:$I$89,3,0)*VLOOKUP('Données projet'!$B$12,Paramètres!$A$1:$I$89,5,0)</f>
        <v>-2.2612312022829427E-13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378.47278187128137</v>
      </c>
      <c r="CE121" s="59">
        <f t="shared" si="94"/>
        <v>372.59407061242604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66.948597416158051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66.948597416158051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34.343399999999974</v>
      </c>
      <c r="D122" s="11">
        <f t="shared" si="86"/>
        <v>10.486322119769868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173.02699765525202</v>
      </c>
      <c r="H122" s="67">
        <f t="shared" si="56"/>
        <v>334.74509935859913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-3.4106051316484809E-13</v>
      </c>
      <c r="O122" s="13">
        <f>N122*VLOOKUP('Données projet'!$B$9,Paramètres!$A$1:$I$89,3,0)*VLOOKUP('Données projet'!$B$9,Paramètres!$A$1:$I$89,5,0)</f>
        <v>-1.9065282685915009E-13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347.01106511825213</v>
      </c>
      <c r="T122" s="59">
        <f t="shared" si="88"/>
        <v>329.53392323581539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83.382673885708911</v>
      </c>
      <c r="AA122" s="21">
        <f>EXP(-LN(2)/25)*AA121+(1-EXP(-LN(2)/25))/(LN(2)/25)*Calculateur!V122*Calculateur!X122*VLOOKUP('Données projet'!$B$9,Paramètres!$A$1:$I$89,3,0)*0.475*44/12</f>
        <v>15.590547126353592</v>
      </c>
      <c r="AB122" s="21">
        <f>EXP(-LN(2)/2)*AB121+(1-EXP(-LN(2)/2))/(LN(2)/2)*V122*Y122*VLOOKUP('Données projet'!$B$9,Paramètres!$A$1:$I$89,3,0)*0.475*44/12</f>
        <v>1.513470347767723E-6</v>
      </c>
      <c r="AC122" s="22">
        <f t="shared" si="57"/>
        <v>98.973222525532861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3.0833333333333335</v>
      </c>
      <c r="AI122" s="13">
        <f>IF('Données projet'!$A$62&gt;35,AI121+AH122-AQ121,IF(A122&lt;'Données projet'!$A$62,$AF$205^A122,IF(A122='Données projet'!$A$62,'Données projet'!$B$62,AI121+AH122-AQ121)))</f>
        <v>149.75000000000017</v>
      </c>
      <c r="AJ122" s="13">
        <f>AI122*VLOOKUP('Données projet'!$B$10,Paramètres!$A$1:$I$89,3,0)*VLOOKUP('Données projet'!$B$10,Paramètres!$A$1:$I$89,5,0)</f>
        <v>135.49380000000014</v>
      </c>
      <c r="AK122" s="13">
        <f t="shared" si="89"/>
        <v>35.262740975139863</v>
      </c>
      <c r="AL122" s="20">
        <f t="shared" si="58"/>
        <v>297.40097553170216</v>
      </c>
      <c r="AM122" s="59">
        <f t="shared" si="59"/>
        <v>590.73430886503547</v>
      </c>
      <c r="AN122" s="59">
        <f ca="1">AVERAGE(OFFSET($AM$3,0,0,'Données projet'!$E$10+1,1))-AVERAGE(OFFSET($H$3,0,0,'Données projet'!$E$10+1,1))</f>
        <v>209.32570518924194</v>
      </c>
      <c r="AO122" s="59">
        <f t="shared" si="90"/>
        <v>138.10530102720475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3.2406454259524495</v>
      </c>
      <c r="AV122" s="21">
        <f>EXP(-LN(2)/25)*AV121+(1-EXP(-LN(2)/25))/(LN(2)/25)*Calculateur!AQ122*Calculateur!AS122*VLOOKUP('Données projet'!$B$10,Paramètres!$A$1:$I$89,3,0)*0.475*44/12</f>
        <v>11.266873802023303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14.507519227975752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219.86035935827329</v>
      </c>
      <c r="BJ122" s="59">
        <f t="shared" si="92"/>
        <v>322.75312534885239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52.326090207284501</v>
      </c>
      <c r="BQ122" s="21">
        <f>EXP(-LN(2)/25)*BQ121+(1-EXP(-LN(2)/25))/(LN(2)/25)*Calculateur!BL122*Calculateur!BN122*VLOOKUP('Données projet'!$B$11,Paramètres!$A$1:$I$89,3,0)*0.475*44/12</f>
        <v>8.2097351682410427</v>
      </c>
      <c r="BR122" s="21">
        <f>EXP(-LN(2)/2)*BR121+(1-EXP(-LN(2)/2))/(LN(2)/2)*BL122*BO122*VLOOKUP('Données projet'!$B$11,Paramètres!$A$1:$I$89,3,0)*0.475*44/12</f>
        <v>3.7483641210388831E-8</v>
      </c>
      <c r="BS122" s="22">
        <f t="shared" si="63"/>
        <v>60.535825413009192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-2.8421709430404007E-13</v>
      </c>
      <c r="BZ122" s="13">
        <f>BY122*VLOOKUP('Données projet'!$B$12,Paramètres!$A$1:$I$89,3,0)*VLOOKUP('Données projet'!$B$12,Paramètres!$A$1:$I$89,5,0)</f>
        <v>-2.2612312022829427E-13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378.47278187128137</v>
      </c>
      <c r="CE122" s="59">
        <f t="shared" si="94"/>
        <v>372.59407061242604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65.635776255439538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65.635776255439538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34.631999999999977</v>
      </c>
      <c r="D123" s="11">
        <f t="shared" si="86"/>
        <v>10.564147302110387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174.44127028884702</v>
      </c>
      <c r="H123" s="67">
        <f t="shared" si="56"/>
        <v>335.38328988450888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-3.4106051316484809E-13</v>
      </c>
      <c r="O123" s="13">
        <f>N123*VLOOKUP('Données projet'!$B$9,Paramètres!$A$1:$I$89,3,0)*VLOOKUP('Données projet'!$B$9,Paramètres!$A$1:$I$89,5,0)</f>
        <v>-1.9065282685915009E-13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347.01106511825213</v>
      </c>
      <c r="T123" s="59">
        <f t="shared" si="88"/>
        <v>329.53392323581539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81.747590509219378</v>
      </c>
      <c r="AA123" s="21">
        <f>EXP(-LN(2)/25)*AA122+(1-EXP(-LN(2)/25))/(LN(2)/25)*Calculateur!V123*Calculateur!X123*VLOOKUP('Données projet'!$B$9,Paramètres!$A$1:$I$89,3,0)*0.475*44/12</f>
        <v>15.164222795312211</v>
      </c>
      <c r="AB123" s="21">
        <f>EXP(-LN(2)/2)*AB122+(1-EXP(-LN(2)/2))/(LN(2)/2)*V123*Y123*VLOOKUP('Données projet'!$B$9,Paramètres!$A$1:$I$89,3,0)*0.475*44/12</f>
        <v>1.0701851460313193E-6</v>
      </c>
      <c r="AC123" s="22">
        <f t="shared" si="57"/>
        <v>96.911814374716741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3.0833333333333335</v>
      </c>
      <c r="AI123" s="13">
        <f>IF('Données projet'!$A$62&gt;35,AI122+AH123-AQ122,IF(A123&lt;'Données projet'!$A$62,$AF$205^A123,IF(A123='Données projet'!$A$62,'Données projet'!$B$62,AI122+AH123-AQ122)))</f>
        <v>152.83333333333351</v>
      </c>
      <c r="AJ123" s="13">
        <f>AI123*VLOOKUP('Données projet'!$B$10,Paramètres!$A$1:$I$89,3,0)*VLOOKUP('Données projet'!$B$10,Paramètres!$A$1:$I$89,5,0)</f>
        <v>138.28360000000015</v>
      </c>
      <c r="AK123" s="13">
        <f t="shared" si="89"/>
        <v>35.903520506072589</v>
      </c>
      <c r="AL123" s="20">
        <f t="shared" si="58"/>
        <v>303.37590154807668</v>
      </c>
      <c r="AM123" s="59">
        <f t="shared" si="59"/>
        <v>596.70923488141</v>
      </c>
      <c r="AN123" s="59">
        <f ca="1">AVERAGE(OFFSET($AM$3,0,0,'Données projet'!$E$10+1,1))-AVERAGE(OFFSET($H$3,0,0,'Données projet'!$E$10+1,1))</f>
        <v>209.32570518924194</v>
      </c>
      <c r="AO123" s="59">
        <f t="shared" si="90"/>
        <v>138.10530102720475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3.177098345748059</v>
      </c>
      <c r="AV123" s="21">
        <f>EXP(-LN(2)/25)*AV122+(1-EXP(-LN(2)/25))/(LN(2)/25)*Calculateur!AQ123*Calculateur!AS123*VLOOKUP('Données projet'!$B$10,Paramètres!$A$1:$I$89,3,0)*0.475*44/12</f>
        <v>10.958780545407834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14.135878891155892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219.86035935827329</v>
      </c>
      <c r="BJ123" s="59">
        <f t="shared" si="92"/>
        <v>322.75312534885239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51.30000749408326</v>
      </c>
      <c r="BQ123" s="21">
        <f>EXP(-LN(2)/25)*BQ122+(1-EXP(-LN(2)/25))/(LN(2)/25)*Calculateur!BL123*Calculateur!BN123*VLOOKUP('Données projet'!$B$11,Paramètres!$A$1:$I$89,3,0)*0.475*44/12</f>
        <v>7.9852395283342821</v>
      </c>
      <c r="BR123" s="21">
        <f>EXP(-LN(2)/2)*BR122+(1-EXP(-LN(2)/2))/(LN(2)/2)*BL123*BO123*VLOOKUP('Données projet'!$B$11,Paramètres!$A$1:$I$89,3,0)*0.475*44/12</f>
        <v>2.6504936883429471E-8</v>
      </c>
      <c r="BS123" s="22">
        <f t="shared" si="63"/>
        <v>59.285247048922479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-2.8421709430404007E-13</v>
      </c>
      <c r="BZ123" s="13">
        <f>BY123*VLOOKUP('Données projet'!$B$12,Paramètres!$A$1:$I$89,3,0)*VLOOKUP('Données projet'!$B$12,Paramètres!$A$1:$I$89,5,0)</f>
        <v>-2.2612312022829427E-13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378.47278187128137</v>
      </c>
      <c r="CE123" s="59">
        <f t="shared" si="94"/>
        <v>372.59407061242604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64.348698716940874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64.348698716940874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34.920599999999979</v>
      </c>
      <c r="D124" s="11">
        <f t="shared" si="86"/>
        <v>10.64189702970134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175.85525169358402</v>
      </c>
      <c r="H124" s="67">
        <f t="shared" si="56"/>
        <v>336.02134899339649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-3.4106051316484809E-13</v>
      </c>
      <c r="O124" s="13">
        <f>N124*VLOOKUP('Données projet'!$B$9,Paramètres!$A$1:$I$89,3,0)*VLOOKUP('Données projet'!$B$9,Paramètres!$A$1:$I$89,5,0)</f>
        <v>-1.9065282685915009E-13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347.01106511825213</v>
      </c>
      <c r="T124" s="59">
        <f t="shared" si="88"/>
        <v>329.53392323581539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80.14457012044042</v>
      </c>
      <c r="AA124" s="21">
        <f>EXP(-LN(2)/25)*AA123+(1-EXP(-LN(2)/25))/(LN(2)/25)*Calculateur!V124*Calculateur!X124*VLOOKUP('Données projet'!$B$9,Paramètres!$A$1:$I$89,3,0)*0.475*44/12</f>
        <v>14.74955632552258</v>
      </c>
      <c r="AB124" s="21">
        <f>EXP(-LN(2)/2)*AB123+(1-EXP(-LN(2)/2))/(LN(2)/2)*V124*Y124*VLOOKUP('Données projet'!$B$9,Paramètres!$A$1:$I$89,3,0)*0.475*44/12</f>
        <v>7.5673517388386151E-7</v>
      </c>
      <c r="AC124" s="22">
        <f t="shared" si="57"/>
        <v>94.894127202698172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3.0833333333333335</v>
      </c>
      <c r="AI124" s="13">
        <f>IF('Données projet'!$A$62&gt;35,AI123+AH124-AQ123,IF(A124&lt;'Données projet'!$A$62,$AF$205^A124,IF(A124='Données projet'!$A$62,'Données projet'!$B$62,AI123+AH124-AQ123)))</f>
        <v>155.91666666666686</v>
      </c>
      <c r="AJ124" s="13">
        <f>AI124*VLOOKUP('Données projet'!$B$10,Paramètres!$A$1:$I$89,3,0)*VLOOKUP('Données projet'!$B$10,Paramètres!$A$1:$I$89,5,0)</f>
        <v>141.07340000000016</v>
      </c>
      <c r="AK124" s="13">
        <f t="shared" si="89"/>
        <v>36.542796945859337</v>
      </c>
      <c r="AL124" s="20">
        <f t="shared" si="58"/>
        <v>309.34820968070522</v>
      </c>
      <c r="AM124" s="59">
        <f t="shared" si="59"/>
        <v>602.68154301403854</v>
      </c>
      <c r="AN124" s="59">
        <f ca="1">AVERAGE(OFFSET($AM$3,0,0,'Données projet'!$E$10+1,1))-AVERAGE(OFFSET($H$3,0,0,'Données projet'!$E$10+1,1))</f>
        <v>209.32570518924194</v>
      </c>
      <c r="AO124" s="59">
        <f t="shared" si="90"/>
        <v>138.10530102720475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3.1147973850265847</v>
      </c>
      <c r="AV124" s="21">
        <f>EXP(-LN(2)/25)*AV123+(1-EXP(-LN(2)/25))/(LN(2)/25)*Calculateur!AQ124*Calculateur!AS124*VLOOKUP('Données projet'!$B$10,Paramètres!$A$1:$I$89,3,0)*0.475*44/12</f>
        <v>10.659112115096434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13.773909500123018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219.86035935827329</v>
      </c>
      <c r="BJ124" s="59">
        <f t="shared" si="92"/>
        <v>322.75312534885239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50.29404563703924</v>
      </c>
      <c r="BQ124" s="21">
        <f>EXP(-LN(2)/25)*BQ123+(1-EXP(-LN(2)/25))/(LN(2)/25)*Calculateur!BL124*Calculateur!BN124*VLOOKUP('Données projet'!$B$11,Paramètres!$A$1:$I$89,3,0)*0.475*44/12</f>
        <v>7.7668827335064847</v>
      </c>
      <c r="BR124" s="21">
        <f>EXP(-LN(2)/2)*BR123+(1-EXP(-LN(2)/2))/(LN(2)/2)*BL124*BO124*VLOOKUP('Données projet'!$B$11,Paramètres!$A$1:$I$89,3,0)*0.475*44/12</f>
        <v>1.8741820605194415E-8</v>
      </c>
      <c r="BS124" s="22">
        <f t="shared" si="63"/>
        <v>58.060928389287547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-2.8421709430404007E-13</v>
      </c>
      <c r="BZ124" s="13">
        <f>BY124*VLOOKUP('Données projet'!$B$12,Paramètres!$A$1:$I$89,3,0)*VLOOKUP('Données projet'!$B$12,Paramètres!$A$1:$I$89,5,0)</f>
        <v>-2.2612312022829427E-13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378.47278187128137</v>
      </c>
      <c r="CE124" s="59">
        <f t="shared" si="94"/>
        <v>372.59407061242604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63.086859983932378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63.086859983932378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35.209199999999981</v>
      </c>
      <c r="D125" s="11">
        <f t="shared" si="86"/>
        <v>10.719571998403076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177.26894455523987</v>
      </c>
      <c r="H125" s="67">
        <f t="shared" si="56"/>
        <v>336.65927789721866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-3.4106051316484809E-13</v>
      </c>
      <c r="O125" s="13">
        <f>N125*VLOOKUP('Données projet'!$B$9,Paramètres!$A$1:$I$89,3,0)*VLOOKUP('Données projet'!$B$9,Paramètres!$A$1:$I$89,5,0)</f>
        <v>-1.9065282685915009E-13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347.01106511825213</v>
      </c>
      <c r="T125" s="59">
        <f t="shared" si="88"/>
        <v>329.53392323581539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78.572983983739519</v>
      </c>
      <c r="AA125" s="21">
        <f>EXP(-LN(2)/25)*AA124+(1-EXP(-LN(2)/25))/(LN(2)/25)*Calculateur!V125*Calculateur!X125*VLOOKUP('Données projet'!$B$9,Paramètres!$A$1:$I$89,3,0)*0.475*44/12</f>
        <v>14.346228932155707</v>
      </c>
      <c r="AB125" s="21">
        <f>EXP(-LN(2)/2)*AB124+(1-EXP(-LN(2)/2))/(LN(2)/2)*V125*Y125*VLOOKUP('Données projet'!$B$9,Paramètres!$A$1:$I$89,3,0)*0.475*44/12</f>
        <v>5.3509257301565965E-7</v>
      </c>
      <c r="AC125" s="22">
        <f t="shared" si="57"/>
        <v>92.919213450987797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>
        <f>VLOOKUP(A125,'Données projet'!$A$61:$I$81,2,0)</f>
        <v>159</v>
      </c>
      <c r="AG125" s="12">
        <f>VLOOKUP(A125,'Données projet'!$A$61:$I$81,9,0)</f>
        <v>3.0833333333333335</v>
      </c>
      <c r="AH125" s="12">
        <f t="array" ref="AH125">INDEX(AG:AG,MIN(IF(ISNUMBER(AG125:AG321),ROW(AG125:AG321),"")))</f>
        <v>3.0833333333333335</v>
      </c>
      <c r="AI125" s="13">
        <f>IF('Données projet'!$A$62&gt;35,AI124+AH125-AQ124,IF(A125&lt;'Données projet'!$A$62,$AF$205^A125,IF(A125='Données projet'!$A$62,'Données projet'!$B$62,AI124+AH125-AQ124)))</f>
        <v>159.0000000000002</v>
      </c>
      <c r="AJ125" s="13">
        <f>AI125*VLOOKUP('Données projet'!$B$10,Paramètres!$A$1:$I$89,3,0)*VLOOKUP('Données projet'!$B$10,Paramètres!$A$1:$I$89,5,0)</f>
        <v>143.86320000000018</v>
      </c>
      <c r="AK125" s="13">
        <f t="shared" si="89"/>
        <v>37.180603445028808</v>
      </c>
      <c r="AL125" s="20">
        <f t="shared" si="58"/>
        <v>315.31795766675879</v>
      </c>
      <c r="AM125" s="59">
        <f t="shared" si="59"/>
        <v>608.6512910000921</v>
      </c>
      <c r="AN125" s="59">
        <f ca="1">AVERAGE(OFFSET($AM$3,0,0,'Données projet'!$E$10+1,1))-AVERAGE(OFFSET($H$3,0,0,'Données projet'!$E$10+1,1))</f>
        <v>209.32570518924194</v>
      </c>
      <c r="AO125" s="59">
        <f t="shared" si="90"/>
        <v>138.10530102720475</v>
      </c>
      <c r="AP125" s="15">
        <f>IF(ISNA(VLOOKUP(A125,'Données projet'!$A$61:$I$81,3,0)),0,VLOOKUP(A125,'Données projet'!$A$61:$I$81,3,0))</f>
        <v>8</v>
      </c>
      <c r="AQ125" s="15">
        <f>IF(ISNA(VLOOKUP(A125,'Données projet'!$A$61:$I$81,4,0)),0,VLOOKUP(A125,'Données projet'!$A$61:$I$81,4,0))</f>
        <v>25</v>
      </c>
      <c r="AR125" s="16">
        <f>IF(ISNA(VLOOKUP(A125,'Données projet'!$A$61:$I$81,5,0)),0%,VLOOKUP(A125,'Données projet'!$A$61:$I$81,5,0)*VLOOKUP('Données projet'!$B$10,Paramètres!$A$1:$I$89,7,0))</f>
        <v>0.17200000000000001</v>
      </c>
      <c r="AS125" s="16">
        <f>IF(ISNA(VLOOKUP(A125,'Données projet'!$A$61:$I$81,6,0)),0%,VLOOKUP(A125,'Données projet'!$A$61:$I$81,6,0)*VLOOKUP('Données projet'!$B$10,Paramètres!$A$1:$I$89,7,0))</f>
        <v>0.129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7.3547053855711013</v>
      </c>
      <c r="AV125" s="21">
        <f>EXP(-LN(2)/25)*AV124+(1-EXP(-LN(2)/25))/(LN(2)/25)*Calculateur!AQ125*Calculateur!AS125*VLOOKUP('Données projet'!$B$10,Paramètres!$A$1:$I$89,3,0)*0.475*44/12</f>
        <v>13.58067762255344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20.935383008124539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219.86035935827329</v>
      </c>
      <c r="BJ125" s="59">
        <f t="shared" si="92"/>
        <v>322.75312534885239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49.307810078435701</v>
      </c>
      <c r="BQ125" s="21">
        <f>EXP(-LN(2)/25)*BQ124+(1-EXP(-LN(2)/25))/(LN(2)/25)*Calculateur!BL125*Calculateur!BN125*VLOOKUP('Données projet'!$B$11,Paramètres!$A$1:$I$89,3,0)*0.475*44/12</f>
        <v>7.554496916716138</v>
      </c>
      <c r="BR125" s="21">
        <f>EXP(-LN(2)/2)*BR124+(1-EXP(-LN(2)/2))/(LN(2)/2)*BL125*BO125*VLOOKUP('Données projet'!$B$11,Paramètres!$A$1:$I$89,3,0)*0.475*44/12</f>
        <v>1.3252468441714735E-8</v>
      </c>
      <c r="BS125" s="22">
        <f t="shared" si="63"/>
        <v>56.862307008404308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-2.8421709430404007E-13</v>
      </c>
      <c r="BZ125" s="13">
        <f>BY125*VLOOKUP('Données projet'!$B$12,Paramètres!$A$1:$I$89,3,0)*VLOOKUP('Données projet'!$B$12,Paramètres!$A$1:$I$89,5,0)</f>
        <v>-2.2612312022829427E-13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378.47278187128137</v>
      </c>
      <c r="CE125" s="59">
        <f t="shared" si="94"/>
        <v>372.59407061242604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61.849765138832552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61.849765138832552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35.497799999999984</v>
      </c>
      <c r="D126" s="11">
        <f t="shared" si="86"/>
        <v>10.797172892009833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178.68235151302034</v>
      </c>
      <c r="H126" s="67">
        <f t="shared" si="56"/>
        <v>337.2970777869171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-3.4106051316484809E-13</v>
      </c>
      <c r="O126" s="13">
        <f>N126*VLOOKUP('Données projet'!$B$9,Paramètres!$A$1:$I$89,3,0)*VLOOKUP('Données projet'!$B$9,Paramètres!$A$1:$I$89,5,0)</f>
        <v>-1.9065282685915009E-13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347.01106511825213</v>
      </c>
      <c r="T126" s="59">
        <f t="shared" si="88"/>
        <v>329.53392323581539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77.032215692606442</v>
      </c>
      <c r="AA126" s="21">
        <f>EXP(-LN(2)/25)*AA125+(1-EXP(-LN(2)/25))/(LN(2)/25)*Calculateur!V126*Calculateur!X126*VLOOKUP('Données projet'!$B$9,Paramètres!$A$1:$I$89,3,0)*0.475*44/12</f>
        <v>13.953930547570518</v>
      </c>
      <c r="AB126" s="21">
        <f>EXP(-LN(2)/2)*AB125+(1-EXP(-LN(2)/2))/(LN(2)/2)*V126*Y126*VLOOKUP('Données projet'!$B$9,Paramètres!$A$1:$I$89,3,0)*0.475*44/12</f>
        <v>3.7836758694193076E-7</v>
      </c>
      <c r="AC126" s="22">
        <f t="shared" si="57"/>
        <v>90.986146618544552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3.0833333333333335</v>
      </c>
      <c r="AI126" s="13">
        <f>IF('Données projet'!$A$62&gt;35,AI125+AH126-AQ125,IF(A126&lt;'Données projet'!$A$62,$AF$205^A126,IF(A126='Données projet'!$A$62,'Données projet'!$B$62,AI125+AH126-AQ125)))</f>
        <v>137.08333333333354</v>
      </c>
      <c r="AJ126" s="13">
        <f>AI126*VLOOKUP('Données projet'!$B$10,Paramètres!$A$1:$I$89,3,0)*VLOOKUP('Données projet'!$B$10,Paramètres!$A$1:$I$89,5,0)</f>
        <v>124.03300000000019</v>
      </c>
      <c r="AK126" s="13">
        <f t="shared" si="89"/>
        <v>32.613813045922242</v>
      </c>
      <c r="AL126" s="20">
        <f t="shared" si="58"/>
        <v>272.82653272164822</v>
      </c>
      <c r="AM126" s="59">
        <f t="shared" si="59"/>
        <v>566.15986605498153</v>
      </c>
      <c r="AN126" s="59">
        <f ca="1">AVERAGE(OFFSET($AM$3,0,0,'Données projet'!$E$10+1,1))-AVERAGE(OFFSET($H$3,0,0,'Données projet'!$E$10+1,1))</f>
        <v>209.32570518924194</v>
      </c>
      <c r="AO126" s="59">
        <f t="shared" si="90"/>
        <v>138.10530102720475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7.2104840988873891</v>
      </c>
      <c r="AV126" s="21">
        <f>EXP(-LN(2)/25)*AV125+(1-EXP(-LN(2)/25))/(LN(2)/25)*Calculateur!AQ126*Calculateur!AS126*VLOOKUP('Données projet'!$B$10,Paramètres!$A$1:$I$89,3,0)*0.475*44/12</f>
        <v>13.209313278787919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20.419797377675309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219.86035935827329</v>
      </c>
      <c r="BJ126" s="59">
        <f t="shared" si="92"/>
        <v>322.75312534885239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48.340913997592082</v>
      </c>
      <c r="BQ126" s="21">
        <f>EXP(-LN(2)/25)*BQ125+(1-EXP(-LN(2)/25))/(LN(2)/25)*Calculateur!BL126*Calculateur!BN126*VLOOKUP('Données projet'!$B$11,Paramètres!$A$1:$I$89,3,0)*0.475*44/12</f>
        <v>7.3479188012548082</v>
      </c>
      <c r="BR126" s="21">
        <f>EXP(-LN(2)/2)*BR125+(1-EXP(-LN(2)/2))/(LN(2)/2)*BL126*BO126*VLOOKUP('Données projet'!$B$11,Paramètres!$A$1:$I$89,3,0)*0.475*44/12</f>
        <v>9.3709103025972077E-9</v>
      </c>
      <c r="BS126" s="22">
        <f t="shared" si="63"/>
        <v>55.688832808217796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-2.8421709430404007E-13</v>
      </c>
      <c r="BZ126" s="13">
        <f>BY126*VLOOKUP('Données projet'!$B$12,Paramètres!$A$1:$I$89,3,0)*VLOOKUP('Données projet'!$B$12,Paramètres!$A$1:$I$89,5,0)</f>
        <v>-2.2612312022829427E-13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378.47278187128137</v>
      </c>
      <c r="CE126" s="59">
        <f t="shared" si="94"/>
        <v>372.59407061242604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60.636928969091784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60.636928969091784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35.786399999999986</v>
      </c>
      <c r="D127" s="11">
        <f t="shared" si="86"/>
        <v>10.874700382555316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180.09547516073977</v>
      </c>
      <c r="H127" s="67">
        <f t="shared" si="56"/>
        <v>337.9347498329505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-3.4106051316484809E-13</v>
      </c>
      <c r="O127" s="13">
        <f>N127*VLOOKUP('Données projet'!$B$9,Paramètres!$A$1:$I$89,3,0)*VLOOKUP('Données projet'!$B$9,Paramètres!$A$1:$I$89,5,0)</f>
        <v>-1.9065282685915009E-13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347.01106511825213</v>
      </c>
      <c r="T127" s="59">
        <f t="shared" si="88"/>
        <v>329.53392323581539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75.521660927886614</v>
      </c>
      <c r="AA127" s="21">
        <f>EXP(-LN(2)/25)*AA126+(1-EXP(-LN(2)/25))/(LN(2)/25)*Calculateur!V127*Calculateur!X127*VLOOKUP('Données projet'!$B$9,Paramètres!$A$1:$I$89,3,0)*0.475*44/12</f>
        <v>13.572359582941887</v>
      </c>
      <c r="AB127" s="21">
        <f>EXP(-LN(2)/2)*AB126+(1-EXP(-LN(2)/2))/(LN(2)/2)*V127*Y127*VLOOKUP('Données projet'!$B$9,Paramètres!$A$1:$I$89,3,0)*0.475*44/12</f>
        <v>2.6754628650782983E-7</v>
      </c>
      <c r="AC127" s="22">
        <f t="shared" si="57"/>
        <v>89.094020778374784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3.0833333333333335</v>
      </c>
      <c r="AI127" s="13">
        <f>IF('Données projet'!$A$62&gt;35,AI126+AH127-AQ126,IF(A127&lt;'Données projet'!$A$62,$AF$205^A127,IF(A127='Données projet'!$A$62,'Données projet'!$B$62,AI126+AH127-AQ126)))</f>
        <v>140.16666666666688</v>
      </c>
      <c r="AJ127" s="13">
        <f>AI127*VLOOKUP('Données projet'!$B$10,Paramètres!$A$1:$I$89,3,0)*VLOOKUP('Données projet'!$B$10,Paramètres!$A$1:$I$89,5,0)</f>
        <v>126.82280000000019</v>
      </c>
      <c r="AK127" s="13">
        <f t="shared" si="89"/>
        <v>33.26114780323914</v>
      </c>
      <c r="AL127" s="20">
        <f t="shared" si="58"/>
        <v>278.81287575730846</v>
      </c>
      <c r="AM127" s="59">
        <f t="shared" si="59"/>
        <v>572.14620909064183</v>
      </c>
      <c r="AN127" s="59">
        <f ca="1">AVERAGE(OFFSET($AM$3,0,0,'Données projet'!$E$10+1,1))-AVERAGE(OFFSET($H$3,0,0,'Données projet'!$E$10+1,1))</f>
        <v>209.32570518924194</v>
      </c>
      <c r="AO127" s="59">
        <f t="shared" si="90"/>
        <v>138.10530102720475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7.0690909036692453</v>
      </c>
      <c r="AV127" s="21">
        <f>EXP(-LN(2)/25)*AV126+(1-EXP(-LN(2)/25))/(LN(2)/25)*Calculateur!AQ127*Calculateur!AS127*VLOOKUP('Données projet'!$B$10,Paramètres!$A$1:$I$89,3,0)*0.475*44/12</f>
        <v>12.848103912531869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19.917194816201114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219.86035935827329</v>
      </c>
      <c r="BJ127" s="59">
        <f t="shared" si="92"/>
        <v>322.75312534885239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47.392978159145436</v>
      </c>
      <c r="BQ127" s="21">
        <f>EXP(-LN(2)/25)*BQ126+(1-EXP(-LN(2)/25))/(LN(2)/25)*Calculateur!BL127*Calculateur!BN127*VLOOKUP('Données projet'!$B$11,Paramètres!$A$1:$I$89,3,0)*0.475*44/12</f>
        <v>7.1469895752242394</v>
      </c>
      <c r="BR127" s="21">
        <f>EXP(-LN(2)/2)*BR126+(1-EXP(-LN(2)/2))/(LN(2)/2)*BL127*BO127*VLOOKUP('Données projet'!$B$11,Paramètres!$A$1:$I$89,3,0)*0.475*44/12</f>
        <v>6.6262342208573677E-9</v>
      </c>
      <c r="BS127" s="22">
        <f t="shared" si="63"/>
        <v>54.539967740995912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-2.8421709430404007E-13</v>
      </c>
      <c r="BZ127" s="13">
        <f>BY127*VLOOKUP('Données projet'!$B$12,Paramètres!$A$1:$I$89,3,0)*VLOOKUP('Données projet'!$B$12,Paramètres!$A$1:$I$89,5,0)</f>
        <v>-2.2612312022829427E-13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378.47278187128137</v>
      </c>
      <c r="CE127" s="59">
        <f t="shared" si="94"/>
        <v>372.59407061242604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59.447875776882611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59.447875776882611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36.074999999999989</v>
      </c>
      <c r="D128" s="11">
        <f t="shared" si="86"/>
        <v>10.952155130608158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181.5083180479613</v>
      </c>
      <c r="H128" s="67">
        <f t="shared" si="56"/>
        <v>338.5722951858092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-3.4106051316484809E-13</v>
      </c>
      <c r="O128" s="13">
        <f>N128*VLOOKUP('Données projet'!$B$9,Paramètres!$A$1:$I$89,3,0)*VLOOKUP('Données projet'!$B$9,Paramètres!$A$1:$I$89,5,0)</f>
        <v>-1.9065282685915009E-13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347.01106511825213</v>
      </c>
      <c r="T128" s="59">
        <f t="shared" si="88"/>
        <v>329.53392323581539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74.040727220755514</v>
      </c>
      <c r="AA128" s="21">
        <f>EXP(-LN(2)/25)*AA127+(1-EXP(-LN(2)/25))/(LN(2)/25)*Calculateur!V128*Calculateur!X128*VLOOKUP('Données projet'!$B$9,Paramètres!$A$1:$I$89,3,0)*0.475*44/12</f>
        <v>13.201222696406971</v>
      </c>
      <c r="AB128" s="21">
        <f>EXP(-LN(2)/2)*AB127+(1-EXP(-LN(2)/2))/(LN(2)/2)*V128*Y128*VLOOKUP('Données projet'!$B$9,Paramètres!$A$1:$I$89,3,0)*0.475*44/12</f>
        <v>1.8918379347096538E-7</v>
      </c>
      <c r="AC128" s="22">
        <f t="shared" si="57"/>
        <v>87.24195010634628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3.0833333333333335</v>
      </c>
      <c r="AI128" s="13">
        <f>IF('Données projet'!$A$62&gt;35,AI127+AH128-AQ127,IF(A128&lt;'Données projet'!$A$62,$AF$205^A128,IF(A128='Données projet'!$A$62,'Données projet'!$B$62,AI127+AH128-AQ127)))</f>
        <v>143.25000000000023</v>
      </c>
      <c r="AJ128" s="13">
        <f>AI128*VLOOKUP('Données projet'!$B$10,Paramètres!$A$1:$I$89,3,0)*VLOOKUP('Données projet'!$B$10,Paramètres!$A$1:$I$89,5,0)</f>
        <v>129.61260000000019</v>
      </c>
      <c r="AK128" s="13">
        <f t="shared" si="89"/>
        <v>33.906827024019734</v>
      </c>
      <c r="AL128" s="20">
        <f t="shared" si="58"/>
        <v>284.796335400168</v>
      </c>
      <c r="AM128" s="59">
        <f t="shared" si="59"/>
        <v>578.12966873350138</v>
      </c>
      <c r="AN128" s="59">
        <f ca="1">AVERAGE(OFFSET($AM$3,0,0,'Données projet'!$E$10+1,1))-AVERAGE(OFFSET($H$3,0,0,'Données projet'!$E$10+1,1))</f>
        <v>209.32570518924194</v>
      </c>
      <c r="AO128" s="59">
        <f t="shared" si="90"/>
        <v>138.10530102720475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6.9304703427679959</v>
      </c>
      <c r="AV128" s="21">
        <f>EXP(-LN(2)/25)*AV127+(1-EXP(-LN(2)/25))/(LN(2)/25)*Calculateur!AQ128*Calculateur!AS128*VLOOKUP('Données projet'!$B$10,Paramètres!$A$1:$I$89,3,0)*0.475*44/12</f>
        <v>12.496771835391264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19.427242178159261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219.86035935827329</v>
      </c>
      <c r="BJ128" s="59">
        <f t="shared" si="92"/>
        <v>322.75312534885239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46.463630764306956</v>
      </c>
      <c r="BQ128" s="21">
        <f>EXP(-LN(2)/25)*BQ127+(1-EXP(-LN(2)/25))/(LN(2)/25)*Calculateur!BL128*Calculateur!BN128*VLOOKUP('Données projet'!$B$11,Paramètres!$A$1:$I$89,3,0)*0.475*44/12</f>
        <v>6.9515547694458855</v>
      </c>
      <c r="BR128" s="21">
        <f>EXP(-LN(2)/2)*BR127+(1-EXP(-LN(2)/2))/(LN(2)/2)*BL128*BO128*VLOOKUP('Données projet'!$B$11,Paramètres!$A$1:$I$89,3,0)*0.475*44/12</f>
        <v>4.6854551512986038E-9</v>
      </c>
      <c r="BS128" s="22">
        <f t="shared" si="63"/>
        <v>53.415185538438294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-2.8421709430404007E-13</v>
      </c>
      <c r="BZ128" s="13">
        <f>BY128*VLOOKUP('Données projet'!$B$12,Paramètres!$A$1:$I$89,3,0)*VLOOKUP('Données projet'!$B$12,Paramètres!$A$1:$I$89,5,0)</f>
        <v>-2.2612312022829427E-13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378.47278187128137</v>
      </c>
      <c r="CE128" s="59">
        <f t="shared" si="94"/>
        <v>372.59407061242604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58.282139192521825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58.282139192521825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36.363599999999991</v>
      </c>
      <c r="D129" s="11">
        <f t="shared" si="86"/>
        <v>11.02953778555761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182.92088268109953</v>
      </c>
      <c r="H129" s="67">
        <f t="shared" si="56"/>
        <v>339.20971497651283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-3.4106051316484809E-13</v>
      </c>
      <c r="O129" s="13">
        <f>N129*VLOOKUP('Données projet'!$B$9,Paramètres!$A$1:$I$89,3,0)*VLOOKUP('Données projet'!$B$9,Paramètres!$A$1:$I$89,5,0)</f>
        <v>-1.9065282685915009E-13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347.01106511825213</v>
      </c>
      <c r="T129" s="59">
        <f t="shared" si="88"/>
        <v>329.53392323581539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72.588833720340887</v>
      </c>
      <c r="AA129" s="21">
        <f>EXP(-LN(2)/25)*AA128+(1-EXP(-LN(2)/25))/(LN(2)/25)*Calculateur!V129*Calculateur!X129*VLOOKUP('Données projet'!$B$9,Paramètres!$A$1:$I$89,3,0)*0.475*44/12</f>
        <v>12.840234567551592</v>
      </c>
      <c r="AB129" s="21">
        <f>EXP(-LN(2)/2)*AB128+(1-EXP(-LN(2)/2))/(LN(2)/2)*V129*Y129*VLOOKUP('Données projet'!$B$9,Paramètres!$A$1:$I$89,3,0)*0.475*44/12</f>
        <v>1.3377314325391491E-7</v>
      </c>
      <c r="AC129" s="22">
        <f t="shared" si="57"/>
        <v>85.429068421665619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3.0833333333333335</v>
      </c>
      <c r="AI129" s="13">
        <f>IF('Données projet'!$A$62&gt;35,AI128+AH129-AQ128,IF(A129&lt;'Données projet'!$A$62,$AF$205^A129,IF(A129='Données projet'!$A$62,'Données projet'!$B$62,AI128+AH129-AQ128)))</f>
        <v>146.33333333333357</v>
      </c>
      <c r="AJ129" s="13">
        <f>AI129*VLOOKUP('Données projet'!$B$10,Paramètres!$A$1:$I$89,3,0)*VLOOKUP('Données projet'!$B$10,Paramètres!$A$1:$I$89,5,0)</f>
        <v>132.4024000000002</v>
      </c>
      <c r="AK129" s="13">
        <f t="shared" si="89"/>
        <v>34.550890446469346</v>
      </c>
      <c r="AL129" s="20">
        <f t="shared" si="58"/>
        <v>290.77698086093443</v>
      </c>
      <c r="AM129" s="59">
        <f t="shared" si="59"/>
        <v>584.11031419426774</v>
      </c>
      <c r="AN129" s="59">
        <f ca="1">AVERAGE(OFFSET($AM$3,0,0,'Données projet'!$E$10+1,1))-AVERAGE(OFFSET($H$3,0,0,'Données projet'!$E$10+1,1))</f>
        <v>209.32570518924194</v>
      </c>
      <c r="AO129" s="59">
        <f t="shared" si="90"/>
        <v>138.10530102720475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6.7945680465158267</v>
      </c>
      <c r="AV129" s="21">
        <f>EXP(-LN(2)/25)*AV128+(1-EXP(-LN(2)/25))/(LN(2)/25)*Calculateur!AQ129*Calculateur!AS129*VLOOKUP('Données projet'!$B$10,Paramètres!$A$1:$I$89,3,0)*0.475*44/12</f>
        <v>12.155046952375821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18.949614998891647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219.86035935827329</v>
      </c>
      <c r="BJ129" s="59">
        <f t="shared" si="92"/>
        <v>322.75312534885239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45.55250730503532</v>
      </c>
      <c r="BQ129" s="21">
        <f>EXP(-LN(2)/25)*BQ128+(1-EXP(-LN(2)/25))/(LN(2)/25)*Calculateur!BL129*Calculateur!BN129*VLOOKUP('Données projet'!$B$11,Paramètres!$A$1:$I$89,3,0)*0.475*44/12</f>
        <v>6.7614641387090106</v>
      </c>
      <c r="BR129" s="21">
        <f>EXP(-LN(2)/2)*BR128+(1-EXP(-LN(2)/2))/(LN(2)/2)*BL129*BO129*VLOOKUP('Données projet'!$B$11,Paramètres!$A$1:$I$89,3,0)*0.475*44/12</f>
        <v>3.3131171104286839E-9</v>
      </c>
      <c r="BS129" s="22">
        <f t="shared" si="63"/>
        <v>52.313971447057448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-2.8421709430404007E-13</v>
      </c>
      <c r="BZ129" s="13">
        <f>BY129*VLOOKUP('Données projet'!$B$12,Paramètres!$A$1:$I$89,3,0)*VLOOKUP('Données projet'!$B$12,Paramètres!$A$1:$I$89,5,0)</f>
        <v>-2.2612312022829427E-13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378.47278187128137</v>
      </c>
      <c r="CE129" s="59">
        <f t="shared" si="94"/>
        <v>372.59407061242604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57.139261991551244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57.139261991551244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36.652199999999993</v>
      </c>
      <c r="D130" s="11">
        <f t="shared" si="86"/>
        <v>11.106848985889942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184.33317152448748</v>
      </c>
      <c r="H130" s="67">
        <f t="shared" si="56"/>
        <v>339.84701031709164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-3.4106051316484809E-13</v>
      </c>
      <c r="O130" s="13">
        <f>N130*VLOOKUP('Données projet'!$B$9,Paramètres!$A$1:$I$89,3,0)*VLOOKUP('Données projet'!$B$9,Paramètres!$A$1:$I$89,5,0)</f>
        <v>-1.9065282685915009E-13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347.01106511825213</v>
      </c>
      <c r="T130" s="59">
        <f t="shared" si="88"/>
        <v>329.53392323581539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71.165410965901799</v>
      </c>
      <c r="AA130" s="21">
        <f>EXP(-LN(2)/25)*AA129+(1-EXP(-LN(2)/25))/(LN(2)/25)*Calculateur!V130*Calculateur!X130*VLOOKUP('Données projet'!$B$9,Paramètres!$A$1:$I$89,3,0)*0.475*44/12</f>
        <v>12.489117678063305</v>
      </c>
      <c r="AB130" s="21">
        <f>EXP(-LN(2)/2)*AB129+(1-EXP(-LN(2)/2))/(LN(2)/2)*V130*Y130*VLOOKUP('Données projet'!$B$9,Paramètres!$A$1:$I$89,3,0)*0.475*44/12</f>
        <v>9.4591896735482689E-8</v>
      </c>
      <c r="AC130" s="22">
        <f t="shared" si="57"/>
        <v>83.654528738557005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3.0833333333333335</v>
      </c>
      <c r="AI130" s="13">
        <f>IF('Données projet'!$A$62&gt;35,AI129+AH130-AQ129,IF(A130&lt;'Données projet'!$A$62,$AF$205^A130,IF(A130='Données projet'!$A$62,'Données projet'!$B$62,AI129+AH130-AQ129)))</f>
        <v>149.41666666666691</v>
      </c>
      <c r="AJ130" s="13">
        <f>AI130*VLOOKUP('Données projet'!$B$10,Paramètres!$A$1:$I$89,3,0)*VLOOKUP('Données projet'!$B$10,Paramètres!$A$1:$I$89,5,0)</f>
        <v>135.19220000000021</v>
      </c>
      <c r="AK130" s="13">
        <f t="shared" si="89"/>
        <v>35.193376038491763</v>
      </c>
      <c r="AL130" s="20">
        <f t="shared" si="58"/>
        <v>296.75487826704023</v>
      </c>
      <c r="AM130" s="59">
        <f t="shared" si="59"/>
        <v>590.0882116003736</v>
      </c>
      <c r="AN130" s="59">
        <f ca="1">AVERAGE(OFFSET($AM$3,0,0,'Données projet'!$E$10+1,1))-AVERAGE(OFFSET($H$3,0,0,'Données projet'!$E$10+1,1))</f>
        <v>209.32570518924194</v>
      </c>
      <c r="AO130" s="59">
        <f t="shared" si="90"/>
        <v>138.10530102720475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6.6613307114009466</v>
      </c>
      <c r="AV130" s="21">
        <f>EXP(-LN(2)/25)*AV129+(1-EXP(-LN(2)/25))/(LN(2)/25)*Calculateur!AQ130*Calculateur!AS130*VLOOKUP('Données projet'!$B$10,Paramètres!$A$1:$I$89,3,0)*0.475*44/12</f>
        <v>11.822666554256966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18.483997265657912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219.86035935827329</v>
      </c>
      <c r="BJ130" s="59">
        <f t="shared" si="92"/>
        <v>322.75312534885239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44.659250421069565</v>
      </c>
      <c r="BQ130" s="21">
        <f>EXP(-LN(2)/25)*BQ129+(1-EXP(-LN(2)/25))/(LN(2)/25)*Calculateur!BL130*Calculateur!BN130*VLOOKUP('Données projet'!$B$11,Paramètres!$A$1:$I$89,3,0)*0.475*44/12</f>
        <v>6.5765715462660674</v>
      </c>
      <c r="BR130" s="21">
        <f>EXP(-LN(2)/2)*BR129+(1-EXP(-LN(2)/2))/(LN(2)/2)*BL130*BO130*VLOOKUP('Données projet'!$B$11,Paramètres!$A$1:$I$89,3,0)*0.475*44/12</f>
        <v>2.3427275756493019E-9</v>
      </c>
      <c r="BS130" s="22">
        <f t="shared" si="63"/>
        <v>51.235821969678362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-2.8421709430404007E-13</v>
      </c>
      <c r="BZ130" s="13">
        <f>BY130*VLOOKUP('Données projet'!$B$12,Paramètres!$A$1:$I$89,3,0)*VLOOKUP('Données projet'!$B$12,Paramètres!$A$1:$I$89,5,0)</f>
        <v>-2.2612312022829427E-13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378.47278187128137</v>
      </c>
      <c r="CE130" s="59">
        <f t="shared" si="94"/>
        <v>372.59407061242604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56.018795915405441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56.018795915405441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36.940799999999996</v>
      </c>
      <c r="D131" s="11">
        <f t="shared" si="86"/>
        <v>11.184089359455896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185.74518700140871</v>
      </c>
      <c r="H131" s="67">
        <f t="shared" si="56"/>
        <v>340.48418230105233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-3.4106051316484809E-13</v>
      </c>
      <c r="O131" s="13">
        <f>N131*VLOOKUP('Données projet'!$B$9,Paramètres!$A$1:$I$89,3,0)*VLOOKUP('Données projet'!$B$9,Paramètres!$A$1:$I$89,5,0)</f>
        <v>-1.9065282685915009E-13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347.01106511825213</v>
      </c>
      <c r="T131" s="59">
        <f t="shared" si="88"/>
        <v>329.53392323581539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69.769900663475113</v>
      </c>
      <c r="AA131" s="21">
        <f>EXP(-LN(2)/25)*AA130+(1-EXP(-LN(2)/25))/(LN(2)/25)*Calculateur!V131*Calculateur!X131*VLOOKUP('Données projet'!$B$9,Paramètres!$A$1:$I$89,3,0)*0.475*44/12</f>
        <v>12.14760209838251</v>
      </c>
      <c r="AB131" s="21">
        <f>EXP(-LN(2)/2)*AB130+(1-EXP(-LN(2)/2))/(LN(2)/2)*V131*Y131*VLOOKUP('Données projet'!$B$9,Paramètres!$A$1:$I$89,3,0)*0.475*44/12</f>
        <v>6.6886571626957457E-8</v>
      </c>
      <c r="AC131" s="22">
        <f t="shared" si="57"/>
        <v>81.91750282874419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3.0833333333333335</v>
      </c>
      <c r="AI131" s="13">
        <f>IF('Données projet'!$A$62&gt;35,AI130+AH131-AQ130,IF(A131&lt;'Données projet'!$A$62,$AF$205^A131,IF(A131='Données projet'!$A$62,'Données projet'!$B$62,AI130+AH131-AQ130)))</f>
        <v>152.50000000000026</v>
      </c>
      <c r="AJ131" s="13">
        <f>AI131*VLOOKUP('Données projet'!$B$10,Paramètres!$A$1:$I$89,3,0)*VLOOKUP('Données projet'!$B$10,Paramètres!$A$1:$I$89,5,0)</f>
        <v>137.98200000000023</v>
      </c>
      <c r="AK131" s="13">
        <f t="shared" si="89"/>
        <v>35.834320111431971</v>
      </c>
      <c r="AL131" s="20">
        <f t="shared" si="58"/>
        <v>302.73009086074438</v>
      </c>
      <c r="AM131" s="59">
        <f t="shared" si="59"/>
        <v>596.0634241940777</v>
      </c>
      <c r="AN131" s="59">
        <f ca="1">AVERAGE(OFFSET($AM$3,0,0,'Données projet'!$E$10+1,1))-AVERAGE(OFFSET($H$3,0,0,'Données projet'!$E$10+1,1))</f>
        <v>209.32570518924194</v>
      </c>
      <c r="AO131" s="59">
        <f t="shared" si="90"/>
        <v>138.10530102720475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6.5307060791609191</v>
      </c>
      <c r="AV131" s="21">
        <f>EXP(-LN(2)/25)*AV130+(1-EXP(-LN(2)/25))/(LN(2)/25)*Calculateur!AQ131*Calculateur!AS131*VLOOKUP('Données projet'!$B$10,Paramètres!$A$1:$I$89,3,0)*0.475*44/12</f>
        <v>11.499375115603796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18.030081194764715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219.86035935827329</v>
      </c>
      <c r="BJ131" s="59">
        <f t="shared" si="92"/>
        <v>322.75312534885239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43.783509759765472</v>
      </c>
      <c r="BQ131" s="21">
        <f>EXP(-LN(2)/25)*BQ130+(1-EXP(-LN(2)/25))/(LN(2)/25)*Calculateur!BL131*Calculateur!BN131*VLOOKUP('Données projet'!$B$11,Paramètres!$A$1:$I$89,3,0)*0.475*44/12</f>
        <v>6.3967348514865554</v>
      </c>
      <c r="BR131" s="21">
        <f>EXP(-LN(2)/2)*BR130+(1-EXP(-LN(2)/2))/(LN(2)/2)*BL131*BO131*VLOOKUP('Données projet'!$B$11,Paramètres!$A$1:$I$89,3,0)*0.475*44/12</f>
        <v>1.6565585552143419E-9</v>
      </c>
      <c r="BS131" s="22">
        <f t="shared" si="63"/>
        <v>50.180244612908588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-2.8421709430404007E-13</v>
      </c>
      <c r="BZ131" s="13">
        <f>BY131*VLOOKUP('Données projet'!$B$12,Paramètres!$A$1:$I$89,3,0)*VLOOKUP('Données projet'!$B$12,Paramètres!$A$1:$I$89,5,0)</f>
        <v>-2.2612312022829427E-13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378.47278187128137</v>
      </c>
      <c r="CE131" s="59">
        <f t="shared" si="94"/>
        <v>372.59407061242604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54.920301495596028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54.920301495596028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37.229399999999998</v>
      </c>
      <c r="D132" s="11">
        <f t="shared" si="86"/>
        <v>11.26125952372948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187.15693149509625</v>
      </c>
      <c r="H132" s="67">
        <f t="shared" ref="H132:H195" si="110">(B132+E132+F132)*44/12+(C132+D132)*0.475*44/12</f>
        <v>341.12123200382882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-3.4106051316484809E-13</v>
      </c>
      <c r="O132" s="13">
        <f>N132*VLOOKUP('Données projet'!$B$9,Paramètres!$A$1:$I$89,3,0)*VLOOKUP('Données projet'!$B$9,Paramètres!$A$1:$I$89,5,0)</f>
        <v>-1.9065282685915009E-13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347.01106511825213</v>
      </c>
      <c r="T132" s="59">
        <f t="shared" si="88"/>
        <v>329.53392323581539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68.401755466901776</v>
      </c>
      <c r="AA132" s="21">
        <f>EXP(-LN(2)/25)*AA131+(1-EXP(-LN(2)/25))/(LN(2)/25)*Calculateur!V132*Calculateur!X132*VLOOKUP('Données projet'!$B$9,Paramètres!$A$1:$I$89,3,0)*0.475*44/12</f>
        <v>11.815425280187609</v>
      </c>
      <c r="AB132" s="21">
        <f>EXP(-LN(2)/2)*AB131+(1-EXP(-LN(2)/2))/(LN(2)/2)*V132*Y132*VLOOKUP('Données projet'!$B$9,Paramètres!$A$1:$I$89,3,0)*0.475*44/12</f>
        <v>4.7295948367741345E-8</v>
      </c>
      <c r="AC132" s="22">
        <f t="shared" ref="AC132:AC153" si="111">SUM(Z132:AB132)</f>
        <v>80.217180794385328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3.0833333333333335</v>
      </c>
      <c r="AI132" s="13">
        <f>IF('Données projet'!$A$62&gt;35,AI131+AH132-AQ131,IF(A132&lt;'Données projet'!$A$62,$AF$205^A132,IF(A132='Données projet'!$A$62,'Données projet'!$B$62,AI131+AH132-AQ131)))</f>
        <v>155.5833333333336</v>
      </c>
      <c r="AJ132" s="13">
        <f>AI132*VLOOKUP('Données projet'!$B$10,Paramètres!$A$1:$I$89,3,0)*VLOOKUP('Données projet'!$B$10,Paramètres!$A$1:$I$89,5,0)</f>
        <v>140.77180000000024</v>
      </c>
      <c r="AK132" s="13">
        <f t="shared" si="89"/>
        <v>36.473757424360336</v>
      </c>
      <c r="AL132" s="20">
        <f t="shared" ref="AL132:AL153" si="112">(AJ132+AK132)*0.475*44/12</f>
        <v>308.70267918076132</v>
      </c>
      <c r="AM132" s="59">
        <f t="shared" ref="AM132:AM195" si="113">AL132+(AD132+AE132)*44/12</f>
        <v>602.03601251409464</v>
      </c>
      <c r="AN132" s="59">
        <f ca="1">AVERAGE(OFFSET($AM$3,0,0,'Données projet'!$E$10+1,1))-AVERAGE(OFFSET($H$3,0,0,'Données projet'!$E$10+1,1))</f>
        <v>209.32570518924194</v>
      </c>
      <c r="AO132" s="59">
        <f t="shared" si="90"/>
        <v>138.10530102720475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6.4026429162859602</v>
      </c>
      <c r="AV132" s="21">
        <f>EXP(-LN(2)/25)*AV131+(1-EXP(-LN(2)/25))/(LN(2)/25)*Calculateur!AQ132*Calculateur!AS132*VLOOKUP('Données projet'!$B$10,Paramètres!$A$1:$I$89,3,0)*0.475*44/12</f>
        <v>11.184924098341755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17.587567014627716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219.86035935827329</v>
      </c>
      <c r="BJ132" s="59">
        <f t="shared" si="92"/>
        <v>322.75312534885239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42.924941838680496</v>
      </c>
      <c r="BQ132" s="21">
        <f>EXP(-LN(2)/25)*BQ131+(1-EXP(-LN(2)/25))/(LN(2)/25)*Calculateur!BL132*Calculateur!BN132*VLOOKUP('Données projet'!$B$11,Paramètres!$A$1:$I$89,3,0)*0.475*44/12</f>
        <v>6.2218158005829896</v>
      </c>
      <c r="BR132" s="21">
        <f>EXP(-LN(2)/2)*BR131+(1-EXP(-LN(2)/2))/(LN(2)/2)*BL132*BO132*VLOOKUP('Données projet'!$B$11,Paramètres!$A$1:$I$89,3,0)*0.475*44/12</f>
        <v>1.171363787824651E-9</v>
      </c>
      <c r="BS132" s="22">
        <f t="shared" ref="BS132:BS153" si="117">SUM(BP132:BR132)</f>
        <v>49.146757640434849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-2.8421709430404007E-13</v>
      </c>
      <c r="BZ132" s="13">
        <f>BY132*VLOOKUP('Données projet'!$B$12,Paramètres!$A$1:$I$89,3,0)*VLOOKUP('Données projet'!$B$12,Paramètres!$A$1:$I$89,5,0)</f>
        <v>-2.2612312022829427E-13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378.47278187128137</v>
      </c>
      <c r="CE132" s="59">
        <f t="shared" si="94"/>
        <v>372.59407061242604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53.843347881343639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53.843347881343639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37.518000000000001</v>
      </c>
      <c r="D133" s="11">
        <f t="shared" ref="D133:D196" si="140">IFERROR(EXP(-1.0587+0.8836*LN(C133)+0.284),0)</f>
        <v>11.338360086058575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188.56840734969978</v>
      </c>
      <c r="H133" s="67">
        <f t="shared" si="110"/>
        <v>341.75816048321872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-3.4106051316484809E-13</v>
      </c>
      <c r="O133" s="13">
        <f>N133*VLOOKUP('Données projet'!$B$9,Paramètres!$A$1:$I$89,3,0)*VLOOKUP('Données projet'!$B$9,Paramètres!$A$1:$I$89,5,0)</f>
        <v>-1.9065282685915009E-13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347.01106511825213</v>
      </c>
      <c r="T133" s="59">
        <f t="shared" ref="T133:T196" si="142">$T$3</f>
        <v>329.53392323581539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67.060438763147062</v>
      </c>
      <c r="AA133" s="21">
        <f>EXP(-LN(2)/25)*AA132+(1-EXP(-LN(2)/25))/(LN(2)/25)*Calculateur!V133*Calculateur!X133*VLOOKUP('Données projet'!$B$9,Paramètres!$A$1:$I$89,3,0)*0.475*44/12</f>
        <v>11.492331854554669</v>
      </c>
      <c r="AB133" s="21">
        <f>EXP(-LN(2)/2)*AB132+(1-EXP(-LN(2)/2))/(LN(2)/2)*V133*Y133*VLOOKUP('Données projet'!$B$9,Paramètres!$A$1:$I$89,3,0)*0.475*44/12</f>
        <v>3.3443285813478728E-8</v>
      </c>
      <c r="AC133" s="22">
        <f t="shared" si="111"/>
        <v>78.552770651145011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3.0833333333333335</v>
      </c>
      <c r="AI133" s="13">
        <f>IF('Données projet'!$A$62&gt;35,AI132+AH133-AQ132,IF(A133&lt;'Données projet'!$A$62,$AF$205^A133,IF(A133='Données projet'!$A$62,'Données projet'!$B$62,AI132+AH133-AQ132)))</f>
        <v>158.66666666666694</v>
      </c>
      <c r="AJ133" s="13">
        <f>AI133*VLOOKUP('Données projet'!$B$10,Paramètres!$A$1:$I$89,3,0)*VLOOKUP('Données projet'!$B$10,Paramètres!$A$1:$I$89,5,0)</f>
        <v>143.56160000000023</v>
      </c>
      <c r="AK133" s="13">
        <f t="shared" ref="AK133:AK153" si="143">EXP(-1.0587+0.8836*LN(AJ133)+0.284)</f>
        <v>37.111721279856376</v>
      </c>
      <c r="AL133" s="20">
        <f t="shared" si="112"/>
        <v>314.67270122908354</v>
      </c>
      <c r="AM133" s="59">
        <f t="shared" si="113"/>
        <v>608.00603456241686</v>
      </c>
      <c r="AN133" s="59">
        <f ca="1">AVERAGE(OFFSET($AM$3,0,0,'Données projet'!$E$10+1,1))-AVERAGE(OFFSET($H$3,0,0,'Données projet'!$E$10+1,1))</f>
        <v>209.32570518924194</v>
      </c>
      <c r="AO133" s="59">
        <f t="shared" ref="AO133:AO196" si="144">$AO$3</f>
        <v>138.10530102720475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6.2770909939241619</v>
      </c>
      <c r="AV133" s="21">
        <f>EXP(-LN(2)/25)*AV132+(1-EXP(-LN(2)/25))/(LN(2)/25)*Calculateur!AQ133*Calculateur!AS133*VLOOKUP('Données projet'!$B$10,Paramètres!$A$1:$I$89,3,0)*0.475*44/12</f>
        <v>10.879071760683004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17.156162754607166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219.86035935827329</v>
      </c>
      <c r="BJ133" s="59">
        <f t="shared" ref="BJ133:BJ196" si="146">$BJ$3</f>
        <v>322.75312534885239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42.08320991085327</v>
      </c>
      <c r="BQ133" s="21">
        <f>EXP(-LN(2)/25)*BQ132+(1-EXP(-LN(2)/25))/(LN(2)/25)*Calculateur!BL133*Calculateur!BN133*VLOOKUP('Données projet'!$B$11,Paramètres!$A$1:$I$89,3,0)*0.475*44/12</f>
        <v>6.0516799203249745</v>
      </c>
      <c r="BR133" s="21">
        <f>EXP(-LN(2)/2)*BR132+(1-EXP(-LN(2)/2))/(LN(2)/2)*BL133*BO133*VLOOKUP('Données projet'!$B$11,Paramètres!$A$1:$I$89,3,0)*0.475*44/12</f>
        <v>8.2827927760717096E-10</v>
      </c>
      <c r="BS133" s="22">
        <f t="shared" si="117"/>
        <v>48.134889832006522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-2.8421709430404007E-13</v>
      </c>
      <c r="BZ133" s="13">
        <f>BY133*VLOOKUP('Données projet'!$B$12,Paramètres!$A$1:$I$89,3,0)*VLOOKUP('Données projet'!$B$12,Paramètres!$A$1:$I$89,5,0)</f>
        <v>-2.2612312022829427E-13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378.47278187128137</v>
      </c>
      <c r="CE133" s="59">
        <f t="shared" ref="CE133:CE196" si="148">$CE$3</f>
        <v>372.59407061242604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52.787512670589898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52.787512670589898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37.806600000000003</v>
      </c>
      <c r="D134" s="11">
        <f t="shared" si="140"/>
        <v>11.415391643907567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189.97961687122222</v>
      </c>
      <c r="H134" s="67">
        <f t="shared" si="110"/>
        <v>342.39496877980571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-3.4106051316484809E-13</v>
      </c>
      <c r="O134" s="13">
        <f>N134*VLOOKUP('Données projet'!$B$9,Paramètres!$A$1:$I$89,3,0)*VLOOKUP('Données projet'!$B$9,Paramètres!$A$1:$I$89,5,0)</f>
        <v>-1.9065282685915009E-13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347.01106511825213</v>
      </c>
      <c r="T134" s="59">
        <f t="shared" si="142"/>
        <v>329.53392323581539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65.745424461830581</v>
      </c>
      <c r="AA134" s="21">
        <f>EXP(-LN(2)/25)*AA133+(1-EXP(-LN(2)/25))/(LN(2)/25)*Calculateur!V134*Calculateur!X134*VLOOKUP('Données projet'!$B$9,Paramètres!$A$1:$I$89,3,0)*0.475*44/12</f>
        <v>11.178073435636405</v>
      </c>
      <c r="AB134" s="21">
        <f>EXP(-LN(2)/2)*AB133+(1-EXP(-LN(2)/2))/(LN(2)/2)*V134*Y134*VLOOKUP('Données projet'!$B$9,Paramètres!$A$1:$I$89,3,0)*0.475*44/12</f>
        <v>2.3647974183870672E-8</v>
      </c>
      <c r="AC134" s="22">
        <f t="shared" si="111"/>
        <v>76.923497921114958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3.0833333333333335</v>
      </c>
      <c r="AI134" s="13">
        <f>IF('Données projet'!$A$62&gt;35,AI133+AH134-AQ133,IF(A134&lt;'Données projet'!$A$62,$AF$205^A134,IF(A134='Données projet'!$A$62,'Données projet'!$B$62,AI133+AH134-AQ133)))</f>
        <v>161.75000000000028</v>
      </c>
      <c r="AJ134" s="13">
        <f>AI134*VLOOKUP('Données projet'!$B$10,Paramètres!$A$1:$I$89,3,0)*VLOOKUP('Données projet'!$B$10,Paramètres!$A$1:$I$89,5,0)</f>
        <v>146.35140000000024</v>
      </c>
      <c r="AK134" s="13">
        <f t="shared" si="143"/>
        <v>37.748243612136818</v>
      </c>
      <c r="AL134" s="20">
        <f t="shared" si="112"/>
        <v>320.64021262447204</v>
      </c>
      <c r="AM134" s="59">
        <f t="shared" si="113"/>
        <v>613.9735459578053</v>
      </c>
      <c r="AN134" s="59">
        <f ca="1">AVERAGE(OFFSET($AM$3,0,0,'Données projet'!$E$10+1,1))-AVERAGE(OFFSET($H$3,0,0,'Données projet'!$E$10+1,1))</f>
        <v>209.32570518924194</v>
      </c>
      <c r="AO134" s="59">
        <f t="shared" si="144"/>
        <v>138.10530102720475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6.1540010681807678</v>
      </c>
      <c r="AV134" s="21">
        <f>EXP(-LN(2)/25)*AV133+(1-EXP(-LN(2)/25))/(LN(2)/25)*Calculateur!AQ134*Calculateur!AS134*VLOOKUP('Données projet'!$B$10,Paramètres!$A$1:$I$89,3,0)*0.475*44/12</f>
        <v>10.581582971281609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16.735584039462378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219.86035935827329</v>
      </c>
      <c r="BJ134" s="59">
        <f t="shared" si="146"/>
        <v>322.75312534885239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41.257983832724953</v>
      </c>
      <c r="BQ134" s="21">
        <f>EXP(-LN(2)/25)*BQ133+(1-EXP(-LN(2)/25))/(LN(2)/25)*Calculateur!BL134*Calculateur!BN134*VLOOKUP('Données projet'!$B$11,Paramètres!$A$1:$I$89,3,0)*0.475*44/12</f>
        <v>5.8861964146596719</v>
      </c>
      <c r="BR134" s="21">
        <f>EXP(-LN(2)/2)*BR133+(1-EXP(-LN(2)/2))/(LN(2)/2)*BL134*BO134*VLOOKUP('Données projet'!$B$11,Paramètres!$A$1:$I$89,3,0)*0.475*44/12</f>
        <v>5.8568189391232548E-10</v>
      </c>
      <c r="BS134" s="22">
        <f t="shared" si="117"/>
        <v>47.144180247970304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-2.8421709430404007E-13</v>
      </c>
      <c r="BZ134" s="13">
        <f>BY134*VLOOKUP('Données projet'!$B$12,Paramètres!$A$1:$I$89,3,0)*VLOOKUP('Données projet'!$B$12,Paramètres!$A$1:$I$89,5,0)</f>
        <v>-2.2612312022829427E-13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378.47278187128137</v>
      </c>
      <c r="CE134" s="59">
        <f t="shared" si="148"/>
        <v>372.59407061242604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51.752381744323152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51.752381744323152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38.095200000000006</v>
      </c>
      <c r="D135" s="11">
        <f t="shared" si="140"/>
        <v>11.492354785092406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191.39056232842685</v>
      </c>
      <c r="H135" s="67">
        <f t="shared" si="110"/>
        <v>343.03165791736927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-3.4106051316484809E-13</v>
      </c>
      <c r="O135" s="13">
        <f>N135*VLOOKUP('Données projet'!$B$9,Paramètres!$A$1:$I$89,3,0)*VLOOKUP('Données projet'!$B$9,Paramètres!$A$1:$I$89,5,0)</f>
        <v>-1.9065282685915009E-13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347.01106511825213</v>
      </c>
      <c r="T135" s="59">
        <f t="shared" si="142"/>
        <v>329.53392323581539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64.456196788883389</v>
      </c>
      <c r="AA135" s="21">
        <f>EXP(-LN(2)/25)*AA134+(1-EXP(-LN(2)/25))/(LN(2)/25)*Calculateur!V135*Calculateur!X135*VLOOKUP('Données projet'!$B$9,Paramètres!$A$1:$I$89,3,0)*0.475*44/12</f>
        <v>10.872408429709592</v>
      </c>
      <c r="AB135" s="21">
        <f>EXP(-LN(2)/2)*AB134+(1-EXP(-LN(2)/2))/(LN(2)/2)*V135*Y135*VLOOKUP('Données projet'!$B$9,Paramètres!$A$1:$I$89,3,0)*0.475*44/12</f>
        <v>1.6721642906739364E-8</v>
      </c>
      <c r="AC135" s="22">
        <f t="shared" si="111"/>
        <v>75.328605235314626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3.0833333333333335</v>
      </c>
      <c r="AI135" s="13">
        <f>IF('Données projet'!$A$62&gt;35,AI134+AH135-AQ134,IF(A135&lt;'Données projet'!$A$62,$AF$205^A135,IF(A135='Données projet'!$A$62,'Données projet'!$B$62,AI134+AH135-AQ134)))</f>
        <v>164.83333333333363</v>
      </c>
      <c r="AJ135" s="13">
        <f>AI135*VLOOKUP('Données projet'!$B$10,Paramètres!$A$1:$I$89,3,0)*VLOOKUP('Données projet'!$B$10,Paramètres!$A$1:$I$89,5,0)</f>
        <v>149.14120000000025</v>
      </c>
      <c r="AK135" s="13">
        <f t="shared" si="143"/>
        <v>38.383355068273865</v>
      </c>
      <c r="AL135" s="20">
        <f t="shared" si="112"/>
        <v>326.60526674391076</v>
      </c>
      <c r="AM135" s="59">
        <f t="shared" si="113"/>
        <v>619.93860007724402</v>
      </c>
      <c r="AN135" s="59">
        <f ca="1">AVERAGE(OFFSET($AM$3,0,0,'Données projet'!$E$10+1,1))-AVERAGE(OFFSET($H$3,0,0,'Données projet'!$E$10+1,1))</f>
        <v>209.32570518924194</v>
      </c>
      <c r="AO135" s="59">
        <f t="shared" si="144"/>
        <v>138.10530102720475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6.0333248608037602</v>
      </c>
      <c r="AV135" s="21">
        <f>EXP(-LN(2)/25)*AV134+(1-EXP(-LN(2)/25))/(LN(2)/25)*Calculateur!AQ135*Calculateur!AS135*VLOOKUP('Données projet'!$B$10,Paramètres!$A$1:$I$89,3,0)*0.475*44/12</f>
        <v>10.292229028470649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16.32555388927441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219.86035935827329</v>
      </c>
      <c r="BJ135" s="59">
        <f t="shared" si="146"/>
        <v>322.75312534885239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40.448939934650532</v>
      </c>
      <c r="BQ135" s="21">
        <f>EXP(-LN(2)/25)*BQ134+(1-EXP(-LN(2)/25))/(LN(2)/25)*Calculateur!BL135*Calculateur!BN135*VLOOKUP('Données projet'!$B$11,Paramètres!$A$1:$I$89,3,0)*0.475*44/12</f>
        <v>5.7252380641591865</v>
      </c>
      <c r="BR135" s="21">
        <f>EXP(-LN(2)/2)*BR134+(1-EXP(-LN(2)/2))/(LN(2)/2)*BL135*BO135*VLOOKUP('Données projet'!$B$11,Paramètres!$A$1:$I$89,3,0)*0.475*44/12</f>
        <v>4.1413963880358548E-10</v>
      </c>
      <c r="BS135" s="22">
        <f t="shared" si="117"/>
        <v>46.174177999223858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-2.8421709430404007E-13</v>
      </c>
      <c r="BZ135" s="13">
        <f>BY135*VLOOKUP('Données projet'!$B$12,Paramètres!$A$1:$I$89,3,0)*VLOOKUP('Données projet'!$B$12,Paramètres!$A$1:$I$89,5,0)</f>
        <v>-2.2612312022829427E-13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378.47278187128137</v>
      </c>
      <c r="CE135" s="59">
        <f t="shared" si="148"/>
        <v>372.59407061242604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50.737549104152968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50.737549104152968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38.383800000000008</v>
      </c>
      <c r="D136" s="11">
        <f t="shared" si="140"/>
        <v>11.569250088008243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192.80124595371612</v>
      </c>
      <c r="H136" s="67">
        <f t="shared" si="110"/>
        <v>343.66822890328103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-3.4106051316484809E-13</v>
      </c>
      <c r="O136" s="13">
        <f>N136*VLOOKUP('Données projet'!$B$9,Paramètres!$A$1:$I$89,3,0)*VLOOKUP('Données projet'!$B$9,Paramètres!$A$1:$I$89,5,0)</f>
        <v>-1.9065282685915009E-13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347.01106511825213</v>
      </c>
      <c r="T136" s="59">
        <f t="shared" si="142"/>
        <v>329.53392323581539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63.192250084251455</v>
      </c>
      <c r="AA136" s="21">
        <f>EXP(-LN(2)/25)*AA135+(1-EXP(-LN(2)/25))/(LN(2)/25)*Calculateur!V136*Calculateur!X136*VLOOKUP('Données projet'!$B$9,Paramètres!$A$1:$I$89,3,0)*0.475*44/12</f>
        <v>10.575101849444074</v>
      </c>
      <c r="AB136" s="21">
        <f>EXP(-LN(2)/2)*AB135+(1-EXP(-LN(2)/2))/(LN(2)/2)*V136*Y136*VLOOKUP('Données projet'!$B$9,Paramètres!$A$1:$I$89,3,0)*0.475*44/12</f>
        <v>1.1823987091935336E-8</v>
      </c>
      <c r="AC136" s="22">
        <f t="shared" si="111"/>
        <v>73.767351945519508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3.0833333333333335</v>
      </c>
      <c r="AI136" s="13">
        <f>IF('Données projet'!$A$62&gt;35,AI135+AH136-AQ135,IF(A136&lt;'Données projet'!$A$62,$AF$205^A136,IF(A136='Données projet'!$A$62,'Données projet'!$B$62,AI135+AH136-AQ135)))</f>
        <v>167.91666666666697</v>
      </c>
      <c r="AJ136" s="13">
        <f>AI136*VLOOKUP('Données projet'!$B$10,Paramètres!$A$1:$I$89,3,0)*VLOOKUP('Données projet'!$B$10,Paramètres!$A$1:$I$89,5,0)</f>
        <v>151.93100000000027</v>
      </c>
      <c r="AK136" s="13">
        <f t="shared" si="143"/>
        <v>39.017085083164694</v>
      </c>
      <c r="AL136" s="20">
        <f t="shared" si="112"/>
        <v>332.56791485317893</v>
      </c>
      <c r="AM136" s="59">
        <f t="shared" si="113"/>
        <v>625.90124818651225</v>
      </c>
      <c r="AN136" s="59">
        <f ca="1">AVERAGE(OFFSET($AM$3,0,0,'Données projet'!$E$10+1,1))-AVERAGE(OFFSET($H$3,0,0,'Données projet'!$E$10+1,1))</f>
        <v>209.32570518924194</v>
      </c>
      <c r="AO136" s="59">
        <f t="shared" si="144"/>
        <v>138.10530102720475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5.9150150402481971</v>
      </c>
      <c r="AV136" s="21">
        <f>EXP(-LN(2)/25)*AV135+(1-EXP(-LN(2)/25))/(LN(2)/25)*Calculateur!AQ136*Calculateur!AS136*VLOOKUP('Données projet'!$B$10,Paramètres!$A$1:$I$89,3,0)*0.475*44/12</f>
        <v>10.010787484442318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15.925802524690514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219.86035935827329</v>
      </c>
      <c r="BJ136" s="59">
        <f t="shared" si="146"/>
        <v>322.75312534885239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39.655760893949292</v>
      </c>
      <c r="BQ136" s="21">
        <f>EXP(-LN(2)/25)*BQ135+(1-EXP(-LN(2)/25))/(LN(2)/25)*Calculateur!BL136*Calculateur!BN136*VLOOKUP('Données projet'!$B$11,Paramètres!$A$1:$I$89,3,0)*0.475*44/12</f>
        <v>5.5686811282175688</v>
      </c>
      <c r="BR136" s="21">
        <f>EXP(-LN(2)/2)*BR135+(1-EXP(-LN(2)/2))/(LN(2)/2)*BL136*BO136*VLOOKUP('Données projet'!$B$11,Paramètres!$A$1:$I$89,3,0)*0.475*44/12</f>
        <v>2.9284094695616274E-10</v>
      </c>
      <c r="BS136" s="22">
        <f t="shared" si="117"/>
        <v>45.224442022459705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-2.8421709430404007E-13</v>
      </c>
      <c r="BZ136" s="13">
        <f>BY136*VLOOKUP('Données projet'!$B$12,Paramètres!$A$1:$I$89,3,0)*VLOOKUP('Données projet'!$B$12,Paramètres!$A$1:$I$89,5,0)</f>
        <v>-2.2612312022829427E-13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378.47278187128137</v>
      </c>
      <c r="CE136" s="59">
        <f t="shared" si="148"/>
        <v>372.59407061242604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49.742616713069737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49.742616713069737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38.67240000000001</v>
      </c>
      <c r="D137" s="11">
        <f t="shared" si="140"/>
        <v>11.646078121850156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194.21166994398311</v>
      </c>
      <c r="H137" s="67">
        <f t="shared" si="110"/>
        <v>344.30468272888902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-3.4106051316484809E-13</v>
      </c>
      <c r="O137" s="13">
        <f>N137*VLOOKUP('Données projet'!$B$9,Paramètres!$A$1:$I$89,3,0)*VLOOKUP('Données projet'!$B$9,Paramètres!$A$1:$I$89,5,0)</f>
        <v>-1.9065282685915009E-13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347.01106511825213</v>
      </c>
      <c r="T137" s="59">
        <f t="shared" si="142"/>
        <v>329.53392323581539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61.953088603565988</v>
      </c>
      <c r="AA137" s="21">
        <f>EXP(-LN(2)/25)*AA136+(1-EXP(-LN(2)/25))/(LN(2)/25)*Calculateur!V137*Calculateur!X137*VLOOKUP('Données projet'!$B$9,Paramètres!$A$1:$I$89,3,0)*0.475*44/12</f>
        <v>10.28592513325059</v>
      </c>
      <c r="AB137" s="21">
        <f>EXP(-LN(2)/2)*AB136+(1-EXP(-LN(2)/2))/(LN(2)/2)*V137*Y137*VLOOKUP('Données projet'!$B$9,Paramètres!$A$1:$I$89,3,0)*0.475*44/12</f>
        <v>8.3608214533696821E-9</v>
      </c>
      <c r="AC137" s="22">
        <f t="shared" si="111"/>
        <v>72.239013745177402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>
        <f>VLOOKUP(A137,'Données projet'!$A$61:$I$81,2,0)</f>
        <v>171</v>
      </c>
      <c r="AG137" s="12">
        <f>VLOOKUP(A137,'Données projet'!$A$61:$I$81,9,0)</f>
        <v>3.0833333333333335</v>
      </c>
      <c r="AH137" s="12">
        <f t="array" ref="AH137">INDEX(AG:AG,MIN(IF(ISNUMBER(AG137:AG333),ROW(AG137:AG333),"")))</f>
        <v>3.0833333333333335</v>
      </c>
      <c r="AI137" s="13">
        <f>IF('Données projet'!$A$62&gt;35,AI136+AH137-AQ136,IF(A137&lt;'Données projet'!$A$62,$AF$205^A137,IF(A137='Données projet'!$A$62,'Données projet'!$B$62,AI136+AH137-AQ136)))</f>
        <v>171.00000000000031</v>
      </c>
      <c r="AJ137" s="13">
        <f>AI137*VLOOKUP('Données projet'!$B$10,Paramètres!$A$1:$I$89,3,0)*VLOOKUP('Données projet'!$B$10,Paramètres!$A$1:$I$89,5,0)</f>
        <v>154.72080000000028</v>
      </c>
      <c r="AK137" s="13">
        <f t="shared" si="143"/>
        <v>39.649461948838663</v>
      </c>
      <c r="AL137" s="20">
        <f t="shared" si="112"/>
        <v>338.52820622756116</v>
      </c>
      <c r="AM137" s="59">
        <f t="shared" si="113"/>
        <v>631.86153956089447</v>
      </c>
      <c r="AN137" s="59">
        <f ca="1">AVERAGE(OFFSET($AM$3,0,0,'Données projet'!$E$10+1,1))-AVERAGE(OFFSET($H$3,0,0,'Données projet'!$E$10+1,1))</f>
        <v>209.32570518924194</v>
      </c>
      <c r="AO137" s="59">
        <f t="shared" si="144"/>
        <v>138.10530102720475</v>
      </c>
      <c r="AP137" s="15">
        <f>IF(ISNA(VLOOKUP(A137,'Données projet'!$A$61:$I$81,3,0)),0,VLOOKUP(A137,'Données projet'!$A$61:$I$81,3,0))</f>
        <v>9</v>
      </c>
      <c r="AQ137" s="15">
        <f>IF(ISNA(VLOOKUP(A137,'Données projet'!$A$61:$I$81,4,0)),0,VLOOKUP(A137,'Données projet'!$A$61:$I$81,4,0))</f>
        <v>26</v>
      </c>
      <c r="AR137" s="16">
        <f>IF(ISNA(VLOOKUP(A137,'Données projet'!$A$61:$I$81,5,0)),0%,VLOOKUP(A137,'Données projet'!$A$61:$I$81,5,0)*VLOOKUP('Données projet'!$B$10,Paramètres!$A$1:$I$89,7,0))</f>
        <v>0.30099999999999999</v>
      </c>
      <c r="AS137" s="16">
        <f>IF(ISNA(VLOOKUP(A137,'Données projet'!$A$61:$I$81,6,0)),0%,VLOOKUP(A137,'Données projet'!$A$61:$I$81,6,0)*VLOOKUP('Données projet'!$B$10,Paramètres!$A$1:$I$89,7,0))</f>
        <v>4.3000000000000003E-2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13.626822048027325</v>
      </c>
      <c r="AV137" s="21">
        <f>EXP(-LN(2)/25)*AV136+(1-EXP(-LN(2)/25))/(LN(2)/25)*Calculateur!AQ137*Calculateur!AS137*VLOOKUP('Données projet'!$B$10,Paramètres!$A$1:$I$89,3,0)*0.475*44/12</f>
        <v>10.850895663680465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24.47771771170779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219.86035935827329</v>
      </c>
      <c r="BJ137" s="59">
        <f t="shared" si="146"/>
        <v>322.75312534885239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38.878135610444765</v>
      </c>
      <c r="BQ137" s="21">
        <f>EXP(-LN(2)/25)*BQ136+(1-EXP(-LN(2)/25))/(LN(2)/25)*Calculateur!BL137*Calculateur!BN137*VLOOKUP('Données projet'!$B$11,Paramètres!$A$1:$I$89,3,0)*0.475*44/12</f>
        <v>5.4164052499222466</v>
      </c>
      <c r="BR137" s="21">
        <f>EXP(-LN(2)/2)*BR136+(1-EXP(-LN(2)/2))/(LN(2)/2)*BL137*BO137*VLOOKUP('Données projet'!$B$11,Paramètres!$A$1:$I$89,3,0)*0.475*44/12</f>
        <v>2.0706981940179274E-10</v>
      </c>
      <c r="BS137" s="22">
        <f t="shared" si="117"/>
        <v>44.294540860574081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-2.8421709430404007E-13</v>
      </c>
      <c r="BZ137" s="13">
        <f>BY137*VLOOKUP('Données projet'!$B$12,Paramètres!$A$1:$I$89,3,0)*VLOOKUP('Données projet'!$B$12,Paramètres!$A$1:$I$89,5,0)</f>
        <v>-2.2612312022829427E-13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378.47278187128137</v>
      </c>
      <c r="CE137" s="59">
        <f t="shared" si="148"/>
        <v>372.59407061242604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48.767194339326807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48.767194339326807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38.961000000000013</v>
      </c>
      <c r="D138" s="11">
        <f t="shared" si="140"/>
        <v>11.722839446826978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195.62183646143754</v>
      </c>
      <c r="H138" s="67">
        <f t="shared" si="110"/>
        <v>344.94102036989034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-3.4106051316484809E-13</v>
      </c>
      <c r="O138" s="13">
        <f>N138*VLOOKUP('Données projet'!$B$9,Paramètres!$A$1:$I$89,3,0)*VLOOKUP('Données projet'!$B$9,Paramètres!$A$1:$I$89,5,0)</f>
        <v>-1.9065282685915009E-13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347.01106511825213</v>
      </c>
      <c r="T138" s="59">
        <f t="shared" si="142"/>
        <v>329.53392323581539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60.738226323702889</v>
      </c>
      <c r="AA138" s="21">
        <f>EXP(-LN(2)/25)*AA137+(1-EXP(-LN(2)/25))/(LN(2)/25)*Calculateur!V138*Calculateur!X138*VLOOKUP('Données projet'!$B$9,Paramètres!$A$1:$I$89,3,0)*0.475*44/12</f>
        <v>10.004655969568558</v>
      </c>
      <c r="AB138" s="21">
        <f>EXP(-LN(2)/2)*AB137+(1-EXP(-LN(2)/2))/(LN(2)/2)*V138*Y138*VLOOKUP('Données projet'!$B$9,Paramètres!$A$1:$I$89,3,0)*0.475*44/12</f>
        <v>5.9119935459676681E-9</v>
      </c>
      <c r="AC138" s="22">
        <f t="shared" si="111"/>
        <v>70.742882299183449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3.1428571428571428</v>
      </c>
      <c r="AI138" s="13">
        <f>IF('Données projet'!$A$62&gt;35,AI137+AH138-AQ137,IF(A138&lt;'Données projet'!$A$62,$AF$205^A138,IF(A138='Données projet'!$A$62,'Données projet'!$B$62,AI137+AH138-AQ137)))</f>
        <v>148.14285714285745</v>
      </c>
      <c r="AJ138" s="13">
        <f>AI138*VLOOKUP('Données projet'!$B$10,Paramètres!$A$1:$I$89,3,0)*VLOOKUP('Données projet'!$B$10,Paramètres!$A$1:$I$89,5,0)</f>
        <v>134.03965714285741</v>
      </c>
      <c r="AK138" s="13">
        <f t="shared" si="143"/>
        <v>34.928136538188411</v>
      </c>
      <c r="AL138" s="20">
        <f t="shared" si="112"/>
        <v>294.28557399448806</v>
      </c>
      <c r="AM138" s="59">
        <f t="shared" si="113"/>
        <v>587.61890732782138</v>
      </c>
      <c r="AN138" s="59">
        <f ca="1">AVERAGE(OFFSET($AM$3,0,0,'Données projet'!$E$10+1,1))-AVERAGE(OFFSET($H$3,0,0,'Données projet'!$E$10+1,1))</f>
        <v>209.32570518924194</v>
      </c>
      <c r="AO138" s="59">
        <f t="shared" si="144"/>
        <v>138.10530102720475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13.359608379206263</v>
      </c>
      <c r="AV138" s="21">
        <f>EXP(-LN(2)/25)*AV137+(1-EXP(-LN(2)/25))/(LN(2)/25)*Calculateur!AQ138*Calculateur!AS138*VLOOKUP('Données projet'!$B$10,Paramètres!$A$1:$I$89,3,0)*0.475*44/12</f>
        <v>10.554177351133319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23.913785730339583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219.86035935827329</v>
      </c>
      <c r="BJ138" s="59">
        <f t="shared" si="146"/>
        <v>322.75312534885239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38.115759084445173</v>
      </c>
      <c r="BQ138" s="21">
        <f>EXP(-LN(2)/25)*BQ137+(1-EXP(-LN(2)/25))/(LN(2)/25)*Calculateur!BL138*Calculateur!BN138*VLOOKUP('Données projet'!$B$11,Paramètres!$A$1:$I$89,3,0)*0.475*44/12</f>
        <v>5.2682933635267499</v>
      </c>
      <c r="BR138" s="21">
        <f>EXP(-LN(2)/2)*BR137+(1-EXP(-LN(2)/2))/(LN(2)/2)*BL138*BO138*VLOOKUP('Données projet'!$B$11,Paramètres!$A$1:$I$89,3,0)*0.475*44/12</f>
        <v>1.4642047347808137E-10</v>
      </c>
      <c r="BS138" s="22">
        <f t="shared" si="117"/>
        <v>43.384052448118346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-2.8421709430404007E-13</v>
      </c>
      <c r="BZ138" s="13">
        <f>BY138*VLOOKUP('Données projet'!$B$12,Paramètres!$A$1:$I$89,3,0)*VLOOKUP('Données projet'!$B$12,Paramètres!$A$1:$I$89,5,0)</f>
        <v>-2.2612312022829427E-13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378.47278187128137</v>
      </c>
      <c r="CE138" s="59">
        <f t="shared" si="148"/>
        <v>372.59407061242604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47.810899403384077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47.810899403384077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39.249600000000015</v>
      </c>
      <c r="D139" s="11">
        <f t="shared" si="140"/>
        <v>11.799534614368666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197.03174763440543</v>
      </c>
      <c r="H139" s="67">
        <f t="shared" si="110"/>
        <v>345.57724278669212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-3.4106051316484809E-13</v>
      </c>
      <c r="O139" s="13">
        <f>N139*VLOOKUP('Données projet'!$B$9,Paramètres!$A$1:$I$89,3,0)*VLOOKUP('Données projet'!$B$9,Paramètres!$A$1:$I$89,5,0)</f>
        <v>-1.9065282685915009E-13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347.01106511825213</v>
      </c>
      <c r="T139" s="59">
        <f t="shared" si="142"/>
        <v>329.53392323581539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59.547186752155078</v>
      </c>
      <c r="AA139" s="21">
        <f>EXP(-LN(2)/25)*AA138+(1-EXP(-LN(2)/25))/(LN(2)/25)*Calculateur!V139*Calculateur!X139*VLOOKUP('Données projet'!$B$9,Paramètres!$A$1:$I$89,3,0)*0.475*44/12</f>
        <v>9.7310781259587156</v>
      </c>
      <c r="AB139" s="21">
        <f>EXP(-LN(2)/2)*AB138+(1-EXP(-LN(2)/2))/(LN(2)/2)*V139*Y139*VLOOKUP('Données projet'!$B$9,Paramètres!$A$1:$I$89,3,0)*0.475*44/12</f>
        <v>4.180410726684841E-9</v>
      </c>
      <c r="AC139" s="22">
        <f t="shared" si="111"/>
        <v>69.278264882294195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3.1428571428571428</v>
      </c>
      <c r="AI139" s="13">
        <f>IF('Données projet'!$A$62&gt;35,AI138+AH139-AQ138,IF(A139&lt;'Données projet'!$A$62,$AF$205^A139,IF(A139='Données projet'!$A$62,'Données projet'!$B$62,AI138+AH139-AQ138)))</f>
        <v>151.28571428571459</v>
      </c>
      <c r="AJ139" s="13">
        <f>AI139*VLOOKUP('Données projet'!$B$10,Paramètres!$A$1:$I$89,3,0)*VLOOKUP('Données projet'!$B$10,Paramètres!$A$1:$I$89,5,0)</f>
        <v>136.88331428571456</v>
      </c>
      <c r="AK139" s="13">
        <f t="shared" si="143"/>
        <v>35.582083728170247</v>
      </c>
      <c r="AL139" s="20">
        <f t="shared" si="112"/>
        <v>300.37723487418265</v>
      </c>
      <c r="AM139" s="59">
        <f t="shared" si="113"/>
        <v>593.71056820751596</v>
      </c>
      <c r="AN139" s="59">
        <f ca="1">AVERAGE(OFFSET($AM$3,0,0,'Données projet'!$E$10+1,1))-AVERAGE(OFFSET($H$3,0,0,'Données projet'!$E$10+1,1))</f>
        <v>209.32570518924194</v>
      </c>
      <c r="AO139" s="59">
        <f t="shared" si="144"/>
        <v>138.10530102720475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13.097634607446535</v>
      </c>
      <c r="AV139" s="21">
        <f>EXP(-LN(2)/25)*AV138+(1-EXP(-LN(2)/25))/(LN(2)/25)*Calculateur!AQ139*Calculateur!AS139*VLOOKUP('Données projet'!$B$10,Paramètres!$A$1:$I$89,3,0)*0.475*44/12</f>
        <v>10.265572816446513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23.363207423893048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219.86035935827329</v>
      </c>
      <c r="BJ139" s="59">
        <f t="shared" si="146"/>
        <v>322.75312534885239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37.368332297116666</v>
      </c>
      <c r="BQ139" s="21">
        <f>EXP(-LN(2)/25)*BQ138+(1-EXP(-LN(2)/25))/(LN(2)/25)*Calculateur!BL139*Calculateur!BN139*VLOOKUP('Données projet'!$B$11,Paramètres!$A$1:$I$89,3,0)*0.475*44/12</f>
        <v>5.1242316044536036</v>
      </c>
      <c r="BR139" s="21">
        <f>EXP(-LN(2)/2)*BR138+(1-EXP(-LN(2)/2))/(LN(2)/2)*BL139*BO139*VLOOKUP('Données projet'!$B$11,Paramètres!$A$1:$I$89,3,0)*0.475*44/12</f>
        <v>1.0353490970089637E-10</v>
      </c>
      <c r="BS139" s="22">
        <f t="shared" si="117"/>
        <v>42.492563901673805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-2.8421709430404007E-13</v>
      </c>
      <c r="BZ139" s="13">
        <f>BY139*VLOOKUP('Données projet'!$B$12,Paramètres!$A$1:$I$89,3,0)*VLOOKUP('Données projet'!$B$12,Paramètres!$A$1:$I$89,5,0)</f>
        <v>-2.2612312022829427E-13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378.47278187128137</v>
      </c>
      <c r="CE139" s="59">
        <f t="shared" si="148"/>
        <v>372.59407061242604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46.873356827852867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46.873356827852867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39.538200000000018</v>
      </c>
      <c r="D140" s="11">
        <f t="shared" si="140"/>
        <v>11.876164167327426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198.44140555810591</v>
      </c>
      <c r="H140" s="67">
        <f t="shared" si="110"/>
        <v>346.21335092476198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-3.4106051316484809E-13</v>
      </c>
      <c r="O140" s="13">
        <f>N140*VLOOKUP('Données projet'!$B$9,Paramètres!$A$1:$I$89,3,0)*VLOOKUP('Données projet'!$B$9,Paramètres!$A$1:$I$89,5,0)</f>
        <v>-1.9065282685915009E-13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347.01106511825213</v>
      </c>
      <c r="T140" s="59">
        <f t="shared" si="142"/>
        <v>329.53392323581539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58.379502740142911</v>
      </c>
      <c r="AA140" s="21">
        <f>EXP(-LN(2)/25)*AA139+(1-EXP(-LN(2)/25))/(LN(2)/25)*Calculateur!V140*Calculateur!X140*VLOOKUP('Données projet'!$B$9,Paramètres!$A$1:$I$89,3,0)*0.475*44/12</f>
        <v>9.4649812828692159</v>
      </c>
      <c r="AB140" s="21">
        <f>EXP(-LN(2)/2)*AB139+(1-EXP(-LN(2)/2))/(LN(2)/2)*V140*Y140*VLOOKUP('Données projet'!$B$9,Paramètres!$A$1:$I$89,3,0)*0.475*44/12</f>
        <v>2.955996772983834E-9</v>
      </c>
      <c r="AC140" s="22">
        <f t="shared" si="111"/>
        <v>67.844484025968129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3.1428571428571428</v>
      </c>
      <c r="AI140" s="13">
        <f>IF('Données projet'!$A$62&gt;35,AI139+AH140-AQ139,IF(A140&lt;'Données projet'!$A$62,$AF$205^A140,IF(A140='Données projet'!$A$62,'Données projet'!$B$62,AI139+AH140-AQ139)))</f>
        <v>154.42857142857173</v>
      </c>
      <c r="AJ140" s="13">
        <f>AI140*VLOOKUP('Données projet'!$B$10,Paramètres!$A$1:$I$89,3,0)*VLOOKUP('Données projet'!$B$10,Paramètres!$A$1:$I$89,5,0)</f>
        <v>139.72697142857172</v>
      </c>
      <c r="AK140" s="13">
        <f t="shared" si="143"/>
        <v>36.234451378926238</v>
      </c>
      <c r="AL140" s="20">
        <f t="shared" si="112"/>
        <v>306.46614472305896</v>
      </c>
      <c r="AM140" s="59">
        <f t="shared" si="113"/>
        <v>599.79947805639222</v>
      </c>
      <c r="AN140" s="59">
        <f ca="1">AVERAGE(OFFSET($AM$3,0,0,'Données projet'!$E$10+1,1))-AVERAGE(OFFSET($H$3,0,0,'Données projet'!$E$10+1,1))</f>
        <v>209.32570518924194</v>
      </c>
      <c r="AO140" s="59">
        <f t="shared" si="144"/>
        <v>138.10530102720475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12.840797981562794</v>
      </c>
      <c r="AV140" s="21">
        <f>EXP(-LN(2)/25)*AV139+(1-EXP(-LN(2)/25))/(LN(2)/25)*Calculateur!AQ140*Calculateur!AS140*VLOOKUP('Données projet'!$B$10,Paramètres!$A$1:$I$89,3,0)*0.475*44/12</f>
        <v>9.9848601879377714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22.825658169500564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219.86035935827329</v>
      </c>
      <c r="BJ140" s="59">
        <f t="shared" si="146"/>
        <v>322.75312534885239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36.635562093202346</v>
      </c>
      <c r="BQ140" s="21">
        <f>EXP(-LN(2)/25)*BQ139+(1-EXP(-LN(2)/25))/(LN(2)/25)*Calculateur!BL140*Calculateur!BN140*VLOOKUP('Données projet'!$B$11,Paramètres!$A$1:$I$89,3,0)*0.475*44/12</f>
        <v>4.9841092217581915</v>
      </c>
      <c r="BR140" s="21">
        <f>EXP(-LN(2)/2)*BR139+(1-EXP(-LN(2)/2))/(LN(2)/2)*BL140*BO140*VLOOKUP('Données projet'!$B$11,Paramètres!$A$1:$I$89,3,0)*0.475*44/12</f>
        <v>7.3210236739040685E-11</v>
      </c>
      <c r="BS140" s="22">
        <f t="shared" si="117"/>
        <v>41.619671315033742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-2.8421709430404007E-13</v>
      </c>
      <c r="BZ140" s="13">
        <f>BY140*VLOOKUP('Données projet'!$B$12,Paramètres!$A$1:$I$89,3,0)*VLOOKUP('Données projet'!$B$12,Paramètres!$A$1:$I$89,5,0)</f>
        <v>-2.2612312022829427E-13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378.47278187128137</v>
      </c>
      <c r="CE140" s="59">
        <f t="shared" si="148"/>
        <v>372.59407061242604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45.954198890383317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45.954198890383317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39.82680000000002</v>
      </c>
      <c r="D141" s="11">
        <f t="shared" si="140"/>
        <v>11.952728640172701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199.85081229540353</v>
      </c>
      <c r="H141" s="67">
        <f t="shared" si="110"/>
        <v>346.84934571496751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-3.4106051316484809E-13</v>
      </c>
      <c r="O141" s="13">
        <f>N141*VLOOKUP('Données projet'!$B$9,Paramètres!$A$1:$I$89,3,0)*VLOOKUP('Données projet'!$B$9,Paramètres!$A$1:$I$89,5,0)</f>
        <v>-1.9065282685915009E-13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347.01106511825213</v>
      </c>
      <c r="T141" s="59">
        <f t="shared" si="142"/>
        <v>329.53392323581539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57.234716299389383</v>
      </c>
      <c r="AA141" s="21">
        <f>EXP(-LN(2)/25)*AA140+(1-EXP(-LN(2)/25))/(LN(2)/25)*Calculateur!V141*Calculateur!X141*VLOOKUP('Données projet'!$B$9,Paramètres!$A$1:$I$89,3,0)*0.475*44/12</f>
        <v>9.2061608719474233</v>
      </c>
      <c r="AB141" s="21">
        <f>EXP(-LN(2)/2)*AB140+(1-EXP(-LN(2)/2))/(LN(2)/2)*V141*Y141*VLOOKUP('Données projet'!$B$9,Paramètres!$A$1:$I$89,3,0)*0.475*44/12</f>
        <v>2.0902053633424205E-9</v>
      </c>
      <c r="AC141" s="22">
        <f t="shared" si="111"/>
        <v>66.440877173427012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3.1428571428571428</v>
      </c>
      <c r="AI141" s="13">
        <f>IF('Données projet'!$A$62&gt;35,AI140+AH141-AQ140,IF(A141&lt;'Données projet'!$A$62,$AF$205^A141,IF(A141='Données projet'!$A$62,'Données projet'!$B$62,AI140+AH141-AQ140)))</f>
        <v>157.57142857142887</v>
      </c>
      <c r="AJ141" s="13">
        <f>AI141*VLOOKUP('Données projet'!$B$10,Paramètres!$A$1:$I$89,3,0)*VLOOKUP('Données projet'!$B$10,Paramètres!$A$1:$I$89,5,0)</f>
        <v>142.57062857142884</v>
      </c>
      <c r="AK141" s="13">
        <f t="shared" si="143"/>
        <v>36.885275340810402</v>
      </c>
      <c r="AL141" s="20">
        <f t="shared" si="112"/>
        <v>312.55236598048333</v>
      </c>
      <c r="AM141" s="59">
        <f t="shared" si="113"/>
        <v>605.88569931381664</v>
      </c>
      <c r="AN141" s="59">
        <f ca="1">AVERAGE(OFFSET($AM$3,0,0,'Données projet'!$E$10+1,1))-AVERAGE(OFFSET($H$3,0,0,'Données projet'!$E$10+1,1))</f>
        <v>209.32570518924194</v>
      </c>
      <c r="AO141" s="59">
        <f t="shared" si="144"/>
        <v>138.10530102720475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12.588997765257758</v>
      </c>
      <c r="AV141" s="21">
        <f>EXP(-LN(2)/25)*AV140+(1-EXP(-LN(2)/25))/(LN(2)/25)*Calculateur!AQ141*Calculateur!AS141*VLOOKUP('Données projet'!$B$10,Paramètres!$A$1:$I$89,3,0)*0.475*44/12</f>
        <v>9.7118236610176361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22.300821426275395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219.86035935827329</v>
      </c>
      <c r="BJ141" s="59">
        <f t="shared" si="146"/>
        <v>322.75312534885239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35.917161066041089</v>
      </c>
      <c r="BQ141" s="21">
        <f>EXP(-LN(2)/25)*BQ140+(1-EXP(-LN(2)/25))/(LN(2)/25)*Calculateur!BL141*Calculateur!BN141*VLOOKUP('Données projet'!$B$11,Paramètres!$A$1:$I$89,3,0)*0.475*44/12</f>
        <v>4.8478184929863009</v>
      </c>
      <c r="BR141" s="21">
        <f>EXP(-LN(2)/2)*BR140+(1-EXP(-LN(2)/2))/(LN(2)/2)*BL141*BO141*VLOOKUP('Données projet'!$B$11,Paramètres!$A$1:$I$89,3,0)*0.475*44/12</f>
        <v>5.1767454850448185E-11</v>
      </c>
      <c r="BS141" s="22">
        <f t="shared" si="117"/>
        <v>40.764979559079158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-2.8421709430404007E-13</v>
      </c>
      <c r="BZ141" s="13">
        <f>BY141*VLOOKUP('Données projet'!$B$12,Paramètres!$A$1:$I$89,3,0)*VLOOKUP('Données projet'!$B$12,Paramètres!$A$1:$I$89,5,0)</f>
        <v>-2.2612312022829427E-13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378.47278187128137</v>
      </c>
      <c r="CE141" s="59">
        <f t="shared" si="148"/>
        <v>372.59407061242604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45.053065079436564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45.053065079436564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40.115400000000022</v>
      </c>
      <c r="D142" s="11">
        <f t="shared" si="140"/>
        <v>12.029228559180437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201.25996987753865</v>
      </c>
      <c r="H142" s="67">
        <f t="shared" si="110"/>
        <v>347.485228073906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-3.4106051316484809E-13</v>
      </c>
      <c r="O142" s="13">
        <f>N142*VLOOKUP('Données projet'!$B$9,Paramètres!$A$1:$I$89,3,0)*VLOOKUP('Données projet'!$B$9,Paramètres!$A$1:$I$89,5,0)</f>
        <v>-1.9065282685915009E-13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347.01106511825213</v>
      </c>
      <c r="T142" s="59">
        <f t="shared" si="142"/>
        <v>329.53392323581539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56.112378422488248</v>
      </c>
      <c r="AA142" s="21">
        <f>EXP(-LN(2)/25)*AA141+(1-EXP(-LN(2)/25))/(LN(2)/25)*Calculateur!V142*Calculateur!X142*VLOOKUP('Données projet'!$B$9,Paramètres!$A$1:$I$89,3,0)*0.475*44/12</f>
        <v>8.9544179187730624</v>
      </c>
      <c r="AB142" s="21">
        <f>EXP(-LN(2)/2)*AB141+(1-EXP(-LN(2)/2))/(LN(2)/2)*V142*Y142*VLOOKUP('Données projet'!$B$9,Paramètres!$A$1:$I$89,3,0)*0.475*44/12</f>
        <v>1.477998386491917E-9</v>
      </c>
      <c r="AC142" s="22">
        <f t="shared" si="111"/>
        <v>65.066796342739309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3.1428571428571428</v>
      </c>
      <c r="AI142" s="13">
        <f>IF('Données projet'!$A$62&gt;35,AI141+AH142-AQ141,IF(A142&lt;'Données projet'!$A$62,$AF$205^A142,IF(A142='Données projet'!$A$62,'Données projet'!$B$62,AI141+AH142-AQ141)))</f>
        <v>160.71428571428601</v>
      </c>
      <c r="AJ142" s="13">
        <f>AI142*VLOOKUP('Données projet'!$B$10,Paramètres!$A$1:$I$89,3,0)*VLOOKUP('Données projet'!$B$10,Paramètres!$A$1:$I$89,5,0)</f>
        <v>145.41428571428597</v>
      </c>
      <c r="AK142" s="13">
        <f t="shared" si="143"/>
        <v>37.534589952284961</v>
      </c>
      <c r="AL142" s="20">
        <f t="shared" si="112"/>
        <v>318.63595845261102</v>
      </c>
      <c r="AM142" s="59">
        <f t="shared" si="113"/>
        <v>611.96929178594428</v>
      </c>
      <c r="AN142" s="59">
        <f ca="1">AVERAGE(OFFSET($AM$3,0,0,'Données projet'!$E$10+1,1))-AVERAGE(OFFSET($H$3,0,0,'Données projet'!$E$10+1,1))</f>
        <v>209.32570518924194</v>
      </c>
      <c r="AO142" s="59">
        <f t="shared" si="144"/>
        <v>138.10530102720475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12.342135197611499</v>
      </c>
      <c r="AV142" s="21">
        <f>EXP(-LN(2)/25)*AV141+(1-EXP(-LN(2)/25))/(LN(2)/25)*Calculateur!AQ142*Calculateur!AS142*VLOOKUP('Données projet'!$B$10,Paramètres!$A$1:$I$89,3,0)*0.475*44/12</f>
        <v>9.446253332284499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21.788388529895997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219.86035935827329</v>
      </c>
      <c r="BJ142" s="59">
        <f t="shared" si="146"/>
        <v>322.75312534885239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35.21284744484111</v>
      </c>
      <c r="BQ142" s="21">
        <f>EXP(-LN(2)/25)*BQ141+(1-EXP(-LN(2)/25))/(LN(2)/25)*Calculateur!BL142*Calculateur!BN142*VLOOKUP('Données projet'!$B$11,Paramètres!$A$1:$I$89,3,0)*0.475*44/12</f>
        <v>4.7152546413598957</v>
      </c>
      <c r="BR142" s="21">
        <f>EXP(-LN(2)/2)*BR141+(1-EXP(-LN(2)/2))/(LN(2)/2)*BL142*BO142*VLOOKUP('Données projet'!$B$11,Paramètres!$A$1:$I$89,3,0)*0.475*44/12</f>
        <v>3.6605118369520343E-11</v>
      </c>
      <c r="BS142" s="22">
        <f t="shared" si="117"/>
        <v>39.928102086237615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-2.8421709430404007E-13</v>
      </c>
      <c r="BZ142" s="13">
        <f>BY142*VLOOKUP('Données projet'!$B$12,Paramètres!$A$1:$I$89,3,0)*VLOOKUP('Données projet'!$B$12,Paramètres!$A$1:$I$89,5,0)</f>
        <v>-2.2612312022829427E-13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378.47278187128137</v>
      </c>
      <c r="CE142" s="59">
        <f t="shared" si="148"/>
        <v>372.59407061242604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44.169601952885124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44.169601952885124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40.404000000000025</v>
      </c>
      <c r="D143" s="11">
        <f t="shared" si="140"/>
        <v>12.105664442616717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202.66888030483653</v>
      </c>
      <c r="H143" s="67">
        <f t="shared" si="110"/>
        <v>348.12099890422417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-3.4106051316484809E-13</v>
      </c>
      <c r="O143" s="13">
        <f>N143*VLOOKUP('Données projet'!$B$9,Paramètres!$A$1:$I$89,3,0)*VLOOKUP('Données projet'!$B$9,Paramètres!$A$1:$I$89,5,0)</f>
        <v>-1.9065282685915009E-13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347.01106511825213</v>
      </c>
      <c r="T143" s="59">
        <f t="shared" si="142"/>
        <v>329.53392323581539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55.012048906794639</v>
      </c>
      <c r="AA143" s="21">
        <f>EXP(-LN(2)/25)*AA142+(1-EXP(-LN(2)/25))/(LN(2)/25)*Calculateur!V143*Calculateur!X143*VLOOKUP('Données projet'!$B$9,Paramètres!$A$1:$I$89,3,0)*0.475*44/12</f>
        <v>8.7095588898918397</v>
      </c>
      <c r="AB143" s="21">
        <f>EXP(-LN(2)/2)*AB142+(1-EXP(-LN(2)/2))/(LN(2)/2)*V143*Y143*VLOOKUP('Données projet'!$B$9,Paramètres!$A$1:$I$89,3,0)*0.475*44/12</f>
        <v>1.0451026816712103E-9</v>
      </c>
      <c r="AC143" s="22">
        <f t="shared" si="111"/>
        <v>63.721607797731579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3.1428571428571428</v>
      </c>
      <c r="AI143" s="13">
        <f>IF('Données projet'!$A$62&gt;35,AI142+AH143-AQ142,IF(A143&lt;'Données projet'!$A$62,$AF$205^A143,IF(A143='Données projet'!$A$62,'Données projet'!$B$62,AI142+AH143-AQ142)))</f>
        <v>163.85714285714315</v>
      </c>
      <c r="AJ143" s="13">
        <f>AI143*VLOOKUP('Données projet'!$B$10,Paramètres!$A$1:$I$89,3,0)*VLOOKUP('Données projet'!$B$10,Paramètres!$A$1:$I$89,5,0)</f>
        <v>148.25794285714312</v>
      </c>
      <c r="AK143" s="13">
        <f t="shared" si="143"/>
        <v>38.182428131978256</v>
      </c>
      <c r="AL143" s="20">
        <f t="shared" si="112"/>
        <v>324.71697947271974</v>
      </c>
      <c r="AM143" s="59">
        <f t="shared" si="113"/>
        <v>618.05031280605306</v>
      </c>
      <c r="AN143" s="59">
        <f ca="1">AVERAGE(OFFSET($AM$3,0,0,'Données projet'!$E$10+1,1))-AVERAGE(OFFSET($H$3,0,0,'Données projet'!$E$10+1,1))</f>
        <v>209.32570518924194</v>
      </c>
      <c r="AO143" s="59">
        <f t="shared" si="144"/>
        <v>138.10530102720475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12.100113454345484</v>
      </c>
      <c r="AV143" s="21">
        <f>EXP(-LN(2)/25)*AV142+(1-EXP(-LN(2)/25))/(LN(2)/25)*Calculateur!AQ143*Calculateur!AS143*VLOOKUP('Données projet'!$B$10,Paramètres!$A$1:$I$89,3,0)*0.475*44/12</f>
        <v>9.1879450381563057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21.28805849250179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219.86035935827329</v>
      </c>
      <c r="BJ143" s="59">
        <f t="shared" si="146"/>
        <v>322.75312534885239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34.522344984163972</v>
      </c>
      <c r="BQ143" s="21">
        <f>EXP(-LN(2)/25)*BQ142+(1-EXP(-LN(2)/25))/(LN(2)/25)*Calculateur!BL143*Calculateur!BN143*VLOOKUP('Données projet'!$B$11,Paramètres!$A$1:$I$89,3,0)*0.475*44/12</f>
        <v>4.5863157552274449</v>
      </c>
      <c r="BR143" s="21">
        <f>EXP(-LN(2)/2)*BR142+(1-EXP(-LN(2)/2))/(LN(2)/2)*BL143*BO143*VLOOKUP('Données projet'!$B$11,Paramètres!$A$1:$I$89,3,0)*0.475*44/12</f>
        <v>2.5883727425224093E-11</v>
      </c>
      <c r="BS143" s="22">
        <f t="shared" si="117"/>
        <v>39.108660739417303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-2.8421709430404007E-13</v>
      </c>
      <c r="BZ143" s="13">
        <f>BY143*VLOOKUP('Données projet'!$B$12,Paramètres!$A$1:$I$89,3,0)*VLOOKUP('Données projet'!$B$12,Paramètres!$A$1:$I$89,5,0)</f>
        <v>-2.2612312022829427E-13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378.47278187128137</v>
      </c>
      <c r="CE143" s="59">
        <f t="shared" si="148"/>
        <v>372.59407061242604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43.303462999386056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43.303462999386056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40.692600000000027</v>
      </c>
      <c r="D144" s="11">
        <f t="shared" si="140"/>
        <v>12.182036800915965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204.07754554739506</v>
      </c>
      <c r="H144" s="67">
        <f t="shared" si="110"/>
        <v>348.75665909492869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-3.4106051316484809E-13</v>
      </c>
      <c r="O144" s="13">
        <f>N144*VLOOKUP('Données projet'!$B$9,Paramètres!$A$1:$I$89,3,0)*VLOOKUP('Données projet'!$B$9,Paramètres!$A$1:$I$89,5,0)</f>
        <v>-1.9065282685915009E-13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347.01106511825213</v>
      </c>
      <c r="T144" s="59">
        <f t="shared" si="142"/>
        <v>329.53392323581539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53.933296181769045</v>
      </c>
      <c r="AA144" s="21">
        <f>EXP(-LN(2)/25)*AA143+(1-EXP(-LN(2)/25))/(LN(2)/25)*Calculateur!V144*Calculateur!X144*VLOOKUP('Données projet'!$B$9,Paramètres!$A$1:$I$89,3,0)*0.475*44/12</f>
        <v>8.4713955440319513</v>
      </c>
      <c r="AB144" s="21">
        <f>EXP(-LN(2)/2)*AB143+(1-EXP(-LN(2)/2))/(LN(2)/2)*V144*Y144*VLOOKUP('Données projet'!$B$9,Paramètres!$A$1:$I$89,3,0)*0.475*44/12</f>
        <v>7.3899919324595851E-10</v>
      </c>
      <c r="AC144" s="22">
        <f t="shared" si="111"/>
        <v>62.404691726539994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3.1428571428571428</v>
      </c>
      <c r="AI144" s="13">
        <f>IF('Données projet'!$A$62&gt;35,AI143+AH144-AQ143,IF(A144&lt;'Données projet'!$A$62,$AF$205^A144,IF(A144='Données projet'!$A$62,'Données projet'!$B$62,AI143+AH144-AQ143)))</f>
        <v>167.00000000000028</v>
      </c>
      <c r="AJ144" s="13">
        <f>AI144*VLOOKUP('Données projet'!$B$10,Paramètres!$A$1:$I$89,3,0)*VLOOKUP('Données projet'!$B$10,Paramètres!$A$1:$I$89,5,0)</f>
        <v>151.10160000000025</v>
      </c>
      <c r="AK144" s="13">
        <f t="shared" si="143"/>
        <v>38.828821463479805</v>
      </c>
      <c r="AL144" s="20">
        <f t="shared" si="112"/>
        <v>330.79548404889437</v>
      </c>
      <c r="AM144" s="59">
        <f t="shared" si="113"/>
        <v>624.12881738222768</v>
      </c>
      <c r="AN144" s="59">
        <f ca="1">AVERAGE(OFFSET($AM$3,0,0,'Données projet'!$E$10+1,1))-AVERAGE(OFFSET($H$3,0,0,'Données projet'!$E$10+1,1))</f>
        <v>209.32570518924194</v>
      </c>
      <c r="AO144" s="59">
        <f t="shared" si="144"/>
        <v>138.10530102720475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11.862837609846228</v>
      </c>
      <c r="AV144" s="21">
        <f>EXP(-LN(2)/25)*AV143+(1-EXP(-LN(2)/25))/(LN(2)/25)*Calculateur!AQ144*Calculateur!AS144*VLOOKUP('Données projet'!$B$10,Paramètres!$A$1:$I$89,3,0)*0.475*44/12</f>
        <v>8.9367001979148917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20.799537807761119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219.86035935827329</v>
      </c>
      <c r="BJ144" s="59">
        <f t="shared" si="146"/>
        <v>322.75312534885239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33.845382855575792</v>
      </c>
      <c r="BQ144" s="21">
        <f>EXP(-LN(2)/25)*BQ143+(1-EXP(-LN(2)/25))/(LN(2)/25)*Calculateur!BL144*Calculateur!BN144*VLOOKUP('Données projet'!$B$11,Paramètres!$A$1:$I$89,3,0)*0.475*44/12</f>
        <v>4.460902709716887</v>
      </c>
      <c r="BR144" s="21">
        <f>EXP(-LN(2)/2)*BR143+(1-EXP(-LN(2)/2))/(LN(2)/2)*BL144*BO144*VLOOKUP('Données projet'!$B$11,Paramètres!$A$1:$I$89,3,0)*0.475*44/12</f>
        <v>1.8302559184760171E-11</v>
      </c>
      <c r="BS144" s="22">
        <f t="shared" si="117"/>
        <v>38.306285565310986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-2.8421709430404007E-13</v>
      </c>
      <c r="BZ144" s="13">
        <f>BY144*VLOOKUP('Données projet'!$B$12,Paramètres!$A$1:$I$89,3,0)*VLOOKUP('Données projet'!$B$12,Paramètres!$A$1:$I$89,5,0)</f>
        <v>-2.2612312022829427E-13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378.47278187128137</v>
      </c>
      <c r="CE144" s="59">
        <f t="shared" si="148"/>
        <v>372.59407061242604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42.454308502472507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42.454308502472507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40.98120000000003</v>
      </c>
      <c r="D145" s="11">
        <f t="shared" si="140"/>
        <v>12.258346136854001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205.4859675457524</v>
      </c>
      <c r="H145" s="67">
        <f t="shared" si="110"/>
        <v>349.39220952168745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-3.4106051316484809E-13</v>
      </c>
      <c r="O145" s="13">
        <f>N145*VLOOKUP('Données projet'!$B$9,Paramètres!$A$1:$I$89,3,0)*VLOOKUP('Données projet'!$B$9,Paramètres!$A$1:$I$89,5,0)</f>
        <v>-1.9065282685915009E-13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347.01106511825213</v>
      </c>
      <c r="T145" s="59">
        <f t="shared" si="142"/>
        <v>329.53392323581539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52.875697139707007</v>
      </c>
      <c r="AA145" s="21">
        <f>EXP(-LN(2)/25)*AA144+(1-EXP(-LN(2)/25))/(LN(2)/25)*Calculateur!V145*Calculateur!X145*VLOOKUP('Données projet'!$B$9,Paramètres!$A$1:$I$89,3,0)*0.475*44/12</f>
        <v>8.2397447873890677</v>
      </c>
      <c r="AB145" s="21">
        <f>EXP(-LN(2)/2)*AB144+(1-EXP(-LN(2)/2))/(LN(2)/2)*V145*Y145*VLOOKUP('Données projet'!$B$9,Paramètres!$A$1:$I$89,3,0)*0.475*44/12</f>
        <v>5.2255134083560513E-10</v>
      </c>
      <c r="AC145" s="22">
        <f t="shared" si="111"/>
        <v>61.115441927618626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3.1428571428571428</v>
      </c>
      <c r="AI145" s="13">
        <f>IF('Données projet'!$A$62&gt;35,AI144+AH145-AQ144,IF(A145&lt;'Données projet'!$A$62,$AF$205^A145,IF(A145='Données projet'!$A$62,'Données projet'!$B$62,AI144+AH145-AQ144)))</f>
        <v>170.14285714285742</v>
      </c>
      <c r="AJ145" s="13">
        <f>AI145*VLOOKUP('Données projet'!$B$10,Paramètres!$A$1:$I$89,3,0)*VLOOKUP('Données projet'!$B$10,Paramètres!$A$1:$I$89,5,0)</f>
        <v>153.9452571428574</v>
      </c>
      <c r="AK145" s="13">
        <f t="shared" si="143"/>
        <v>39.473800273572188</v>
      </c>
      <c r="AL145" s="20">
        <f t="shared" si="112"/>
        <v>336.87152500028151</v>
      </c>
      <c r="AM145" s="59">
        <f t="shared" si="113"/>
        <v>630.20485833361477</v>
      </c>
      <c r="AN145" s="59">
        <f ca="1">AVERAGE(OFFSET($AM$3,0,0,'Données projet'!$E$10+1,1))-AVERAGE(OFFSET($H$3,0,0,'Données projet'!$E$10+1,1))</f>
        <v>209.32570518924194</v>
      </c>
      <c r="AO145" s="59">
        <f t="shared" si="144"/>
        <v>138.10530102720475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11.630214599933627</v>
      </c>
      <c r="AV145" s="21">
        <f>EXP(-LN(2)/25)*AV144+(1-EXP(-LN(2)/25))/(LN(2)/25)*Calculateur!AQ145*Calculateur!AS145*VLOOKUP('Données projet'!$B$10,Paramètres!$A$1:$I$89,3,0)*0.475*44/12</f>
        <v>8.6923256610422701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20.322540260975899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219.86035935827329</v>
      </c>
      <c r="BJ145" s="59">
        <f t="shared" si="146"/>
        <v>322.75312534885239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33.181695541423103</v>
      </c>
      <c r="BQ145" s="21">
        <f>EXP(-LN(2)/25)*BQ144+(1-EXP(-LN(2)/25))/(LN(2)/25)*Calculateur!BL145*Calculateur!BN145*VLOOKUP('Données projet'!$B$11,Paramètres!$A$1:$I$89,3,0)*0.475*44/12</f>
        <v>4.3389190905310011</v>
      </c>
      <c r="BR145" s="21">
        <f>EXP(-LN(2)/2)*BR144+(1-EXP(-LN(2)/2))/(LN(2)/2)*BL145*BO145*VLOOKUP('Données projet'!$B$11,Paramètres!$A$1:$I$89,3,0)*0.475*44/12</f>
        <v>1.2941863712612046E-11</v>
      </c>
      <c r="BS145" s="22">
        <f t="shared" si="117"/>
        <v>37.520614631967042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-2.8421709430404007E-13</v>
      </c>
      <c r="BZ145" s="13">
        <f>BY145*VLOOKUP('Données projet'!$B$12,Paramètres!$A$1:$I$89,3,0)*VLOOKUP('Données projet'!$B$12,Paramètres!$A$1:$I$89,5,0)</f>
        <v>-2.2612312022829427E-13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378.47278187128137</v>
      </c>
      <c r="CE145" s="59">
        <f t="shared" si="148"/>
        <v>372.59407061242604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41.621805407310333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41.621805407310333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41.269800000000032</v>
      </c>
      <c r="D146" s="11">
        <f t="shared" si="140"/>
        <v>12.334592945716047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206.89414821153574</v>
      </c>
      <c r="H146" s="67">
        <f t="shared" si="110"/>
        <v>350.02765104712216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-3.4106051316484809E-13</v>
      </c>
      <c r="O146" s="13">
        <f>N146*VLOOKUP('Données projet'!$B$9,Paramètres!$A$1:$I$89,3,0)*VLOOKUP('Données projet'!$B$9,Paramètres!$A$1:$I$89,5,0)</f>
        <v>-1.9065282685915009E-13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347.01106511825213</v>
      </c>
      <c r="T146" s="59">
        <f t="shared" si="142"/>
        <v>329.53392323581539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51.83883696978809</v>
      </c>
      <c r="AA146" s="21">
        <f>EXP(-LN(2)/25)*AA145+(1-EXP(-LN(2)/25))/(LN(2)/25)*Calculateur!V146*Calculateur!X146*VLOOKUP('Données projet'!$B$9,Paramètres!$A$1:$I$89,3,0)*0.475*44/12</f>
        <v>8.0144285328685676</v>
      </c>
      <c r="AB146" s="21">
        <f>EXP(-LN(2)/2)*AB145+(1-EXP(-LN(2)/2))/(LN(2)/2)*V146*Y146*VLOOKUP('Données projet'!$B$9,Paramètres!$A$1:$I$89,3,0)*0.475*44/12</f>
        <v>3.6949959662297926E-10</v>
      </c>
      <c r="AC146" s="22">
        <f t="shared" si="111"/>
        <v>59.853265503026151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3.1428571428571428</v>
      </c>
      <c r="AI146" s="13">
        <f>IF('Données projet'!$A$62&gt;35,AI145+AH146-AQ145,IF(A146&lt;'Données projet'!$A$62,$AF$205^A146,IF(A146='Données projet'!$A$62,'Données projet'!$B$62,AI145+AH146-AQ145)))</f>
        <v>173.28571428571456</v>
      </c>
      <c r="AJ146" s="13">
        <f>AI146*VLOOKUP('Données projet'!$B$10,Paramètres!$A$1:$I$89,3,0)*VLOOKUP('Données projet'!$B$10,Paramètres!$A$1:$I$89,5,0)</f>
        <v>156.78891428571453</v>
      </c>
      <c r="AK146" s="13">
        <f t="shared" si="143"/>
        <v>40.117393704518499</v>
      </c>
      <c r="AL146" s="20">
        <f t="shared" si="112"/>
        <v>342.94515308298918</v>
      </c>
      <c r="AM146" s="59">
        <f t="shared" si="113"/>
        <v>636.27848641632249</v>
      </c>
      <c r="AN146" s="59">
        <f ca="1">AVERAGE(OFFSET($AM$3,0,0,'Données projet'!$E$10+1,1))-AVERAGE(OFFSET($H$3,0,0,'Données projet'!$E$10+1,1))</f>
        <v>209.32570518924194</v>
      </c>
      <c r="AO146" s="59">
        <f t="shared" si="144"/>
        <v>138.10530102720475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11.402153185359387</v>
      </c>
      <c r="AV146" s="21">
        <f>EXP(-LN(2)/25)*AV145+(1-EXP(-LN(2)/25))/(LN(2)/25)*Calculateur!AQ146*Calculateur!AS146*VLOOKUP('Données projet'!$B$10,Paramètres!$A$1:$I$89,3,0)*0.475*44/12</f>
        <v>8.4546335587315298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19.856786744090918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219.86035935827329</v>
      </c>
      <c r="BJ146" s="59">
        <f t="shared" si="146"/>
        <v>322.75312534885239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32.53102273069166</v>
      </c>
      <c r="BQ146" s="21">
        <f>EXP(-LN(2)/25)*BQ145+(1-EXP(-LN(2)/25))/(LN(2)/25)*Calculateur!BL146*Calculateur!BN146*VLOOKUP('Données projet'!$B$11,Paramètres!$A$1:$I$89,3,0)*0.475*44/12</f>
        <v>4.2202711198265925</v>
      </c>
      <c r="BR146" s="21">
        <f>EXP(-LN(2)/2)*BR145+(1-EXP(-LN(2)/2))/(LN(2)/2)*BL146*BO146*VLOOKUP('Données projet'!$B$11,Paramètres!$A$1:$I$89,3,0)*0.475*44/12</f>
        <v>9.1512795923800856E-12</v>
      </c>
      <c r="BS146" s="22">
        <f t="shared" si="117"/>
        <v>36.751293850527404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-2.8421709430404007E-13</v>
      </c>
      <c r="BZ146" s="13">
        <f>BY146*VLOOKUP('Données projet'!$B$12,Paramètres!$A$1:$I$89,3,0)*VLOOKUP('Données projet'!$B$12,Paramètres!$A$1:$I$89,5,0)</f>
        <v>-2.2612312022829427E-13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378.47278187128137</v>
      </c>
      <c r="CE146" s="59">
        <f t="shared" si="148"/>
        <v>372.59407061242604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40.80562719006754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40.80562719006754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41.558400000000034</v>
      </c>
      <c r="D147" s="11">
        <f t="shared" si="140"/>
        <v>12.410777715459897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208.30208942809099</v>
      </c>
      <c r="H147" s="67">
        <f t="shared" si="110"/>
        <v>350.66298452109271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-3.4106051316484809E-13</v>
      </c>
      <c r="O147" s="13">
        <f>N147*VLOOKUP('Données projet'!$B$9,Paramètres!$A$1:$I$89,3,0)*VLOOKUP('Données projet'!$B$9,Paramètres!$A$1:$I$89,5,0)</f>
        <v>-1.9065282685915009E-13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347.01106511825213</v>
      </c>
      <c r="T147" s="59">
        <f t="shared" si="142"/>
        <v>329.53392323581539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50.822308995379025</v>
      </c>
      <c r="AA147" s="21">
        <f>EXP(-LN(2)/25)*AA146+(1-EXP(-LN(2)/25))/(LN(2)/25)*Calculateur!V147*Calculateur!X147*VLOOKUP('Données projet'!$B$9,Paramètres!$A$1:$I$89,3,0)*0.475*44/12</f>
        <v>7.7952735631767975</v>
      </c>
      <c r="AB147" s="21">
        <f>EXP(-LN(2)/2)*AB146+(1-EXP(-LN(2)/2))/(LN(2)/2)*V147*Y147*VLOOKUP('Données projet'!$B$9,Paramètres!$A$1:$I$89,3,0)*0.475*44/12</f>
        <v>2.6127567041780256E-10</v>
      </c>
      <c r="AC147" s="22">
        <f t="shared" si="111"/>
        <v>58.617582558817098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3.1428571428571428</v>
      </c>
      <c r="AI147" s="13">
        <f>IF('Données projet'!$A$62&gt;35,AI146+AH147-AQ146,IF(A147&lt;'Données projet'!$A$62,$AF$205^A147,IF(A147='Données projet'!$A$62,'Données projet'!$B$62,AI146+AH147-AQ146)))</f>
        <v>176.4285714285717</v>
      </c>
      <c r="AJ147" s="13">
        <f>AI147*VLOOKUP('Données projet'!$B$10,Paramètres!$A$1:$I$89,3,0)*VLOOKUP('Données projet'!$B$10,Paramètres!$A$1:$I$89,5,0)</f>
        <v>159.63257142857168</v>
      </c>
      <c r="AK147" s="13">
        <f t="shared" si="143"/>
        <v>40.759629780957553</v>
      </c>
      <c r="AL147" s="20">
        <f t="shared" si="112"/>
        <v>349.01641710659669</v>
      </c>
      <c r="AM147" s="59">
        <f t="shared" si="113"/>
        <v>642.34975043992995</v>
      </c>
      <c r="AN147" s="59">
        <f ca="1">AVERAGE(OFFSET($AM$3,0,0,'Données projet'!$E$10+1,1))-AVERAGE(OFFSET($H$3,0,0,'Données projet'!$E$10+1,1))</f>
        <v>209.32570518924194</v>
      </c>
      <c r="AO147" s="59">
        <f t="shared" si="144"/>
        <v>138.10530102720475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11.17856391602122</v>
      </c>
      <c r="AV147" s="21">
        <f>EXP(-LN(2)/25)*AV146+(1-EXP(-LN(2)/25))/(LN(2)/25)*Calculateur!AQ147*Calculateur!AS147*VLOOKUP('Données projet'!$B$10,Paramètres!$A$1:$I$89,3,0)*0.475*44/12</f>
        <v>8.2234411594581598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19.40200507547938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219.86035935827329</v>
      </c>
      <c r="BJ147" s="59">
        <f t="shared" si="146"/>
        <v>322.75312534885239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31.89310921690743</v>
      </c>
      <c r="BQ147" s="21">
        <f>EXP(-LN(2)/25)*BQ146+(1-EXP(-LN(2)/25))/(LN(2)/25)*Calculateur!BL147*Calculateur!BN147*VLOOKUP('Données projet'!$B$11,Paramètres!$A$1:$I$89,3,0)*0.475*44/12</f>
        <v>4.1048675841205213</v>
      </c>
      <c r="BR147" s="21">
        <f>EXP(-LN(2)/2)*BR146+(1-EXP(-LN(2)/2))/(LN(2)/2)*BL147*BO147*VLOOKUP('Données projet'!$B$11,Paramètres!$A$1:$I$89,3,0)*0.475*44/12</f>
        <v>6.4709318563060231E-12</v>
      </c>
      <c r="BS147" s="22">
        <f t="shared" si="117"/>
        <v>35.997976801034426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-2.8421709430404007E-13</v>
      </c>
      <c r="BZ147" s="13">
        <f>BY147*VLOOKUP('Données projet'!$B$12,Paramètres!$A$1:$I$89,3,0)*VLOOKUP('Données projet'!$B$12,Paramètres!$A$1:$I$89,5,0)</f>
        <v>-2.2612312022829427E-13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378.47278187128137</v>
      </c>
      <c r="CE147" s="59">
        <f t="shared" si="148"/>
        <v>372.59407061242604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40.005453729845321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40.005453729845321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41.847000000000037</v>
      </c>
      <c r="D148" s="11">
        <f t="shared" si="140"/>
        <v>12.486900926874478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209.70979305109464</v>
      </c>
      <c r="H148" s="67">
        <f t="shared" si="110"/>
        <v>351.29821078097314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-3.4106051316484809E-13</v>
      </c>
      <c r="O148" s="13">
        <f>N148*VLOOKUP('Données projet'!$B$9,Paramètres!$A$1:$I$89,3,0)*VLOOKUP('Données projet'!$B$9,Paramètres!$A$1:$I$89,5,0)</f>
        <v>-1.9065282685915009E-13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347.01106511825213</v>
      </c>
      <c r="T148" s="59">
        <f t="shared" si="142"/>
        <v>329.53392323581539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49.825714514527277</v>
      </c>
      <c r="AA148" s="21">
        <f>EXP(-LN(2)/25)*AA147+(1-EXP(-LN(2)/25))/(LN(2)/25)*Calculateur!V148*Calculateur!X148*VLOOKUP('Données projet'!$B$9,Paramètres!$A$1:$I$89,3,0)*0.475*44/12</f>
        <v>7.5821113976561074</v>
      </c>
      <c r="AB148" s="21">
        <f>EXP(-LN(2)/2)*AB147+(1-EXP(-LN(2)/2))/(LN(2)/2)*V148*Y148*VLOOKUP('Données projet'!$B$9,Paramètres!$A$1:$I$89,3,0)*0.475*44/12</f>
        <v>1.8474979831148963E-10</v>
      </c>
      <c r="AC148" s="22">
        <f t="shared" si="111"/>
        <v>57.407825912368132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3.1428571428571428</v>
      </c>
      <c r="AI148" s="13">
        <f>IF('Données projet'!$A$62&gt;35,AI147+AH148-AQ147,IF(A148&lt;'Données projet'!$A$62,$AF$205^A148,IF(A148='Données projet'!$A$62,'Données projet'!$B$62,AI147+AH148-AQ147)))</f>
        <v>179.57142857142884</v>
      </c>
      <c r="AJ148" s="13">
        <f>AI148*VLOOKUP('Données projet'!$B$10,Paramètres!$A$1:$I$89,3,0)*VLOOKUP('Données projet'!$B$10,Paramètres!$A$1:$I$89,5,0)</f>
        <v>162.47622857142881</v>
      </c>
      <c r="AK148" s="13">
        <f t="shared" si="143"/>
        <v>41.4005354718972</v>
      </c>
      <c r="AL148" s="20">
        <f t="shared" si="112"/>
        <v>355.08536404212606</v>
      </c>
      <c r="AM148" s="59">
        <f t="shared" si="113"/>
        <v>648.41869737545937</v>
      </c>
      <c r="AN148" s="59">
        <f ca="1">AVERAGE(OFFSET($AM$3,0,0,'Données projet'!$E$10+1,1))-AVERAGE(OFFSET($H$3,0,0,'Données projet'!$E$10+1,1))</f>
        <v>209.32570518924194</v>
      </c>
      <c r="AO148" s="59">
        <f t="shared" si="144"/>
        <v>138.10530102720475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10.959359095878787</v>
      </c>
      <c r="AV148" s="21">
        <f>EXP(-LN(2)/25)*AV147+(1-EXP(-LN(2)/25))/(LN(2)/25)*Calculateur!AQ148*Calculateur!AS148*VLOOKUP('Données projet'!$B$10,Paramètres!$A$1:$I$89,3,0)*0.475*44/12</f>
        <v>7.998570728500801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18.957929824379587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219.86035935827329</v>
      </c>
      <c r="BJ148" s="59">
        <f t="shared" si="146"/>
        <v>322.75312534885239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31.267704798039684</v>
      </c>
      <c r="BQ148" s="21">
        <f>EXP(-LN(2)/25)*BQ147+(1-EXP(-LN(2)/25))/(LN(2)/25)*Calculateur!BL148*Calculateur!BN148*VLOOKUP('Données projet'!$B$11,Paramètres!$A$1:$I$89,3,0)*0.475*44/12</f>
        <v>3.992619764167141</v>
      </c>
      <c r="BR148" s="21">
        <f>EXP(-LN(2)/2)*BR147+(1-EXP(-LN(2)/2))/(LN(2)/2)*BL148*BO148*VLOOKUP('Données projet'!$B$11,Paramètres!$A$1:$I$89,3,0)*0.475*44/12</f>
        <v>4.5756397961900428E-12</v>
      </c>
      <c r="BS148" s="22">
        <f t="shared" si="117"/>
        <v>35.260324562211402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-2.8421709430404007E-13</v>
      </c>
      <c r="BZ148" s="13">
        <f>BY148*VLOOKUP('Données projet'!$B$12,Paramètres!$A$1:$I$89,3,0)*VLOOKUP('Données projet'!$B$12,Paramètres!$A$1:$I$89,5,0)</f>
        <v>-2.2612312022829427E-13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378.47278187128137</v>
      </c>
      <c r="CE148" s="59">
        <f t="shared" si="148"/>
        <v>372.59407061242604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39.22097118312044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39.22097118312044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42.135600000000039</v>
      </c>
      <c r="D149" s="11">
        <f t="shared" si="140"/>
        <v>12.562963053733803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211.11726090914817</v>
      </c>
      <c r="H149" s="67">
        <f t="shared" si="110"/>
        <v>351.93333065191979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-3.4106051316484809E-13</v>
      </c>
      <c r="O149" s="13">
        <f>N149*VLOOKUP('Données projet'!$B$9,Paramètres!$A$1:$I$89,3,0)*VLOOKUP('Données projet'!$B$9,Paramètres!$A$1:$I$89,5,0)</f>
        <v>-1.9065282685915009E-13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347.01106511825213</v>
      </c>
      <c r="T149" s="59">
        <f t="shared" si="142"/>
        <v>329.53392323581539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48.848662643582422</v>
      </c>
      <c r="AA149" s="21">
        <f>EXP(-LN(2)/25)*AA148+(1-EXP(-LN(2)/25))/(LN(2)/25)*Calculateur!V149*Calculateur!X149*VLOOKUP('Données projet'!$B$9,Paramètres!$A$1:$I$89,3,0)*0.475*44/12</f>
        <v>7.3747781627612916</v>
      </c>
      <c r="AB149" s="21">
        <f>EXP(-LN(2)/2)*AB148+(1-EXP(-LN(2)/2))/(LN(2)/2)*V149*Y149*VLOOKUP('Données projet'!$B$9,Paramètres!$A$1:$I$89,3,0)*0.475*44/12</f>
        <v>1.3063783520890128E-10</v>
      </c>
      <c r="AC149" s="22">
        <f t="shared" si="111"/>
        <v>56.223440806474358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3.1428571428571428</v>
      </c>
      <c r="AI149" s="13">
        <f>IF('Données projet'!$A$62&gt;35,AI148+AH149-AQ148,IF(A149&lt;'Données projet'!$A$62,$AF$205^A149,IF(A149='Données projet'!$A$62,'Données projet'!$B$62,AI148+AH149-AQ148)))</f>
        <v>182.71428571428598</v>
      </c>
      <c r="AJ149" s="13">
        <f>AI149*VLOOKUP('Données projet'!$B$10,Paramètres!$A$1:$I$89,3,0)*VLOOKUP('Données projet'!$B$10,Paramètres!$A$1:$I$89,5,0)</f>
        <v>165.31988571428593</v>
      </c>
      <c r="AK149" s="13">
        <f t="shared" si="143"/>
        <v>42.04013674824526</v>
      </c>
      <c r="AL149" s="20">
        <f t="shared" si="112"/>
        <v>361.15203912224183</v>
      </c>
      <c r="AM149" s="59">
        <f t="shared" si="113"/>
        <v>654.48537245557509</v>
      </c>
      <c r="AN149" s="59">
        <f ca="1">AVERAGE(OFFSET($AM$3,0,0,'Données projet'!$E$10+1,1))-AVERAGE(OFFSET($H$3,0,0,'Données projet'!$E$10+1,1))</f>
        <v>209.32570518924194</v>
      </c>
      <c r="AO149" s="59">
        <f t="shared" si="144"/>
        <v>138.10530102720475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10.744452748557608</v>
      </c>
      <c r="AV149" s="21">
        <f>EXP(-LN(2)/25)*AV148+(1-EXP(-LN(2)/25))/(LN(2)/25)*Calculateur!AQ149*Calculateur!AS149*VLOOKUP('Données projet'!$B$10,Paramètres!$A$1:$I$89,3,0)*0.475*44/12</f>
        <v>7.7798493913033928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18.524302139861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219.86035935827329</v>
      </c>
      <c r="BJ149" s="59">
        <f t="shared" si="146"/>
        <v>322.75312534885239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30.654564178366908</v>
      </c>
      <c r="BQ149" s="21">
        <f>EXP(-LN(2)/25)*BQ148+(1-EXP(-LN(2)/25))/(LN(2)/25)*Calculateur!BL149*Calculateur!BN149*VLOOKUP('Données projet'!$B$11,Paramètres!$A$1:$I$89,3,0)*0.475*44/12</f>
        <v>3.8834413667532424</v>
      </c>
      <c r="BR149" s="21">
        <f>EXP(-LN(2)/2)*BR148+(1-EXP(-LN(2)/2))/(LN(2)/2)*BL149*BO149*VLOOKUP('Données projet'!$B$11,Paramètres!$A$1:$I$89,3,0)*0.475*44/12</f>
        <v>3.2354659281530116E-12</v>
      </c>
      <c r="BS149" s="22">
        <f t="shared" si="117"/>
        <v>34.538005545123383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-2.8421709430404007E-13</v>
      </c>
      <c r="BZ149" s="13">
        <f>BY149*VLOOKUP('Données projet'!$B$12,Paramètres!$A$1:$I$89,3,0)*VLOOKUP('Données projet'!$B$12,Paramètres!$A$1:$I$89,5,0)</f>
        <v>-2.2612312022829427E-13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378.47278187128137</v>
      </c>
      <c r="CE149" s="59">
        <f t="shared" si="148"/>
        <v>372.59407061242604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38.451871860649725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38.451871860649725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42.424200000000042</v>
      </c>
      <c r="D150" s="11">
        <f t="shared" si="140"/>
        <v>12.638964562946704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212.52449480435587</v>
      </c>
      <c r="H150" s="67">
        <f t="shared" si="110"/>
        <v>352.56834494713223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-3.4106051316484809E-13</v>
      </c>
      <c r="O150" s="13">
        <f>N150*VLOOKUP('Données projet'!$B$9,Paramètres!$A$1:$I$89,3,0)*VLOOKUP('Données projet'!$B$9,Paramètres!$A$1:$I$89,5,0)</f>
        <v>-1.9065282685915009E-13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347.01106511825213</v>
      </c>
      <c r="T150" s="59">
        <f t="shared" si="142"/>
        <v>329.53392323581539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47.890770163884</v>
      </c>
      <c r="AA150" s="21">
        <f>EXP(-LN(2)/25)*AA149+(1-EXP(-LN(2)/25))/(LN(2)/25)*Calculateur!V150*Calculateur!X150*VLOOKUP('Données projet'!$B$9,Paramètres!$A$1:$I$89,3,0)*0.475*44/12</f>
        <v>7.1731144660778554</v>
      </c>
      <c r="AB150" s="21">
        <f>EXP(-LN(2)/2)*AB149+(1-EXP(-LN(2)/2))/(LN(2)/2)*V150*Y150*VLOOKUP('Données projet'!$B$9,Paramètres!$A$1:$I$89,3,0)*0.475*44/12</f>
        <v>9.2374899155744814E-11</v>
      </c>
      <c r="AC150" s="22">
        <f t="shared" si="111"/>
        <v>55.063884630054233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3.1428571428571428</v>
      </c>
      <c r="AI150" s="13">
        <f>IF('Données projet'!$A$62&gt;35,AI149+AH150-AQ149,IF(A150&lt;'Données projet'!$A$62,$AF$205^A150,IF(A150='Données projet'!$A$62,'Données projet'!$B$62,AI149+AH150-AQ149)))</f>
        <v>185.85714285714312</v>
      </c>
      <c r="AJ150" s="13">
        <f>AI150*VLOOKUP('Données projet'!$B$10,Paramètres!$A$1:$I$89,3,0)*VLOOKUP('Données projet'!$B$10,Paramètres!$A$1:$I$89,5,0)</f>
        <v>168.16354285714309</v>
      </c>
      <c r="AK150" s="13">
        <f t="shared" si="143"/>
        <v>42.67845863626917</v>
      </c>
      <c r="AL150" s="20">
        <f t="shared" si="112"/>
        <v>367.2164859343597</v>
      </c>
      <c r="AM150" s="59">
        <f t="shared" si="113"/>
        <v>660.54981926769301</v>
      </c>
      <c r="AN150" s="59">
        <f ca="1">AVERAGE(OFFSET($AM$3,0,0,'Données projet'!$E$10+1,1))-AVERAGE(OFFSET($H$3,0,0,'Données projet'!$E$10+1,1))</f>
        <v>209.32570518924194</v>
      </c>
      <c r="AO150" s="59">
        <f t="shared" si="144"/>
        <v>138.10530102720475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10.533760583627469</v>
      </c>
      <c r="AV150" s="21">
        <f>EXP(-LN(2)/25)*AV149+(1-EXP(-LN(2)/25))/(LN(2)/25)*Calculateur!AQ150*Calculateur!AS150*VLOOKUP('Données projet'!$B$10,Paramètres!$A$1:$I$89,3,0)*0.475*44/12</f>
        <v>7.5671090005737032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18.10086958420117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219.86035935827329</v>
      </c>
      <c r="BJ150" s="59">
        <f t="shared" si="146"/>
        <v>322.75312534885239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30.053446872267063</v>
      </c>
      <c r="BQ150" s="21">
        <f>EXP(-LN(2)/25)*BQ149+(1-EXP(-LN(2)/25))/(LN(2)/25)*Calculateur!BL150*Calculateur!BN150*VLOOKUP('Données projet'!$B$11,Paramètres!$A$1:$I$89,3,0)*0.475*44/12</f>
        <v>3.777248458358069</v>
      </c>
      <c r="BR150" s="21">
        <f>EXP(-LN(2)/2)*BR149+(1-EXP(-LN(2)/2))/(LN(2)/2)*BL150*BO150*VLOOKUP('Données projet'!$B$11,Paramètres!$A$1:$I$89,3,0)*0.475*44/12</f>
        <v>2.2878198980950214E-12</v>
      </c>
      <c r="BS150" s="22">
        <f t="shared" si="117"/>
        <v>33.830695330627421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-2.8421709430404007E-13</v>
      </c>
      <c r="BZ150" s="13">
        <f>BY150*VLOOKUP('Données projet'!$B$12,Paramètres!$A$1:$I$89,3,0)*VLOOKUP('Données projet'!$B$12,Paramètres!$A$1:$I$89,5,0)</f>
        <v>-2.2612312022829427E-13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378.47278187128137</v>
      </c>
      <c r="CE150" s="59">
        <f t="shared" si="148"/>
        <v>372.59407061242604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37.697854106788398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37.697854106788398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42.712800000000044</v>
      </c>
      <c r="D151" s="11">
        <f t="shared" si="140"/>
        <v>12.714905914702317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213.9314965128863</v>
      </c>
      <c r="H151" s="67">
        <f t="shared" si="110"/>
        <v>353.20325446810659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-3.4106051316484809E-13</v>
      </c>
      <c r="O151" s="13">
        <f>N151*VLOOKUP('Données projet'!$B$9,Paramètres!$A$1:$I$89,3,0)*VLOOKUP('Données projet'!$B$9,Paramètres!$A$1:$I$89,5,0)</f>
        <v>-1.9065282685915009E-13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347.01106511825213</v>
      </c>
      <c r="T151" s="59">
        <f t="shared" si="142"/>
        <v>329.53392323581539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46.951661371455735</v>
      </c>
      <c r="AA151" s="21">
        <f>EXP(-LN(2)/25)*AA150+(1-EXP(-LN(2)/25))/(LN(2)/25)*Calculateur!V151*Calculateur!X151*VLOOKUP('Données projet'!$B$9,Paramètres!$A$1:$I$89,3,0)*0.475*44/12</f>
        <v>6.976965273785261</v>
      </c>
      <c r="AB151" s="21">
        <f>EXP(-LN(2)/2)*AB150+(1-EXP(-LN(2)/2))/(LN(2)/2)*V151*Y151*VLOOKUP('Données projet'!$B$9,Paramètres!$A$1:$I$89,3,0)*0.475*44/12</f>
        <v>6.5318917604450641E-11</v>
      </c>
      <c r="AC151" s="22">
        <f t="shared" si="111"/>
        <v>53.928626645306316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>
        <f>VLOOKUP(A151,'Données projet'!$A$61:$I$81,2,0)</f>
        <v>189</v>
      </c>
      <c r="AG151" s="12">
        <f>VLOOKUP(A151,'Données projet'!$A$61:$I$81,9,0)</f>
        <v>3.1428571428571428</v>
      </c>
      <c r="AH151" s="12">
        <f t="array" ref="AH151">INDEX(AG:AG,MIN(IF(ISNUMBER(AG151:AG347),ROW(AG151:AG347),"")))</f>
        <v>3.1428571428571428</v>
      </c>
      <c r="AI151" s="13">
        <f>IF('Données projet'!$A$62&gt;35,AI150+AH151-AQ150,IF(A151&lt;'Données projet'!$A$62,$AF$205^A151,IF(A151='Données projet'!$A$62,'Données projet'!$B$62,AI150+AH151-AQ150)))</f>
        <v>189.00000000000026</v>
      </c>
      <c r="AJ151" s="13">
        <f>AI151*VLOOKUP('Données projet'!$B$10,Paramètres!$A$1:$I$89,3,0)*VLOOKUP('Données projet'!$B$10,Paramètres!$A$1:$I$89,5,0)</f>
        <v>171.00720000000024</v>
      </c>
      <c r="AK151" s="13">
        <f t="shared" si="143"/>
        <v>43.315525267338167</v>
      </c>
      <c r="AL151" s="20">
        <f t="shared" si="112"/>
        <v>373.27874650728103</v>
      </c>
      <c r="AM151" s="59">
        <f t="shared" si="113"/>
        <v>666.61207984061434</v>
      </c>
      <c r="AN151" s="59">
        <f ca="1">AVERAGE(OFFSET($AM$3,0,0,'Données projet'!$E$10+1,1))-AVERAGE(OFFSET($H$3,0,0,'Données projet'!$E$10+1,1))</f>
        <v>209.32570518924194</v>
      </c>
      <c r="AO151" s="59">
        <f t="shared" si="144"/>
        <v>138.10530102720475</v>
      </c>
      <c r="AP151" s="15">
        <f>IF(ISNA(VLOOKUP(A151,'Données projet'!$A$61:$I$81,3,0)),0,VLOOKUP(A151,'Données projet'!$A$61:$I$81,3,0))</f>
        <v>10</v>
      </c>
      <c r="AQ151" s="15">
        <f>IF(ISNA(VLOOKUP(A151,'Données projet'!$A$61:$I$81,4,0)),0,VLOOKUP(A151,'Données projet'!$A$61:$I$81,4,0))</f>
        <v>30</v>
      </c>
      <c r="AR151" s="16">
        <f>IF(ISNA(VLOOKUP(A151,'Données projet'!$A$61:$I$81,5,0)),0%,VLOOKUP(A151,'Données projet'!$A$61:$I$81,5,0)*VLOOKUP('Données projet'!$B$10,Paramètres!$A$1:$I$89,7,0))</f>
        <v>0.30099999999999999</v>
      </c>
      <c r="AS151" s="16">
        <f>IF(ISNA(VLOOKUP(A151,'Données projet'!$A$61:$I$81,6,0)),0%,VLOOKUP(A151,'Données projet'!$A$61:$I$81,6,0)*VLOOKUP('Données projet'!$B$10,Paramètres!$A$1:$I$89,7,0))</f>
        <v>4.3000000000000003E-2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19.359273246136837</v>
      </c>
      <c r="AV151" s="21">
        <f>EXP(-LN(2)/25)*AV150+(1-EXP(-LN(2)/25))/(LN(2)/25)*Calculateur!AQ151*Calculateur!AS151*VLOOKUP('Données projet'!$B$10,Paramètres!$A$1:$I$89,3,0)*0.475*44/12</f>
        <v>8.6454018025291131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28.004675048665952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219.86035935827329</v>
      </c>
      <c r="BJ151" s="59">
        <f t="shared" si="146"/>
        <v>322.75312534885239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29.464117109894481</v>
      </c>
      <c r="BQ151" s="21">
        <f>EXP(-LN(2)/25)*BQ150+(1-EXP(-LN(2)/25))/(LN(2)/25)*Calculateur!BL151*Calculateur!BN151*VLOOKUP('Données projet'!$B$11,Paramètres!$A$1:$I$89,3,0)*0.475*44/12</f>
        <v>3.6739594006274041</v>
      </c>
      <c r="BR151" s="21">
        <f>EXP(-LN(2)/2)*BR150+(1-EXP(-LN(2)/2))/(LN(2)/2)*BL151*BO151*VLOOKUP('Données projet'!$B$11,Paramètres!$A$1:$I$89,3,0)*0.475*44/12</f>
        <v>1.6177329640765058E-12</v>
      </c>
      <c r="BS151" s="22">
        <f t="shared" si="117"/>
        <v>33.138076510523504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-2.8421709430404007E-13</v>
      </c>
      <c r="BZ151" s="13">
        <f>BY151*VLOOKUP('Données projet'!$B$12,Paramètres!$A$1:$I$89,3,0)*VLOOKUP('Données projet'!$B$12,Paramètres!$A$1:$I$89,5,0)</f>
        <v>-2.2612312022829427E-13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378.47278187128137</v>
      </c>
      <c r="CE151" s="59">
        <f t="shared" si="148"/>
        <v>372.59407061242604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36.958622181174874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36.958622181174874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43.001400000000046</v>
      </c>
      <c r="D152" s="11">
        <f t="shared" si="140"/>
        <v>12.790787562611493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215.33826778551824</v>
      </c>
      <c r="H152" s="67">
        <f t="shared" si="110"/>
        <v>353.83806000488175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-3.4106051316484809E-13</v>
      </c>
      <c r="O152" s="13">
        <f>N152*VLOOKUP('Données projet'!$B$9,Paramètres!$A$1:$I$89,3,0)*VLOOKUP('Données projet'!$B$9,Paramètres!$A$1:$I$89,5,0)</f>
        <v>-1.9065282685915009E-13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347.01106511825213</v>
      </c>
      <c r="T152" s="59">
        <f t="shared" si="142"/>
        <v>329.53392323581539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46.03096792964719</v>
      </c>
      <c r="AA152" s="21">
        <f>EXP(-LN(2)/25)*AA151+(1-EXP(-LN(2)/25))/(LN(2)/25)*Calculateur!V152*Calculateur!X152*VLOOKUP('Données projet'!$B$9,Paramètres!$A$1:$I$89,3,0)*0.475*44/12</f>
        <v>6.7861797914709454</v>
      </c>
      <c r="AB152" s="21">
        <f>EXP(-LN(2)/2)*AB151+(1-EXP(-LN(2)/2))/(LN(2)/2)*V152*Y152*VLOOKUP('Données projet'!$B$9,Paramètres!$A$1:$I$89,3,0)*0.475*44/12</f>
        <v>4.6187449577872407E-11</v>
      </c>
      <c r="AC152" s="22">
        <f t="shared" si="111"/>
        <v>52.817147721164318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3.7857142857142856</v>
      </c>
      <c r="AI152" s="13">
        <f>IF('Données projet'!$A$62&gt;35,AI151+AH152-AQ151,IF(A152&lt;'Données projet'!$A$62,$AF$205^A152,IF(A152='Données projet'!$A$62,'Données projet'!$B$62,AI151+AH152-AQ151)))</f>
        <v>162.78571428571453</v>
      </c>
      <c r="AJ152" s="13">
        <f>AI152*VLOOKUP('Données projet'!$B$10,Paramètres!$A$1:$I$89,3,0)*VLOOKUP('Données projet'!$B$10,Paramètres!$A$1:$I$89,5,0)</f>
        <v>147.28851428571451</v>
      </c>
      <c r="AK152" s="13">
        <f t="shared" si="143"/>
        <v>37.961738087664742</v>
      </c>
      <c r="AL152" s="20">
        <f t="shared" si="112"/>
        <v>322.6441895503022</v>
      </c>
      <c r="AM152" s="59">
        <f t="shared" si="113"/>
        <v>615.97752288363552</v>
      </c>
      <c r="AN152" s="59">
        <f ca="1">AVERAGE(OFFSET($AM$3,0,0,'Données projet'!$E$10+1,1))-AVERAGE(OFFSET($H$3,0,0,'Données projet'!$E$10+1,1))</f>
        <v>209.32570518924194</v>
      </c>
      <c r="AO152" s="59">
        <f t="shared" si="144"/>
        <v>138.10530102720475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18.979649705770832</v>
      </c>
      <c r="AV152" s="21">
        <f>EXP(-LN(2)/25)*AV151+(1-EXP(-LN(2)/25))/(LN(2)/25)*Calculateur!AQ152*Calculateur!AS152*VLOOKUP('Données projet'!$B$10,Paramètres!$A$1:$I$89,3,0)*0.475*44/12</f>
        <v>8.4089928355970329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27.388642541367865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219.86035935827329</v>
      </c>
      <c r="BJ152" s="59">
        <f t="shared" si="146"/>
        <v>322.75312534885239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28.886343744706366</v>
      </c>
      <c r="BQ152" s="21">
        <f>EXP(-LN(2)/25)*BQ151+(1-EXP(-LN(2)/25))/(LN(2)/25)*Calculateur!BL152*Calculateur!BN152*VLOOKUP('Données projet'!$B$11,Paramètres!$A$1:$I$89,3,0)*0.475*44/12</f>
        <v>3.5734947876121197</v>
      </c>
      <c r="BR152" s="21">
        <f>EXP(-LN(2)/2)*BR151+(1-EXP(-LN(2)/2))/(LN(2)/2)*BL152*BO152*VLOOKUP('Données projet'!$B$11,Paramètres!$A$1:$I$89,3,0)*0.475*44/12</f>
        <v>1.1439099490475107E-12</v>
      </c>
      <c r="BS152" s="22">
        <f t="shared" si="117"/>
        <v>32.45983853231963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-2.8421709430404007E-13</v>
      </c>
      <c r="BZ152" s="13">
        <f>BY152*VLOOKUP('Données projet'!$B$12,Paramètres!$A$1:$I$89,3,0)*VLOOKUP('Données projet'!$B$12,Paramètres!$A$1:$I$89,5,0)</f>
        <v>-2.2612312022829427E-13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378.47278187128137</v>
      </c>
      <c r="CE152" s="59">
        <f t="shared" si="148"/>
        <v>372.59407061242604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36.233886142735678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36.233886142735678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43.290000000000049</v>
      </c>
      <c r="D153" s="11">
        <f t="shared" si="140"/>
        <v>12.866609953844357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216.74481034817143</v>
      </c>
      <c r="H153" s="67">
        <f t="shared" si="110"/>
        <v>354.472762336279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-3.4106051316484809E-13</v>
      </c>
      <c r="O153" s="13">
        <f>N153*VLOOKUP('Données projet'!$B$9,Paramètres!$A$1:$I$89,3,0)*VLOOKUP('Données projet'!$B$9,Paramètres!$A$1:$I$89,5,0)</f>
        <v>-1.9065282685915009E-13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347.01106511825213</v>
      </c>
      <c r="T153" s="59">
        <f t="shared" si="142"/>
        <v>329.53392323581539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45.128328724664961</v>
      </c>
      <c r="AA153" s="21">
        <f>EXP(-LN(2)/25)*AA152+(1-EXP(-LN(2)/25))/(LN(2)/25)*Calculateur!V153*Calculateur!X153*VLOOKUP('Données projet'!$B$9,Paramètres!$A$1:$I$89,3,0)*0.475*44/12</f>
        <v>6.6006113482034872</v>
      </c>
      <c r="AB153" s="21">
        <f>EXP(-LN(2)/2)*AB152+(1-EXP(-LN(2)/2))/(LN(2)/2)*V153*Y153*VLOOKUP('Données projet'!$B$9,Paramètres!$A$1:$I$89,3,0)*0.475*44/12</f>
        <v>3.2659458802225321E-11</v>
      </c>
      <c r="AC153" s="22">
        <f t="shared" si="111"/>
        <v>51.728940072901104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3.7857142857142856</v>
      </c>
      <c r="AI153" s="13">
        <f>IF('Données projet'!$A$62&gt;35,AI152+AH153-AQ152,IF(A153&lt;'Données projet'!$A$62,$AF$205^A153,IF(A153='Données projet'!$A$62,'Données projet'!$B$62,AI152+AH153-AQ152)))</f>
        <v>166.57142857142881</v>
      </c>
      <c r="AJ153" s="13">
        <f>AI153*VLOOKUP('Données projet'!$B$10,Paramètres!$A$1:$I$89,3,0)*VLOOKUP('Données projet'!$B$10,Paramètres!$A$1:$I$89,5,0)</f>
        <v>150.71382857142879</v>
      </c>
      <c r="AK153" s="13">
        <f t="shared" si="143"/>
        <v>38.740760875184563</v>
      </c>
      <c r="AL153" s="20">
        <f t="shared" si="112"/>
        <v>329.96674328618491</v>
      </c>
      <c r="AM153" s="59">
        <f t="shared" si="113"/>
        <v>623.30007661951822</v>
      </c>
      <c r="AN153" s="59">
        <f ca="1">AVERAGE(OFFSET($AM$3,0,0,'Données projet'!$E$10+1,1))-AVERAGE(OFFSET($H$3,0,0,'Données projet'!$E$10+1,1))</f>
        <v>209.32570518924194</v>
      </c>
      <c r="AO153" s="59">
        <f t="shared" si="144"/>
        <v>138.10530102720475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18.607470351483908</v>
      </c>
      <c r="AV153" s="21">
        <f>EXP(-LN(2)/25)*AV152+(1-EXP(-LN(2)/25))/(LN(2)/25)*Calculateur!AQ153*Calculateur!AS153*VLOOKUP('Données projet'!$B$10,Paramètres!$A$1:$I$89,3,0)*0.475*44/12</f>
        <v>8.1790484842979172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26.786518835781827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219.86035935827329</v>
      </c>
      <c r="BJ153" s="59">
        <f t="shared" si="146"/>
        <v>322.75312534885239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28.319900162802632</v>
      </c>
      <c r="BQ153" s="21">
        <f>EXP(-LN(2)/25)*BQ152+(1-EXP(-LN(2)/25))/(LN(2)/25)*Calculateur!BL153*Calculateur!BN153*VLOOKUP('Données projet'!$B$11,Paramètres!$A$1:$I$89,3,0)*0.475*44/12</f>
        <v>3.4757773847229427</v>
      </c>
      <c r="BR153" s="21">
        <f>EXP(-LN(2)/2)*BR152+(1-EXP(-LN(2)/2))/(LN(2)/2)*BL153*BO153*VLOOKUP('Données projet'!$B$11,Paramètres!$A$1:$I$89,3,0)*0.475*44/12</f>
        <v>8.0886648203825289E-13</v>
      </c>
      <c r="BS153" s="22">
        <f t="shared" si="117"/>
        <v>31.795677547526385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-2.8421709430404007E-13</v>
      </c>
      <c r="BZ153" s="13">
        <f>BY153*VLOOKUP('Données projet'!$B$12,Paramètres!$A$1:$I$89,3,0)*VLOOKUP('Données projet'!$B$12,Paramètres!$A$1:$I$89,5,0)</f>
        <v>-2.2612312022829427E-13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378.47278187128137</v>
      </c>
      <c r="CE153" s="59">
        <f t="shared" si="148"/>
        <v>372.59407061242604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35.523361735964933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35.523361735964933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43.578600000000051</v>
      </c>
      <c r="D154" s="11">
        <f t="shared" si="140"/>
        <v>12.942373529264074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218.15112590242293</v>
      </c>
      <c r="H154" s="67">
        <f t="shared" si="110"/>
        <v>355.10736223013504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-3.4106051316484809E-13</v>
      </c>
      <c r="O154" s="13">
        <f>N154*VLOOKUP('Données projet'!$B$9,Paramètres!$A$1:$I$89,3,0)*VLOOKUP('Données projet'!$B$9,Paramètres!$A$1:$I$89,5,0)</f>
        <v>-1.9065282685915009E-13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347.01106511825213</v>
      </c>
      <c r="T154" s="59">
        <f t="shared" si="142"/>
        <v>329.53392323581539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44.243389723936879</v>
      </c>
      <c r="AA154" s="21">
        <f>EXP(-LN(2)/25)*AA153+(1-EXP(-LN(2)/25))/(LN(2)/25)*Calculateur!V154*Calculateur!X154*VLOOKUP('Données projet'!$B$9,Paramètres!$A$1:$I$89,3,0)*0.475*44/12</f>
        <v>6.4201172837757978</v>
      </c>
      <c r="AB154" s="21">
        <f>EXP(-LN(2)/2)*AB153+(1-EXP(-LN(2)/2))/(LN(2)/2)*V154*Y154*VLOOKUP('Données projet'!$B$9,Paramètres!$A$1:$I$89,3,0)*0.475*44/12</f>
        <v>2.3093724788936203E-11</v>
      </c>
      <c r="AC154" s="22">
        <f t="shared" ref="AC154:AC203" si="163">SUM(Z154:AB154)</f>
        <v>50.663507007735767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3.7857142857142856</v>
      </c>
      <c r="AI154" s="13">
        <f>IF('Données projet'!$A$62&gt;35,AI153+AH154-AQ153,IF(A154&lt;'Données projet'!$A$62,$AF$205^A154,IF(A154='Données projet'!$A$62,'Données projet'!$B$62,AI153+AH154-AQ153)))</f>
        <v>170.35714285714309</v>
      </c>
      <c r="AJ154" s="13">
        <f>AI154*VLOOKUP('Données projet'!$B$10,Paramètres!$A$1:$I$89,3,0)*VLOOKUP('Données projet'!$B$10,Paramètres!$A$1:$I$89,5,0)</f>
        <v>154.13914285714304</v>
      </c>
      <c r="AK154" s="13">
        <f t="shared" ref="AK154:AK203" si="164">EXP(-1.0587+0.8836*LN(AJ154)+0.284)</f>
        <v>39.517725329609455</v>
      </c>
      <c r="AL154" s="20">
        <f t="shared" ref="AL154:AL203" si="165">(AJ154+AK154)*0.475*44/12</f>
        <v>337.28571209192722</v>
      </c>
      <c r="AM154" s="59">
        <f t="shared" si="113"/>
        <v>630.61904542526054</v>
      </c>
      <c r="AN154" s="59">
        <f ca="1">AVERAGE(OFFSET($AM$3,0,0,'Données projet'!$E$10+1,1))-AVERAGE(OFFSET($H$3,0,0,'Données projet'!$E$10+1,1))</f>
        <v>209.32570518924194</v>
      </c>
      <c r="AO154" s="59">
        <f t="shared" si="144"/>
        <v>138.10530102720475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18.242589207327558</v>
      </c>
      <c r="AV154" s="21">
        <f>EXP(-LN(2)/25)*AV153+(1-EXP(-LN(2)/25))/(LN(2)/25)*Calculateur!AQ154*Calculateur!AS154*VLOOKUP('Données projet'!$B$10,Paramètres!$A$1:$I$89,3,0)*0.475*44/12</f>
        <v>7.9553919733773242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26.197981180704883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219.86035935827329</v>
      </c>
      <c r="BJ154" s="59">
        <f t="shared" si="146"/>
        <v>322.75312534885239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27.764564194043562</v>
      </c>
      <c r="BQ154" s="21">
        <f>EXP(-LN(2)/25)*BQ153+(1-EXP(-LN(2)/25))/(LN(2)/25)*Calculateur!BL154*Calculateur!BN154*VLOOKUP('Données projet'!$B$11,Paramètres!$A$1:$I$89,3,0)*0.475*44/12</f>
        <v>3.3807320693545053</v>
      </c>
      <c r="BR154" s="21">
        <f>EXP(-LN(2)/2)*BR153+(1-EXP(-LN(2)/2))/(LN(2)/2)*BL154*BO154*VLOOKUP('Données projet'!$B$11,Paramètres!$A$1:$I$89,3,0)*0.475*44/12</f>
        <v>5.7195497452375535E-13</v>
      </c>
      <c r="BS154" s="22">
        <f t="shared" ref="BS154:BS203" si="169">SUM(BP154:BR154)</f>
        <v>31.145296263398638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-2.8421709430404007E-13</v>
      </c>
      <c r="BZ154" s="13">
        <f>BY154*VLOOKUP('Données projet'!$B$12,Paramètres!$A$1:$I$89,3,0)*VLOOKUP('Données projet'!$B$12,Paramètres!$A$1:$I$89,5,0)</f>
        <v>-2.2612312022829427E-13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378.47278187128137</v>
      </c>
      <c r="CE154" s="59">
        <f t="shared" si="148"/>
        <v>372.59407061242604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34.826770279433873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34.826770279433873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43.867200000000054</v>
      </c>
      <c r="D155" s="11">
        <f t="shared" si="140"/>
        <v>13.018078723556975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219.55721612600959</v>
      </c>
      <c r="H155" s="67">
        <f t="shared" si="110"/>
        <v>355.74186044352848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-3.4106051316484809E-13</v>
      </c>
      <c r="O155" s="13">
        <f>N155*VLOOKUP('Données projet'!$B$9,Paramètres!$A$1:$I$89,3,0)*VLOOKUP('Données projet'!$B$9,Paramètres!$A$1:$I$89,5,0)</f>
        <v>-1.9065282685915009E-13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347.01106511825213</v>
      </c>
      <c r="T155" s="59">
        <f t="shared" si="142"/>
        <v>329.53392323581539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43.375803837253585</v>
      </c>
      <c r="AA155" s="21">
        <f>EXP(-LN(2)/25)*AA154+(1-EXP(-LN(2)/25))/(LN(2)/25)*Calculateur!V155*Calculateur!X155*VLOOKUP('Données projet'!$B$9,Paramètres!$A$1:$I$89,3,0)*0.475*44/12</f>
        <v>6.2445588390316544</v>
      </c>
      <c r="AB155" s="21">
        <f>EXP(-LN(2)/2)*AB154+(1-EXP(-LN(2)/2))/(LN(2)/2)*V155*Y155*VLOOKUP('Données projet'!$B$9,Paramètres!$A$1:$I$89,3,0)*0.475*44/12</f>
        <v>1.632972940111266E-11</v>
      </c>
      <c r="AC155" s="22">
        <f t="shared" si="163"/>
        <v>49.620362676301568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3.7857142857142856</v>
      </c>
      <c r="AI155" s="13">
        <f>IF('Données projet'!$A$62&gt;35,AI154+AH155-AQ154,IF(A155&lt;'Données projet'!$A$62,$AF$205^A155,IF(A155='Données projet'!$A$62,'Données projet'!$B$62,AI154+AH155-AQ154)))</f>
        <v>174.14285714285737</v>
      </c>
      <c r="AJ155" s="13">
        <f>AI155*VLOOKUP('Données projet'!$B$10,Paramètres!$A$1:$I$89,3,0)*VLOOKUP('Données projet'!$B$10,Paramètres!$A$1:$I$89,5,0)</f>
        <v>157.56445714285735</v>
      </c>
      <c r="AK155" s="13">
        <f t="shared" si="164"/>
        <v>40.292682458391148</v>
      </c>
      <c r="AL155" s="20">
        <f t="shared" si="165"/>
        <v>344.60118480550773</v>
      </c>
      <c r="AM155" s="59">
        <f t="shared" si="113"/>
        <v>637.93451813884099</v>
      </c>
      <c r="AN155" s="59">
        <f ca="1">AVERAGE(OFFSET($AM$3,0,0,'Données projet'!$E$10+1,1))-AVERAGE(OFFSET($H$3,0,0,'Données projet'!$E$10+1,1))</f>
        <v>209.32570518924194</v>
      </c>
      <c r="AO155" s="59">
        <f t="shared" si="144"/>
        <v>138.10530102720475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17.884863159852593</v>
      </c>
      <c r="AV155" s="21">
        <f>EXP(-LN(2)/25)*AV154+(1-EXP(-LN(2)/25))/(LN(2)/25)*Calculateur!AQ155*Calculateur!AS155*VLOOKUP('Données projet'!$B$10,Paramètres!$A$1:$I$89,3,0)*0.475*44/12</f>
        <v>7.7378513615094393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25.622714521362031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219.86035935827329</v>
      </c>
      <c r="BJ155" s="59">
        <f t="shared" si="146"/>
        <v>322.75312534885239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27.220118024910363</v>
      </c>
      <c r="BQ155" s="21">
        <f>EXP(-LN(2)/25)*BQ154+(1-EXP(-LN(2)/25))/(LN(2)/25)*Calculateur!BL155*Calculateur!BN155*VLOOKUP('Données projet'!$B$11,Paramètres!$A$1:$I$89,3,0)*0.475*44/12</f>
        <v>3.2882857731330337</v>
      </c>
      <c r="BR155" s="21">
        <f>EXP(-LN(2)/2)*BR154+(1-EXP(-LN(2)/2))/(LN(2)/2)*BL155*BO155*VLOOKUP('Données projet'!$B$11,Paramètres!$A$1:$I$89,3,0)*0.475*44/12</f>
        <v>4.0443324101912645E-13</v>
      </c>
      <c r="BS155" s="22">
        <f t="shared" si="169"/>
        <v>30.508403798043801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-2.8421709430404007E-13</v>
      </c>
      <c r="BZ155" s="13">
        <f>BY155*VLOOKUP('Données projet'!$B$12,Paramètres!$A$1:$I$89,3,0)*VLOOKUP('Données projet'!$B$12,Paramètres!$A$1:$I$89,5,0)</f>
        <v>-2.2612312022829427E-13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378.47278187128137</v>
      </c>
      <c r="CE155" s="59">
        <f t="shared" si="148"/>
        <v>372.59407061242604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34.14383855648655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34.14383855648655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44.155800000000056</v>
      </c>
      <c r="D156" s="11">
        <f t="shared" si="140"/>
        <v>13.093725965359129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220.96308267331617</v>
      </c>
      <c r="H156" s="67">
        <f t="shared" si="110"/>
        <v>356.37625772300061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-3.4106051316484809E-13</v>
      </c>
      <c r="O156" s="13">
        <f>N156*VLOOKUP('Données projet'!$B$9,Paramètres!$A$1:$I$89,3,0)*VLOOKUP('Données projet'!$B$9,Paramètres!$A$1:$I$89,5,0)</f>
        <v>-1.9065282685915009E-13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347.01106511825213</v>
      </c>
      <c r="T156" s="59">
        <f t="shared" si="142"/>
        <v>329.53392323581539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42.525230780633009</v>
      </c>
      <c r="AA156" s="21">
        <f>EXP(-LN(2)/25)*AA155+(1-EXP(-LN(2)/25))/(LN(2)/25)*Calculateur!V156*Calculateur!X156*VLOOKUP('Données projet'!$B$9,Paramètres!$A$1:$I$89,3,0)*0.475*44/12</f>
        <v>6.0738010491912569</v>
      </c>
      <c r="AB156" s="21">
        <f>EXP(-LN(2)/2)*AB155+(1-EXP(-LN(2)/2))/(LN(2)/2)*V156*Y156*VLOOKUP('Données projet'!$B$9,Paramètres!$A$1:$I$89,3,0)*0.475*44/12</f>
        <v>1.1546862394468102E-11</v>
      </c>
      <c r="AC156" s="22">
        <f t="shared" si="163"/>
        <v>48.599031829835816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3.7857142857142856</v>
      </c>
      <c r="AI156" s="13">
        <f>IF('Données projet'!$A$62&gt;35,AI155+AH156-AQ155,IF(A156&lt;'Données projet'!$A$62,$AF$205^A156,IF(A156='Données projet'!$A$62,'Données projet'!$B$62,AI155+AH156-AQ155)))</f>
        <v>177.92857142857164</v>
      </c>
      <c r="AJ156" s="13">
        <f>AI156*VLOOKUP('Données projet'!$B$10,Paramètres!$A$1:$I$89,3,0)*VLOOKUP('Données projet'!$B$10,Paramètres!$A$1:$I$89,5,0)</f>
        <v>160.9897714285716</v>
      </c>
      <c r="AK156" s="13">
        <f t="shared" si="164"/>
        <v>41.065680924606852</v>
      </c>
      <c r="AL156" s="20">
        <f t="shared" si="165"/>
        <v>351.91324618178578</v>
      </c>
      <c r="AM156" s="59">
        <f t="shared" si="113"/>
        <v>645.24657951511904</v>
      </c>
      <c r="AN156" s="59">
        <f ca="1">AVERAGE(OFFSET($AM$3,0,0,'Données projet'!$E$10+1,1))-AVERAGE(OFFSET($H$3,0,0,'Données projet'!$E$10+1,1))</f>
        <v>209.32570518924194</v>
      </c>
      <c r="AO156" s="59">
        <f t="shared" si="144"/>
        <v>138.10530102720475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17.534151901977268</v>
      </c>
      <c r="AV156" s="21">
        <f>EXP(-LN(2)/25)*AV155+(1-EXP(-LN(2)/25))/(LN(2)/25)*Calculateur!AQ156*Calculateur!AS156*VLOOKUP('Données projet'!$B$10,Paramètres!$A$1:$I$89,3,0)*0.475*44/12</f>
        <v>7.5262594091130453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25.060411311090313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219.86035935827329</v>
      </c>
      <c r="BJ156" s="59">
        <f t="shared" si="146"/>
        <v>322.75312534885239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26.686348113074491</v>
      </c>
      <c r="BQ156" s="21">
        <f>EXP(-LN(2)/25)*BQ155+(1-EXP(-LN(2)/25))/(LN(2)/25)*Calculateur!BL156*Calculateur!BN156*VLOOKUP('Données projet'!$B$11,Paramètres!$A$1:$I$89,3,0)*0.475*44/12</f>
        <v>3.1983674257432777</v>
      </c>
      <c r="BR156" s="21">
        <f>EXP(-LN(2)/2)*BR155+(1-EXP(-LN(2)/2))/(LN(2)/2)*BL156*BO156*VLOOKUP('Données projet'!$B$11,Paramètres!$A$1:$I$89,3,0)*0.475*44/12</f>
        <v>2.8597748726187768E-13</v>
      </c>
      <c r="BS156" s="22">
        <f t="shared" si="169"/>
        <v>29.884715538818053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-2.8421709430404007E-13</v>
      </c>
      <c r="BZ156" s="13">
        <f>BY156*VLOOKUP('Données projet'!$B$12,Paramètres!$A$1:$I$89,3,0)*VLOOKUP('Données projet'!$B$12,Paramètres!$A$1:$I$89,5,0)</f>
        <v>-2.2612312022829427E-13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378.47278187128137</v>
      </c>
      <c r="CE156" s="59">
        <f t="shared" si="148"/>
        <v>372.59407061242604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33.474298708079004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33.474298708079004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44.444400000000059</v>
      </c>
      <c r="D157" s="11">
        <f t="shared" si="140"/>
        <v>13.169315677379545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222.36872717585109</v>
      </c>
      <c r="H157" s="67">
        <f t="shared" si="110"/>
        <v>357.01055480476947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-3.4106051316484809E-13</v>
      </c>
      <c r="O157" s="13">
        <f>N157*VLOOKUP('Données projet'!$B$9,Paramètres!$A$1:$I$89,3,0)*VLOOKUP('Données projet'!$B$9,Paramètres!$A$1:$I$89,5,0)</f>
        <v>-1.9065282685915009E-13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347.01106511825213</v>
      </c>
      <c r="T157" s="59">
        <f t="shared" si="142"/>
        <v>329.53392323581539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41.691336942854427</v>
      </c>
      <c r="AA157" s="21">
        <f>EXP(-LN(2)/25)*AA156+(1-EXP(-LN(2)/25))/(LN(2)/25)*Calculateur!V157*Calculateur!X157*VLOOKUP('Données projet'!$B$9,Paramètres!$A$1:$I$89,3,0)*0.475*44/12</f>
        <v>5.9077126400938065</v>
      </c>
      <c r="AB157" s="21">
        <f>EXP(-LN(2)/2)*AB156+(1-EXP(-LN(2)/2))/(LN(2)/2)*V157*Y157*VLOOKUP('Données projet'!$B$9,Paramètres!$A$1:$I$89,3,0)*0.475*44/12</f>
        <v>8.1648647005563301E-12</v>
      </c>
      <c r="AC157" s="22">
        <f t="shared" si="163"/>
        <v>47.599049582956397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3.7857142857142856</v>
      </c>
      <c r="AI157" s="13">
        <f>IF('Données projet'!$A$62&gt;35,AI156+AH157-AQ156,IF(A157&lt;'Données projet'!$A$62,$AF$205^A157,IF(A157='Données projet'!$A$62,'Données projet'!$B$62,AI156+AH157-AQ156)))</f>
        <v>181.71428571428592</v>
      </c>
      <c r="AJ157" s="13">
        <f>AI157*VLOOKUP('Données projet'!$B$10,Paramètres!$A$1:$I$89,3,0)*VLOOKUP('Données projet'!$B$10,Paramètres!$A$1:$I$89,5,0)</f>
        <v>164.41508571428591</v>
      </c>
      <c r="AK157" s="13">
        <f t="shared" si="164"/>
        <v>41.836767202260965</v>
      </c>
      <c r="AL157" s="20">
        <f t="shared" si="165"/>
        <v>359.22197716298575</v>
      </c>
      <c r="AM157" s="59">
        <f t="shared" si="113"/>
        <v>652.55531049631907</v>
      </c>
      <c r="AN157" s="59">
        <f ca="1">AVERAGE(OFFSET($AM$3,0,0,'Données projet'!$E$10+1,1))-AVERAGE(OFFSET($H$3,0,0,'Données projet'!$E$10+1,1))</f>
        <v>209.32570518924194</v>
      </c>
      <c r="AO157" s="59">
        <f t="shared" si="144"/>
        <v>138.10530102720475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17.190317877956133</v>
      </c>
      <c r="AV157" s="21">
        <f>EXP(-LN(2)/25)*AV156+(1-EXP(-LN(2)/25))/(LN(2)/25)*Calculateur!AQ157*Calculateur!AS157*VLOOKUP('Données projet'!$B$10,Paramètres!$A$1:$I$89,3,0)*0.475*44/12</f>
        <v>7.3204534497820681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24.510771327738201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219.86035935827329</v>
      </c>
      <c r="BJ157" s="59">
        <f t="shared" si="146"/>
        <v>322.75312534885239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26.163045103642222</v>
      </c>
      <c r="BQ157" s="21">
        <f>EXP(-LN(2)/25)*BQ156+(1-EXP(-LN(2)/25))/(LN(2)/25)*Calculateur!BL157*Calculateur!BN157*VLOOKUP('Données projet'!$B$11,Paramètres!$A$1:$I$89,3,0)*0.475*44/12</f>
        <v>3.1109079002914948</v>
      </c>
      <c r="BR157" s="21">
        <f>EXP(-LN(2)/2)*BR156+(1-EXP(-LN(2)/2))/(LN(2)/2)*BL157*BO157*VLOOKUP('Données projet'!$B$11,Paramètres!$A$1:$I$89,3,0)*0.475*44/12</f>
        <v>2.0221662050956322E-13</v>
      </c>
      <c r="BS157" s="22">
        <f t="shared" si="169"/>
        <v>29.273953003933919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-2.8421709430404007E-13</v>
      </c>
      <c r="BZ157" s="13">
        <f>BY157*VLOOKUP('Données projet'!$B$12,Paramètres!$A$1:$I$89,3,0)*VLOOKUP('Données projet'!$B$12,Paramètres!$A$1:$I$89,5,0)</f>
        <v>-2.2612312022829427E-13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378.47278187128137</v>
      </c>
      <c r="CE157" s="59">
        <f t="shared" si="148"/>
        <v>372.59407061242604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32.817888127719748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32.817888127719748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44.733000000000061</v>
      </c>
      <c r="D158" s="11">
        <f t="shared" si="140"/>
        <v>13.244848276520109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223.77415124270945</v>
      </c>
      <c r="H158" s="67">
        <f t="shared" si="110"/>
        <v>357.64475241493932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-3.4106051316484809E-13</v>
      </c>
      <c r="O158" s="13">
        <f>N158*VLOOKUP('Données projet'!$B$9,Paramètres!$A$1:$I$89,3,0)*VLOOKUP('Données projet'!$B$9,Paramètres!$A$1:$I$89,5,0)</f>
        <v>-1.9065282685915009E-13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347.01106511825213</v>
      </c>
      <c r="T158" s="59">
        <f t="shared" si="142"/>
        <v>329.53392323581539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40.873795254609661</v>
      </c>
      <c r="AA158" s="21">
        <f>EXP(-LN(2)/25)*AA157+(1-EXP(-LN(2)/25))/(LN(2)/25)*Calculateur!V158*Calculateur!X158*VLOOKUP('Données projet'!$B$9,Paramètres!$A$1:$I$89,3,0)*0.475*44/12</f>
        <v>5.7461659272773362</v>
      </c>
      <c r="AB158" s="21">
        <f>EXP(-LN(2)/2)*AB157+(1-EXP(-LN(2)/2))/(LN(2)/2)*V158*Y158*VLOOKUP('Données projet'!$B$9,Paramètres!$A$1:$I$89,3,0)*0.475*44/12</f>
        <v>5.7734311972340509E-12</v>
      </c>
      <c r="AC158" s="22">
        <f t="shared" si="163"/>
        <v>46.619961181892776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3.7857142857142856</v>
      </c>
      <c r="AI158" s="13">
        <f>IF('Données projet'!$A$62&gt;35,AI157+AH158-AQ157,IF(A158&lt;'Données projet'!$A$62,$AF$205^A158,IF(A158='Données projet'!$A$62,'Données projet'!$B$62,AI157+AH158-AQ157)))</f>
        <v>185.5000000000002</v>
      </c>
      <c r="AJ158" s="13">
        <f>AI158*VLOOKUP('Données projet'!$B$10,Paramètres!$A$1:$I$89,3,0)*VLOOKUP('Données projet'!$B$10,Paramètres!$A$1:$I$89,5,0)</f>
        <v>167.84040000000016</v>
      </c>
      <c r="AK158" s="13">
        <f t="shared" si="164"/>
        <v>42.605985718279626</v>
      </c>
      <c r="AL158" s="20">
        <f t="shared" si="165"/>
        <v>366.52745512600387</v>
      </c>
      <c r="AM158" s="59">
        <f t="shared" si="113"/>
        <v>659.86078845933719</v>
      </c>
      <c r="AN158" s="59">
        <f ca="1">AVERAGE(OFFSET($AM$3,0,0,'Données projet'!$E$10+1,1))-AVERAGE(OFFSET($H$3,0,0,'Données projet'!$E$10+1,1))</f>
        <v>209.32570518924194</v>
      </c>
      <c r="AO158" s="59">
        <f t="shared" si="144"/>
        <v>138.10530102720475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16.853226229428007</v>
      </c>
      <c r="AV158" s="21">
        <f>EXP(-LN(2)/25)*AV157+(1-EXP(-LN(2)/25))/(LN(2)/25)*Calculateur!AQ158*Calculateur!AS158*VLOOKUP('Données projet'!$B$10,Paramètres!$A$1:$I$89,3,0)*0.475*44/12</f>
        <v>7.1202752652318617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23.973501494659867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219.86035935827329</v>
      </c>
      <c r="BJ158" s="59">
        <f t="shared" si="146"/>
        <v>322.75312534885239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25.650003747041602</v>
      </c>
      <c r="BQ158" s="21">
        <f>EXP(-LN(2)/25)*BQ157+(1-EXP(-LN(2)/25))/(LN(2)/25)*Calculateur!BL158*Calculateur!BN158*VLOOKUP('Données projet'!$B$11,Paramètres!$A$1:$I$89,3,0)*0.475*44/12</f>
        <v>3.0258399601624872</v>
      </c>
      <c r="BR158" s="21">
        <f>EXP(-LN(2)/2)*BR157+(1-EXP(-LN(2)/2))/(LN(2)/2)*BL158*BO158*VLOOKUP('Données projet'!$B$11,Paramètres!$A$1:$I$89,3,0)*0.475*44/12</f>
        <v>1.4298874363093884E-13</v>
      </c>
      <c r="BS158" s="22">
        <f t="shared" si="169"/>
        <v>28.67584370720423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-2.8421709430404007E-13</v>
      </c>
      <c r="BZ158" s="13">
        <f>BY158*VLOOKUP('Données projet'!$B$12,Paramètres!$A$1:$I$89,3,0)*VLOOKUP('Données projet'!$B$12,Paramètres!$A$1:$I$89,5,0)</f>
        <v>-2.2612312022829427E-13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378.47278187128137</v>
      </c>
      <c r="CE158" s="59">
        <f t="shared" si="148"/>
        <v>372.59407061242604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32.174349358470415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32.174349358470415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45.021600000000063</v>
      </c>
      <c r="D159" s="11">
        <f t="shared" si="140"/>
        <v>13.320324173992223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225.17935646102285</v>
      </c>
      <c r="H159" s="67">
        <f t="shared" si="110"/>
        <v>358.27885126970324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-3.4106051316484809E-13</v>
      </c>
      <c r="O159" s="13">
        <f>N159*VLOOKUP('Données projet'!$B$9,Paramètres!$A$1:$I$89,3,0)*VLOOKUP('Données projet'!$B$9,Paramètres!$A$1:$I$89,5,0)</f>
        <v>-1.9065282685915009E-13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347.01106511825213</v>
      </c>
      <c r="T159" s="59">
        <f t="shared" si="142"/>
        <v>329.53392323581539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40.072285060220182</v>
      </c>
      <c r="AA159" s="21">
        <f>EXP(-LN(2)/25)*AA158+(1-EXP(-LN(2)/25))/(LN(2)/25)*Calculateur!V159*Calculateur!X159*VLOOKUP('Données projet'!$B$9,Paramètres!$A$1:$I$89,3,0)*0.475*44/12</f>
        <v>5.5890367178182041</v>
      </c>
      <c r="AB159" s="21">
        <f>EXP(-LN(2)/2)*AB158+(1-EXP(-LN(2)/2))/(LN(2)/2)*V159*Y159*VLOOKUP('Données projet'!$B$9,Paramètres!$A$1:$I$89,3,0)*0.475*44/12</f>
        <v>4.0824323502781651E-12</v>
      </c>
      <c r="AC159" s="22">
        <f t="shared" si="163"/>
        <v>45.66132177804247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3.7857142857142856</v>
      </c>
      <c r="AI159" s="13">
        <f>IF('Données projet'!$A$62&gt;35,AI158+AH159-AQ158,IF(A159&lt;'Données projet'!$A$62,$AF$205^A159,IF(A159='Données projet'!$A$62,'Données projet'!$B$62,AI158+AH159-AQ158)))</f>
        <v>189.28571428571448</v>
      </c>
      <c r="AJ159" s="13">
        <f>AI159*VLOOKUP('Données projet'!$B$10,Paramètres!$A$1:$I$89,3,0)*VLOOKUP('Données projet'!$B$10,Paramètres!$A$1:$I$89,5,0)</f>
        <v>171.26571428571447</v>
      </c>
      <c r="AK159" s="13">
        <f t="shared" si="164"/>
        <v>43.373378982586424</v>
      </c>
      <c r="AL159" s="20">
        <f t="shared" si="165"/>
        <v>373.82975410895733</v>
      </c>
      <c r="AM159" s="59">
        <f t="shared" si="113"/>
        <v>667.16308744229059</v>
      </c>
      <c r="AN159" s="59">
        <f ca="1">AVERAGE(OFFSET($AM$3,0,0,'Données projet'!$E$10+1,1))-AVERAGE(OFFSET($H$3,0,0,'Données projet'!$E$10+1,1))</f>
        <v>209.32570518924194</v>
      </c>
      <c r="AO159" s="59">
        <f t="shared" si="144"/>
        <v>138.10530102720475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16.522744742521912</v>
      </c>
      <c r="AV159" s="21">
        <f>EXP(-LN(2)/25)*AV158+(1-EXP(-LN(2)/25))/(LN(2)/25)*Calculateur!AQ159*Calculateur!AS159*VLOOKUP('Données projet'!$B$10,Paramètres!$A$1:$I$89,3,0)*0.475*44/12</f>
        <v>6.9255709636650939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23.448315706187007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219.86035935827329</v>
      </c>
      <c r="BJ159" s="59">
        <f t="shared" si="146"/>
        <v>322.75312534885239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25.147022818519591</v>
      </c>
      <c r="BQ159" s="21">
        <f>EXP(-LN(2)/25)*BQ158+(1-EXP(-LN(2)/25))/(LN(2)/25)*Calculateur!BL159*Calculateur!BN159*VLOOKUP('Données projet'!$B$11,Paramètres!$A$1:$I$89,3,0)*0.475*44/12</f>
        <v>2.943098207329836</v>
      </c>
      <c r="BR159" s="21">
        <f>EXP(-LN(2)/2)*BR158+(1-EXP(-LN(2)/2))/(LN(2)/2)*BL159*BO159*VLOOKUP('Données projet'!$B$11,Paramètres!$A$1:$I$89,3,0)*0.475*44/12</f>
        <v>1.0110831025478161E-13</v>
      </c>
      <c r="BS159" s="22">
        <f t="shared" si="169"/>
        <v>28.090121025849527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-2.8421709430404007E-13</v>
      </c>
      <c r="BZ159" s="13">
        <f>BY159*VLOOKUP('Données projet'!$B$12,Paramètres!$A$1:$I$89,3,0)*VLOOKUP('Données projet'!$B$12,Paramètres!$A$1:$I$89,5,0)</f>
        <v>-2.2612312022829427E-13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378.47278187128137</v>
      </c>
      <c r="CE159" s="59">
        <f t="shared" si="148"/>
        <v>372.59407061242604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31.543429991966168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31.543429991966168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45.310200000000066</v>
      </c>
      <c r="D160" s="11">
        <f t="shared" si="140"/>
        <v>13.395743775430521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226.58434439639873</v>
      </c>
      <c r="H160" s="67">
        <f t="shared" si="110"/>
        <v>358.91285207554159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-3.4106051316484809E-13</v>
      </c>
      <c r="O160" s="13">
        <f>N160*VLOOKUP('Données projet'!$B$9,Paramètres!$A$1:$I$89,3,0)*VLOOKUP('Données projet'!$B$9,Paramètres!$A$1:$I$89,5,0)</f>
        <v>-1.9065282685915009E-13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347.01106511825213</v>
      </c>
      <c r="T160" s="59">
        <f t="shared" si="142"/>
        <v>329.53392323581539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39.286491991869738</v>
      </c>
      <c r="AA160" s="21">
        <f>EXP(-LN(2)/25)*AA159+(1-EXP(-LN(2)/25))/(LN(2)/25)*Calculateur!V160*Calculateur!X160*VLOOKUP('Données projet'!$B$9,Paramètres!$A$1:$I$89,3,0)*0.475*44/12</f>
        <v>5.436204214854798</v>
      </c>
      <c r="AB160" s="21">
        <f>EXP(-LN(2)/2)*AB159+(1-EXP(-LN(2)/2))/(LN(2)/2)*V160*Y160*VLOOKUP('Données projet'!$B$9,Paramètres!$A$1:$I$89,3,0)*0.475*44/12</f>
        <v>2.8867155986170254E-12</v>
      </c>
      <c r="AC160" s="22">
        <f t="shared" si="163"/>
        <v>44.72269620672742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3.7857142857142856</v>
      </c>
      <c r="AI160" s="13">
        <f>IF('Données projet'!$A$62&gt;35,AI159+AH160-AQ159,IF(A160&lt;'Données projet'!$A$62,$AF$205^A160,IF(A160='Données projet'!$A$62,'Données projet'!$B$62,AI159+AH160-AQ159)))</f>
        <v>193.07142857142875</v>
      </c>
      <c r="AJ160" s="13">
        <f>AI160*VLOOKUP('Données projet'!$B$10,Paramètres!$A$1:$I$89,3,0)*VLOOKUP('Données projet'!$B$10,Paramètres!$A$1:$I$89,5,0)</f>
        <v>174.69102857142872</v>
      </c>
      <c r="AK160" s="13">
        <f t="shared" si="164"/>
        <v>44.138987707478243</v>
      </c>
      <c r="AL160" s="20">
        <f t="shared" si="165"/>
        <v>381.12894501909619</v>
      </c>
      <c r="AM160" s="59">
        <f t="shared" si="113"/>
        <v>674.46227835242951</v>
      </c>
      <c r="AN160" s="59">
        <f ca="1">AVERAGE(OFFSET($AM$3,0,0,'Données projet'!$E$10+1,1))-AVERAGE(OFFSET($H$3,0,0,'Données projet'!$E$10+1,1))</f>
        <v>209.32570518924194</v>
      </c>
      <c r="AO160" s="59">
        <f t="shared" si="144"/>
        <v>138.10530102720475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16.198743796000244</v>
      </c>
      <c r="AV160" s="21">
        <f>EXP(-LN(2)/25)*AV159+(1-EXP(-LN(2)/25))/(LN(2)/25)*Calculateur!AQ160*Calculateur!AS160*VLOOKUP('Données projet'!$B$10,Paramètres!$A$1:$I$89,3,0)*0.475*44/12</f>
        <v>6.7361908614637231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22.934934657463966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219.86035935827329</v>
      </c>
      <c r="BJ160" s="59">
        <f t="shared" si="146"/>
        <v>322.75312534885239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24.653905039217822</v>
      </c>
      <c r="BQ160" s="21">
        <f>EXP(-LN(2)/25)*BQ159+(1-EXP(-LN(2)/25))/(LN(2)/25)*Calculateur!BL160*Calculateur!BN160*VLOOKUP('Données projet'!$B$11,Paramètres!$A$1:$I$89,3,0)*0.475*44/12</f>
        <v>2.8626190320795932</v>
      </c>
      <c r="BR160" s="21">
        <f>EXP(-LN(2)/2)*BR159+(1-EXP(-LN(2)/2))/(LN(2)/2)*BL160*BO160*VLOOKUP('Données projet'!$B$11,Paramètres!$A$1:$I$89,3,0)*0.475*44/12</f>
        <v>7.1494371815469419E-14</v>
      </c>
      <c r="BS160" s="22">
        <f t="shared" si="169"/>
        <v>27.516524071297486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-2.8421709430404007E-13</v>
      </c>
      <c r="BZ160" s="13">
        <f>BY160*VLOOKUP('Données projet'!$B$12,Paramètres!$A$1:$I$89,3,0)*VLOOKUP('Données projet'!$B$12,Paramètres!$A$1:$I$89,5,0)</f>
        <v>-2.2612312022829427E-13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378.47278187128137</v>
      </c>
      <c r="CE160" s="59">
        <f t="shared" si="148"/>
        <v>372.59407061242604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30.924882569416255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30.924882569416255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45.598800000000068</v>
      </c>
      <c r="D161" s="11">
        <f t="shared" si="140"/>
        <v>13.471107481003477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227.98911659334703</v>
      </c>
      <c r="H161" s="67">
        <f t="shared" si="110"/>
        <v>359.54675552941455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-3.4106051316484809E-13</v>
      </c>
      <c r="O161" s="13">
        <f>N161*VLOOKUP('Données projet'!$B$9,Paramètres!$A$1:$I$89,3,0)*VLOOKUP('Données projet'!$B$9,Paramètres!$A$1:$I$89,5,0)</f>
        <v>-1.9065282685915009E-13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347.01106511825213</v>
      </c>
      <c r="T161" s="59">
        <f t="shared" si="142"/>
        <v>329.53392323581539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38.5161078463032</v>
      </c>
      <c r="AA161" s="21">
        <f>EXP(-LN(2)/25)*AA160+(1-EXP(-LN(2)/25))/(LN(2)/25)*Calculateur!V161*Calculateur!X161*VLOOKUP('Données projet'!$B$9,Paramètres!$A$1:$I$89,3,0)*0.475*44/12</f>
        <v>5.2875509247220389</v>
      </c>
      <c r="AB161" s="21">
        <f>EXP(-LN(2)/2)*AB160+(1-EXP(-LN(2)/2))/(LN(2)/2)*V161*Y161*VLOOKUP('Données projet'!$B$9,Paramètres!$A$1:$I$89,3,0)*0.475*44/12</f>
        <v>2.0412161751390825E-12</v>
      </c>
      <c r="AC161" s="22">
        <f t="shared" si="163"/>
        <v>43.80365877102728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3.7857142857142856</v>
      </c>
      <c r="AI161" s="13">
        <f>IF('Données projet'!$A$62&gt;35,AI160+AH161-AQ160,IF(A161&lt;'Données projet'!$A$62,$AF$205^A161,IF(A161='Données projet'!$A$62,'Données projet'!$B$62,AI160+AH161-AQ160)))</f>
        <v>196.85714285714303</v>
      </c>
      <c r="AJ161" s="13">
        <f>AI161*VLOOKUP('Données projet'!$B$10,Paramètres!$A$1:$I$89,3,0)*VLOOKUP('Données projet'!$B$10,Paramètres!$A$1:$I$89,5,0)</f>
        <v>178.11634285714302</v>
      </c>
      <c r="AK161" s="13">
        <f t="shared" si="164"/>
        <v>44.902850917373833</v>
      </c>
      <c r="AL161" s="20">
        <f t="shared" si="165"/>
        <v>388.42509582395013</v>
      </c>
      <c r="AM161" s="59">
        <f t="shared" si="113"/>
        <v>681.75842915728344</v>
      </c>
      <c r="AN161" s="59">
        <f ca="1">AVERAGE(OFFSET($AM$3,0,0,'Données projet'!$E$10+1,1))-AVERAGE(OFFSET($H$3,0,0,'Données projet'!$E$10+1,1))</f>
        <v>209.32570518924194</v>
      </c>
      <c r="AO161" s="59">
        <f t="shared" si="144"/>
        <v>138.10530102720475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15.881096310418799</v>
      </c>
      <c r="AV161" s="21">
        <f>EXP(-LN(2)/25)*AV160+(1-EXP(-LN(2)/25))/(LN(2)/25)*Calculateur!AQ161*Calculateur!AS161*VLOOKUP('Données projet'!$B$10,Paramètres!$A$1:$I$89,3,0)*0.475*44/12</f>
        <v>6.5519893681161161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22.433085678534916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219.86035935827329</v>
      </c>
      <c r="BJ161" s="59">
        <f t="shared" si="146"/>
        <v>322.75312534885239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24.170456998796016</v>
      </c>
      <c r="BQ161" s="21">
        <f>EXP(-LN(2)/25)*BQ160+(1-EXP(-LN(2)/25))/(LN(2)/25)*Calculateur!BL161*Calculateur!BN161*VLOOKUP('Données projet'!$B$11,Paramètres!$A$1:$I$89,3,0)*0.475*44/12</f>
        <v>2.7843405641087844</v>
      </c>
      <c r="BR161" s="21">
        <f>EXP(-LN(2)/2)*BR160+(1-EXP(-LN(2)/2))/(LN(2)/2)*BL161*BO161*VLOOKUP('Données projet'!$B$11,Paramètres!$A$1:$I$89,3,0)*0.475*44/12</f>
        <v>5.0554155127390806E-14</v>
      </c>
      <c r="BS161" s="22">
        <f t="shared" si="169"/>
        <v>26.954797562904851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-2.8421709430404007E-13</v>
      </c>
      <c r="BZ161" s="13">
        <f>BY161*VLOOKUP('Données projet'!$B$12,Paramètres!$A$1:$I$89,3,0)*VLOOKUP('Données projet'!$B$12,Paramètres!$A$1:$I$89,5,0)</f>
        <v>-2.2612312022829427E-13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378.47278187128137</v>
      </c>
      <c r="CE161" s="59">
        <f t="shared" si="148"/>
        <v>372.59407061242604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30.318464484545871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30.318464484545871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45.887400000000071</v>
      </c>
      <c r="D162" s="11">
        <f t="shared" si="140"/>
        <v>13.546415685521229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229.39367457569622</v>
      </c>
      <c r="H162" s="67">
        <f t="shared" si="110"/>
        <v>360.18056231894963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-3.4106051316484809E-13</v>
      </c>
      <c r="O162" s="13">
        <f>N162*VLOOKUP('Données projet'!$B$9,Paramètres!$A$1:$I$89,3,0)*VLOOKUP('Données projet'!$B$9,Paramètres!$A$1:$I$89,5,0)</f>
        <v>-1.9065282685915009E-13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347.01106511825213</v>
      </c>
      <c r="T162" s="59">
        <f t="shared" si="142"/>
        <v>329.53392323581539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37.760830463943286</v>
      </c>
      <c r="AA162" s="21">
        <f>EXP(-LN(2)/25)*AA161+(1-EXP(-LN(2)/25))/(LN(2)/25)*Calculateur!V162*Calculateur!X162*VLOOKUP('Données projet'!$B$9,Paramètres!$A$1:$I$89,3,0)*0.475*44/12</f>
        <v>5.1429625666252967</v>
      </c>
      <c r="AB162" s="21">
        <f>EXP(-LN(2)/2)*AB161+(1-EXP(-LN(2)/2))/(LN(2)/2)*V162*Y162*VLOOKUP('Données projet'!$B$9,Paramètres!$A$1:$I$89,3,0)*0.475*44/12</f>
        <v>1.4433577993085127E-12</v>
      </c>
      <c r="AC162" s="22">
        <f t="shared" si="163"/>
        <v>42.903793030570021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3.7857142857142856</v>
      </c>
      <c r="AI162" s="13">
        <f>IF('Données projet'!$A$62&gt;35,AI161+AH162-AQ161,IF(A162&lt;'Données projet'!$A$62,$AF$205^A162,IF(A162='Données projet'!$A$62,'Données projet'!$B$62,AI161+AH162-AQ161)))</f>
        <v>200.64285714285731</v>
      </c>
      <c r="AJ162" s="13">
        <f>AI162*VLOOKUP('Données projet'!$B$10,Paramètres!$A$1:$I$89,3,0)*VLOOKUP('Données projet'!$B$10,Paramètres!$A$1:$I$89,5,0)</f>
        <v>181.54165714285728</v>
      </c>
      <c r="AK162" s="13">
        <f t="shared" si="164"/>
        <v>45.665006049881242</v>
      </c>
      <c r="AL162" s="20">
        <f t="shared" si="165"/>
        <v>395.71827172735294</v>
      </c>
      <c r="AM162" s="59">
        <f t="shared" si="113"/>
        <v>689.05160506068626</v>
      </c>
      <c r="AN162" s="59">
        <f ca="1">AVERAGE(OFFSET($AM$3,0,0,'Données projet'!$E$10+1,1))-AVERAGE(OFFSET($H$3,0,0,'Données projet'!$E$10+1,1))</f>
        <v>209.32570518924194</v>
      </c>
      <c r="AO162" s="59">
        <f t="shared" si="144"/>
        <v>138.10530102720475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15.569677698283773</v>
      </c>
      <c r="AV162" s="21">
        <f>EXP(-LN(2)/25)*AV161+(1-EXP(-LN(2)/25))/(LN(2)/25)*Calculateur!AQ162*Calculateur!AS162*VLOOKUP('Données projet'!$B$10,Paramètres!$A$1:$I$89,3,0)*0.475*44/12</f>
        <v>6.3728248742908349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21.942502572574607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219.86035935827329</v>
      </c>
      <c r="BJ162" s="59">
        <f t="shared" si="146"/>
        <v>322.75312534885239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23.696489079572693</v>
      </c>
      <c r="BQ162" s="21">
        <f>EXP(-LN(2)/25)*BQ161+(1-EXP(-LN(2)/25))/(LN(2)/25)*Calculateur!BL162*Calculateur!BN162*VLOOKUP('Données projet'!$B$11,Paramètres!$A$1:$I$89,3,0)*0.475*44/12</f>
        <v>2.7082026249611233</v>
      </c>
      <c r="BR162" s="21">
        <f>EXP(-LN(2)/2)*BR161+(1-EXP(-LN(2)/2))/(LN(2)/2)*BL162*BO162*VLOOKUP('Données projet'!$B$11,Paramètres!$A$1:$I$89,3,0)*0.475*44/12</f>
        <v>3.574718590773471E-14</v>
      </c>
      <c r="BS162" s="22">
        <f t="shared" si="169"/>
        <v>26.404691704533853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-2.8421709430404007E-13</v>
      </c>
      <c r="BZ162" s="13">
        <f>BY162*VLOOKUP('Données projet'!$B$12,Paramètres!$A$1:$I$89,3,0)*VLOOKUP('Données projet'!$B$12,Paramètres!$A$1:$I$89,5,0)</f>
        <v>-2.2612312022829427E-13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378.47278187128137</v>
      </c>
      <c r="CE162" s="59">
        <f t="shared" si="148"/>
        <v>372.59407061242604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29.723937888441284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29.723937888441284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46.176000000000073</v>
      </c>
      <c r="D163" s="11">
        <f t="shared" si="140"/>
        <v>13.621668778540506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230.79801984699876</v>
      </c>
      <c r="H163" s="67">
        <f t="shared" si="110"/>
        <v>360.81427312262485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-3.4106051316484809E-13</v>
      </c>
      <c r="O163" s="13">
        <f>N163*VLOOKUP('Données projet'!$B$9,Paramètres!$A$1:$I$89,3,0)*VLOOKUP('Données projet'!$B$9,Paramètres!$A$1:$I$89,5,0)</f>
        <v>-1.9065282685915009E-13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347.01106511825213</v>
      </c>
      <c r="T163" s="59">
        <f t="shared" si="142"/>
        <v>329.53392323581539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37.020363610377736</v>
      </c>
      <c r="AA163" s="21">
        <f>EXP(-LN(2)/25)*AA162+(1-EXP(-LN(2)/25))/(LN(2)/25)*Calculateur!V163*Calculateur!X163*VLOOKUP('Données projet'!$B$9,Paramètres!$A$1:$I$89,3,0)*0.475*44/12</f>
        <v>5.002327984784281</v>
      </c>
      <c r="AB163" s="21">
        <f>EXP(-LN(2)/2)*AB162+(1-EXP(-LN(2)/2))/(LN(2)/2)*V163*Y163*VLOOKUP('Données projet'!$B$9,Paramètres!$A$1:$I$89,3,0)*0.475*44/12</f>
        <v>1.0206080875695413E-12</v>
      </c>
      <c r="AC163" s="22">
        <f t="shared" si="163"/>
        <v>42.022691595163039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3.7857142857142856</v>
      </c>
      <c r="AI163" s="13">
        <f>IF('Données projet'!$A$62&gt;35,AI162+AH163-AQ162,IF(A163&lt;'Données projet'!$A$62,$AF$205^A163,IF(A163='Données projet'!$A$62,'Données projet'!$B$62,AI162+AH163-AQ162)))</f>
        <v>204.42857142857159</v>
      </c>
      <c r="AJ163" s="13">
        <f>AI163*VLOOKUP('Données projet'!$B$10,Paramètres!$A$1:$I$89,3,0)*VLOOKUP('Données projet'!$B$10,Paramètres!$A$1:$I$89,5,0)</f>
        <v>184.96697142857158</v>
      </c>
      <c r="AK163" s="13">
        <f t="shared" si="164"/>
        <v>46.425489049022062</v>
      </c>
      <c r="AL163" s="20">
        <f t="shared" si="165"/>
        <v>403.0085353318089</v>
      </c>
      <c r="AM163" s="59">
        <f t="shared" si="113"/>
        <v>696.34186866514221</v>
      </c>
      <c r="AN163" s="59">
        <f ca="1">AVERAGE(OFFSET($AM$3,0,0,'Données projet'!$E$10+1,1))-AVERAGE(OFFSET($H$3,0,0,'Données projet'!$E$10+1,1))</f>
        <v>209.32570518924194</v>
      </c>
      <c r="AO163" s="59">
        <f t="shared" si="144"/>
        <v>138.10530102720475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15.264365815186116</v>
      </c>
      <c r="AV163" s="21">
        <f>EXP(-LN(2)/25)*AV162+(1-EXP(-LN(2)/25))/(LN(2)/25)*Calculateur!AQ163*Calculateur!AS163*VLOOKUP('Données projet'!$B$10,Paramètres!$A$1:$I$89,3,0)*0.475*44/12</f>
        <v>6.1985596429710572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21.462925458157173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219.86035935827329</v>
      </c>
      <c r="BJ163" s="59">
        <f t="shared" si="146"/>
        <v>322.75312534885239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23.231815382153453</v>
      </c>
      <c r="BQ163" s="21">
        <f>EXP(-LN(2)/25)*BQ162+(1-EXP(-LN(2)/25))/(LN(2)/25)*Calculateur!BL163*Calculateur!BN163*VLOOKUP('Données projet'!$B$11,Paramètres!$A$1:$I$89,3,0)*0.475*44/12</f>
        <v>2.634146681763375</v>
      </c>
      <c r="BR163" s="21">
        <f>EXP(-LN(2)/2)*BR162+(1-EXP(-LN(2)/2))/(LN(2)/2)*BL163*BO163*VLOOKUP('Données projet'!$B$11,Paramètres!$A$1:$I$89,3,0)*0.475*44/12</f>
        <v>2.5277077563695403E-14</v>
      </c>
      <c r="BS163" s="22">
        <f t="shared" si="169"/>
        <v>25.865962063916854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-2.8421709430404007E-13</v>
      </c>
      <c r="BZ163" s="13">
        <f>BY163*VLOOKUP('Données projet'!$B$12,Paramètres!$A$1:$I$89,3,0)*VLOOKUP('Données projet'!$B$12,Paramètres!$A$1:$I$89,5,0)</f>
        <v>-2.2612312022829427E-13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378.47278187128137</v>
      </c>
      <c r="CE163" s="59">
        <f t="shared" si="148"/>
        <v>372.59407061242604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29.141069596260891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29.141069596260891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46.464600000000075</v>
      </c>
      <c r="D164" s="11">
        <f t="shared" si="140"/>
        <v>13.696867144466969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232.20215389092547</v>
      </c>
      <c r="H164" s="67">
        <f t="shared" si="110"/>
        <v>361.4478886099468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-3.4106051316484809E-13</v>
      </c>
      <c r="O164" s="13">
        <f>N164*VLOOKUP('Données projet'!$B$9,Paramètres!$A$1:$I$89,3,0)*VLOOKUP('Données projet'!$B$9,Paramètres!$A$1:$I$89,5,0)</f>
        <v>-1.9065282685915009E-13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347.01106511825213</v>
      </c>
      <c r="T164" s="59">
        <f t="shared" si="142"/>
        <v>329.53392323581539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36.294416860170422</v>
      </c>
      <c r="AA164" s="21">
        <f>EXP(-LN(2)/25)*AA163+(1-EXP(-LN(2)/25))/(LN(2)/25)*Calculateur!V164*Calculateur!X164*VLOOKUP('Données projet'!$B$9,Paramètres!$A$1:$I$89,3,0)*0.475*44/12</f>
        <v>4.8655390629793587</v>
      </c>
      <c r="AB164" s="21">
        <f>EXP(-LN(2)/2)*AB163+(1-EXP(-LN(2)/2))/(LN(2)/2)*V164*Y164*VLOOKUP('Données projet'!$B$9,Paramètres!$A$1:$I$89,3,0)*0.475*44/12</f>
        <v>7.2167889965425636E-13</v>
      </c>
      <c r="AC164" s="22">
        <f t="shared" si="163"/>
        <v>41.159955923150505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3.7857142857142856</v>
      </c>
      <c r="AI164" s="13">
        <f>IF('Données projet'!$A$62&gt;35,AI163+AH164-AQ163,IF(A164&lt;'Données projet'!$A$62,$AF$205^A164,IF(A164='Données projet'!$A$62,'Données projet'!$B$62,AI163+AH164-AQ163)))</f>
        <v>208.21428571428586</v>
      </c>
      <c r="AJ164" s="13">
        <f>AI164*VLOOKUP('Données projet'!$B$10,Paramètres!$A$1:$I$89,3,0)*VLOOKUP('Données projet'!$B$10,Paramètres!$A$1:$I$89,5,0)</f>
        <v>188.39228571428583</v>
      </c>
      <c r="AK164" s="13">
        <f t="shared" si="164"/>
        <v>47.184334451354665</v>
      </c>
      <c r="AL164" s="20">
        <f t="shared" si="165"/>
        <v>410.29594678849054</v>
      </c>
      <c r="AM164" s="59">
        <f t="shared" si="113"/>
        <v>703.62928012182385</v>
      </c>
      <c r="AN164" s="59">
        <f ca="1">AVERAGE(OFFSET($AM$3,0,0,'Données projet'!$E$10+1,1))-AVERAGE(OFFSET($H$3,0,0,'Données projet'!$E$10+1,1))</f>
        <v>209.32570518924194</v>
      </c>
      <c r="AO164" s="59">
        <f t="shared" si="144"/>
        <v>138.10530102720475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14.965040911894143</v>
      </c>
      <c r="AV164" s="21">
        <f>EXP(-LN(2)/25)*AV163+(1-EXP(-LN(2)/25))/(LN(2)/25)*Calculateur!AQ164*Calculateur!AS164*VLOOKUP('Données projet'!$B$10,Paramètres!$A$1:$I$89,3,0)*0.475*44/12</f>
        <v>6.0290597035659292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20.99410061546007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219.86035935827329</v>
      </c>
      <c r="BJ164" s="59">
        <f t="shared" si="146"/>
        <v>322.75312534885239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22.776253652517635</v>
      </c>
      <c r="BQ164" s="21">
        <f>EXP(-LN(2)/25)*BQ163+(1-EXP(-LN(2)/25))/(LN(2)/25)*Calculateur!BL164*Calculateur!BN164*VLOOKUP('Données projet'!$B$11,Paramètres!$A$1:$I$89,3,0)*0.475*44/12</f>
        <v>2.5621158022268018</v>
      </c>
      <c r="BR164" s="21">
        <f>EXP(-LN(2)/2)*BR163+(1-EXP(-LN(2)/2))/(LN(2)/2)*BL164*BO164*VLOOKUP('Données projet'!$B$11,Paramètres!$A$1:$I$89,3,0)*0.475*44/12</f>
        <v>1.7873592953867355E-14</v>
      </c>
      <c r="BS164" s="22">
        <f t="shared" si="169"/>
        <v>25.338369454744456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-2.8421709430404007E-13</v>
      </c>
      <c r="BZ164" s="13">
        <f>BY164*VLOOKUP('Données projet'!$B$12,Paramètres!$A$1:$I$89,3,0)*VLOOKUP('Données projet'!$B$12,Paramètres!$A$1:$I$89,5,0)</f>
        <v>-2.2612312022829427E-13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378.47278187128137</v>
      </c>
      <c r="CE164" s="59">
        <f t="shared" si="148"/>
        <v>372.59407061242604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28.569630995775604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28.569630995775604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46.753200000000078</v>
      </c>
      <c r="D165" s="11">
        <f t="shared" si="140"/>
        <v>13.772011162654861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233.60607817165067</v>
      </c>
      <c r="H165" s="67">
        <f t="shared" si="110"/>
        <v>362.08140944162403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-3.4106051316484809E-13</v>
      </c>
      <c r="O165" s="13">
        <f>N165*VLOOKUP('Données projet'!$B$9,Paramètres!$A$1:$I$89,3,0)*VLOOKUP('Données projet'!$B$9,Paramètres!$A$1:$I$89,5,0)</f>
        <v>-1.9065282685915009E-13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347.01106511825213</v>
      </c>
      <c r="T165" s="59">
        <f t="shared" si="142"/>
        <v>329.53392323581539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35.582705482950878</v>
      </c>
      <c r="AA165" s="21">
        <f>EXP(-LN(2)/25)*AA164+(1-EXP(-LN(2)/25))/(LN(2)/25)*Calculateur!V165*Calculateur!X165*VLOOKUP('Données projet'!$B$9,Paramètres!$A$1:$I$89,3,0)*0.475*44/12</f>
        <v>4.7324906414346088</v>
      </c>
      <c r="AB165" s="21">
        <f>EXP(-LN(2)/2)*AB164+(1-EXP(-LN(2)/2))/(LN(2)/2)*V165*Y165*VLOOKUP('Données projet'!$B$9,Paramètres!$A$1:$I$89,3,0)*0.475*44/12</f>
        <v>5.1030404378477063E-13</v>
      </c>
      <c r="AC165" s="22">
        <f t="shared" si="163"/>
        <v>40.315196124385999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>
        <f>VLOOKUP(A165,'Données projet'!$A$61:$I$81,2,0)</f>
        <v>212</v>
      </c>
      <c r="AG165" s="12">
        <f>VLOOKUP(A165,'Données projet'!$A$61:$I$81,9,0)</f>
        <v>3.7857142857142856</v>
      </c>
      <c r="AH165" s="12">
        <f t="array" ref="AH165">INDEX(AG:AG,MIN(IF(ISNUMBER(AG165:AG361),ROW(AG165:AG361),"")))</f>
        <v>3.7857142857142856</v>
      </c>
      <c r="AI165" s="13">
        <f>IF('Données projet'!$A$62&gt;35,AI164+AH165-AQ164,IF(A165&lt;'Données projet'!$A$62,$AF$205^A165,IF(A165='Données projet'!$A$62,'Données projet'!$B$62,AI164+AH165-AQ164)))</f>
        <v>212.00000000000014</v>
      </c>
      <c r="AJ165" s="13">
        <f>AI165*VLOOKUP('Données projet'!$B$10,Paramètres!$A$1:$I$89,3,0)*VLOOKUP('Données projet'!$B$10,Paramètres!$A$1:$I$89,5,0)</f>
        <v>191.81760000000014</v>
      </c>
      <c r="AK165" s="13">
        <f t="shared" si="164"/>
        <v>47.941575465657138</v>
      </c>
      <c r="AL165" s="20">
        <f t="shared" si="165"/>
        <v>417.5805639360197</v>
      </c>
      <c r="AM165" s="59">
        <f t="shared" si="113"/>
        <v>710.91389726935301</v>
      </c>
      <c r="AN165" s="59">
        <f ca="1">AVERAGE(OFFSET($AM$3,0,0,'Données projet'!$E$10+1,1))-AVERAGE(OFFSET($H$3,0,0,'Données projet'!$E$10+1,1))</f>
        <v>209.32570518924194</v>
      </c>
      <c r="AO165" s="59">
        <f t="shared" si="144"/>
        <v>138.10530102720475</v>
      </c>
      <c r="AP165" s="15">
        <f>IF(ISNA(VLOOKUP(A165,'Données projet'!$A$61:$I$81,3,0)),0,VLOOKUP(A165,'Données projet'!$A$61:$I$81,3,0))</f>
        <v>11</v>
      </c>
      <c r="AQ165" s="15">
        <f>IF(ISNA(VLOOKUP(A165,'Données projet'!$A$61:$I$81,4,0)),0,VLOOKUP(A165,'Données projet'!$A$61:$I$81,4,0))</f>
        <v>37</v>
      </c>
      <c r="AR165" s="16">
        <f>IF(ISNA(VLOOKUP(A165,'Données projet'!$A$61:$I$81,5,0)),0%,VLOOKUP(A165,'Données projet'!$A$61:$I$81,5,0)*VLOOKUP('Données projet'!$B$10,Paramètres!$A$1:$I$89,7,0))</f>
        <v>0.30099999999999999</v>
      </c>
      <c r="AS165" s="16">
        <f>IF(ISNA(VLOOKUP(A165,'Données projet'!$A$61:$I$81,6,0)),0%,VLOOKUP(A165,'Données projet'!$A$61:$I$81,6,0)*VLOOKUP('Données projet'!$B$10,Paramètres!$A$1:$I$89,7,0))</f>
        <v>4.3000000000000003E-2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25.811142635919104</v>
      </c>
      <c r="AV165" s="21">
        <f>EXP(-LN(2)/25)*AV164+(1-EXP(-LN(2)/25))/(LN(2)/25)*Calculateur!AQ165*Calculateur!AS165*VLOOKUP('Données projet'!$B$10,Paramètres!$A$1:$I$89,3,0)*0.475*44/12</f>
        <v>7.4492942300502287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33.260436865969332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219.86035935827329</v>
      </c>
      <c r="BJ165" s="59">
        <f t="shared" si="146"/>
        <v>322.75312534885239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22.329625210534758</v>
      </c>
      <c r="BQ165" s="21">
        <f>EXP(-LN(2)/25)*BQ164+(1-EXP(-LN(2)/25))/(LN(2)/25)*Calculateur!BL165*Calculateur!BN165*VLOOKUP('Données projet'!$B$11,Paramètres!$A$1:$I$89,3,0)*0.475*44/12</f>
        <v>2.4920546108790957</v>
      </c>
      <c r="BR165" s="21">
        <f>EXP(-LN(2)/2)*BR164+(1-EXP(-LN(2)/2))/(LN(2)/2)*BL165*BO165*VLOOKUP('Données projet'!$B$11,Paramètres!$A$1:$I$89,3,0)*0.475*44/12</f>
        <v>1.2638538781847701E-14</v>
      </c>
      <c r="BS165" s="22">
        <f t="shared" si="169"/>
        <v>24.821679821413866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-2.8421709430404007E-13</v>
      </c>
      <c r="BZ165" s="13">
        <f>BY165*VLOOKUP('Données projet'!$B$12,Paramètres!$A$1:$I$89,3,0)*VLOOKUP('Données projet'!$B$12,Paramètres!$A$1:$I$89,5,0)</f>
        <v>-2.2612312022829427E-13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378.47278187128137</v>
      </c>
      <c r="CE165" s="59">
        <f t="shared" si="148"/>
        <v>372.59407061242604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28.009397957702703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28.009397957702703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47.04180000000008</v>
      </c>
      <c r="D166" s="11">
        <f t="shared" si="140"/>
        <v>13.847101207504151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235.00979413422689</v>
      </c>
      <c r="H166" s="67">
        <f t="shared" si="110"/>
        <v>362.71483626973657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-3.4106051316484809E-13</v>
      </c>
      <c r="O166" s="13">
        <f>N166*VLOOKUP('Données projet'!$B$9,Paramètres!$A$1:$I$89,3,0)*VLOOKUP('Données projet'!$B$9,Paramètres!$A$1:$I$89,5,0)</f>
        <v>-1.9065282685915009E-13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347.01106511825213</v>
      </c>
      <c r="T166" s="59">
        <f t="shared" si="142"/>
        <v>329.53392323581539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34.884950331737535</v>
      </c>
      <c r="AA166" s="21">
        <f>EXP(-LN(2)/25)*AA165+(1-EXP(-LN(2)/25))/(LN(2)/25)*Calculateur!V166*Calculateur!X166*VLOOKUP('Données projet'!$B$9,Paramètres!$A$1:$I$89,3,0)*0.475*44/12</f>
        <v>4.6030804359737125</v>
      </c>
      <c r="AB166" s="21">
        <f>EXP(-LN(2)/2)*AB165+(1-EXP(-LN(2)/2))/(LN(2)/2)*V166*Y166*VLOOKUP('Données projet'!$B$9,Paramètres!$A$1:$I$89,3,0)*0.475*44/12</f>
        <v>3.6083944982712818E-13</v>
      </c>
      <c r="AC166" s="22">
        <f t="shared" si="163"/>
        <v>39.488030767711614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3.6666666666666665</v>
      </c>
      <c r="AI166" s="13">
        <f>IF('Données projet'!$A$62&gt;35,AI165+AH166-AQ165,IF(A166&lt;'Données projet'!$A$62,$AF$205^A166,IF(A166='Données projet'!$A$62,'Données projet'!$B$62,AI165+AH166-AQ165)))</f>
        <v>178.6666666666668</v>
      </c>
      <c r="AJ166" s="13">
        <f>AI166*VLOOKUP('Données projet'!$B$10,Paramètres!$A$1:$I$89,3,0)*VLOOKUP('Données projet'!$B$10,Paramètres!$A$1:$I$89,5,0)</f>
        <v>161.65760000000012</v>
      </c>
      <c r="AK166" s="13">
        <f t="shared" si="164"/>
        <v>41.21616714850834</v>
      </c>
      <c r="AL166" s="20">
        <f t="shared" si="165"/>
        <v>353.33847778365225</v>
      </c>
      <c r="AM166" s="59">
        <f t="shared" si="113"/>
        <v>646.67181111698551</v>
      </c>
      <c r="AN166" s="59">
        <f ca="1">AVERAGE(OFFSET($AM$3,0,0,'Données projet'!$E$10+1,1))-AVERAGE(OFFSET($H$3,0,0,'Données projet'!$E$10+1,1))</f>
        <v>209.32570518924194</v>
      </c>
      <c r="AO166" s="59">
        <f t="shared" si="144"/>
        <v>138.10530102720475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25.305001872071223</v>
      </c>
      <c r="AV166" s="21">
        <f>EXP(-LN(2)/25)*AV165+(1-EXP(-LN(2)/25))/(LN(2)/25)*Calculateur!AQ166*Calculateur!AS166*VLOOKUP('Données projet'!$B$10,Paramètres!$A$1:$I$89,3,0)*0.475*44/12</f>
        <v>7.2455928875881472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32.550594759659369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219.86035935827329</v>
      </c>
      <c r="BJ166" s="59">
        <f t="shared" si="146"/>
        <v>322.75312534885239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21.891754879882715</v>
      </c>
      <c r="BQ166" s="21">
        <f>EXP(-LN(2)/25)*BQ165+(1-EXP(-LN(2)/25))/(LN(2)/25)*Calculateur!BL166*Calculateur!BN166*VLOOKUP('Données projet'!$B$11,Paramètres!$A$1:$I$89,3,0)*0.475*44/12</f>
        <v>2.4239092464931504</v>
      </c>
      <c r="BR166" s="21">
        <f>EXP(-LN(2)/2)*BR165+(1-EXP(-LN(2)/2))/(LN(2)/2)*BL166*BO166*VLOOKUP('Données projet'!$B$11,Paramètres!$A$1:$I$89,3,0)*0.475*44/12</f>
        <v>8.9367964769336774E-15</v>
      </c>
      <c r="BS166" s="22">
        <f t="shared" si="169"/>
        <v>24.315664126375875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-2.8421709430404007E-13</v>
      </c>
      <c r="BZ166" s="13">
        <f>BY166*VLOOKUP('Données projet'!$B$12,Paramètres!$A$1:$I$89,3,0)*VLOOKUP('Données projet'!$B$12,Paramètres!$A$1:$I$89,5,0)</f>
        <v>-2.2612312022829427E-13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378.47278187128137</v>
      </c>
      <c r="CE166" s="59">
        <f t="shared" si="148"/>
        <v>372.59407061242604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27.460150747797996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27.460150747797996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47.330400000000083</v>
      </c>
      <c r="D167" s="11">
        <f t="shared" si="140"/>
        <v>13.922137648555236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236.41330320495035</v>
      </c>
      <c r="H167" s="67">
        <f t="shared" si="110"/>
        <v>363.34816973790055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-3.4106051316484809E-13</v>
      </c>
      <c r="O167" s="13">
        <f>N167*VLOOKUP('Données projet'!$B$9,Paramètres!$A$1:$I$89,3,0)*VLOOKUP('Données projet'!$B$9,Paramètres!$A$1:$I$89,5,0)</f>
        <v>-1.9065282685915009E-13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347.01106511825213</v>
      </c>
      <c r="T167" s="59">
        <f t="shared" si="142"/>
        <v>329.53392323581539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34.200877733450866</v>
      </c>
      <c r="AA167" s="21">
        <f>EXP(-LN(2)/25)*AA166+(1-EXP(-LN(2)/25))/(LN(2)/25)*Calculateur!V167*Calculateur!X167*VLOOKUP('Données projet'!$B$9,Paramètres!$A$1:$I$89,3,0)*0.475*44/12</f>
        <v>4.4772089593865321</v>
      </c>
      <c r="AB167" s="21">
        <f>EXP(-LN(2)/2)*AB166+(1-EXP(-LN(2)/2))/(LN(2)/2)*V167*Y167*VLOOKUP('Données projet'!$B$9,Paramètres!$A$1:$I$89,3,0)*0.475*44/12</f>
        <v>2.5515202189238532E-13</v>
      </c>
      <c r="AC167" s="22">
        <f t="shared" si="163"/>
        <v>38.678086692837653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3.6666666666666665</v>
      </c>
      <c r="AI167" s="13">
        <f>IF('Données projet'!$A$62&gt;35,AI166+AH167-AQ166,IF(A167&lt;'Données projet'!$A$62,$AF$205^A167,IF(A167='Données projet'!$A$62,'Données projet'!$B$62,AI166+AH167-AQ166)))</f>
        <v>182.33333333333346</v>
      </c>
      <c r="AJ167" s="13">
        <f>AI167*VLOOKUP('Données projet'!$B$10,Paramètres!$A$1:$I$89,3,0)*VLOOKUP('Données projet'!$B$10,Paramètres!$A$1:$I$89,5,0)</f>
        <v>164.97520000000011</v>
      </c>
      <c r="AK167" s="13">
        <f t="shared" si="164"/>
        <v>41.962677950462357</v>
      </c>
      <c r="AL167" s="20">
        <f t="shared" si="165"/>
        <v>360.41680409705549</v>
      </c>
      <c r="AM167" s="59">
        <f t="shared" si="113"/>
        <v>653.7501374303888</v>
      </c>
      <c r="AN167" s="59">
        <f ca="1">AVERAGE(OFFSET($AM$3,0,0,'Données projet'!$E$10+1,1))-AVERAGE(OFFSET($H$3,0,0,'Données projet'!$E$10+1,1))</f>
        <v>209.32570518924194</v>
      </c>
      <c r="AO167" s="59">
        <f t="shared" si="144"/>
        <v>138.10530102720475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24.808786219887015</v>
      </c>
      <c r="AV167" s="21">
        <f>EXP(-LN(2)/25)*AV166+(1-EXP(-LN(2)/25))/(LN(2)/25)*Calculateur!AQ167*Calculateur!AS167*VLOOKUP('Données projet'!$B$10,Paramètres!$A$1:$I$89,3,0)*0.475*44/12</f>
        <v>7.0474617690478798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31.856247988934896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219.86035935827329</v>
      </c>
      <c r="BJ167" s="59">
        <f t="shared" si="146"/>
        <v>322.75312534885239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21.462470919340227</v>
      </c>
      <c r="BQ167" s="21">
        <f>EXP(-LN(2)/25)*BQ166+(1-EXP(-LN(2)/25))/(LN(2)/25)*Calculateur!BL167*Calculateur!BN167*VLOOKUP('Données projet'!$B$11,Paramètres!$A$1:$I$89,3,0)*0.475*44/12</f>
        <v>2.3576273206799478</v>
      </c>
      <c r="BR167" s="21">
        <f>EXP(-LN(2)/2)*BR166+(1-EXP(-LN(2)/2))/(LN(2)/2)*BL167*BO167*VLOOKUP('Données projet'!$B$11,Paramètres!$A$1:$I$89,3,0)*0.475*44/12</f>
        <v>6.3192693909238507E-15</v>
      </c>
      <c r="BS167" s="22">
        <f t="shared" si="169"/>
        <v>23.820098240020183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-2.8421709430404007E-13</v>
      </c>
      <c r="BZ167" s="13">
        <f>BY167*VLOOKUP('Données projet'!$B$12,Paramètres!$A$1:$I$89,3,0)*VLOOKUP('Données projet'!$B$12,Paramètres!$A$1:$I$89,5,0)</f>
        <v>-2.2612312022829427E-13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378.47278187128137</v>
      </c>
      <c r="CE167" s="59">
        <f t="shared" si="148"/>
        <v>372.59407061242604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26.921673940671806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26.921673940671806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47.619000000000085</v>
      </c>
      <c r="D168" s="11">
        <f t="shared" si="140"/>
        <v>13.997120850581231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237.81660679171739</v>
      </c>
      <c r="H168" s="67">
        <f t="shared" si="110"/>
        <v>363.98141048142912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-3.4106051316484809E-13</v>
      </c>
      <c r="O168" s="13">
        <f>N168*VLOOKUP('Données projet'!$B$9,Paramètres!$A$1:$I$89,3,0)*VLOOKUP('Données projet'!$B$9,Paramètres!$A$1:$I$89,5,0)</f>
        <v>-1.9065282685915009E-13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347.01106511825213</v>
      </c>
      <c r="T168" s="59">
        <f t="shared" si="142"/>
        <v>329.53392323581539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33.530219381573509</v>
      </c>
      <c r="AA168" s="21">
        <f>EXP(-LN(2)/25)*AA167+(1-EXP(-LN(2)/25))/(LN(2)/25)*Calculateur!V168*Calculateur!X168*VLOOKUP('Données projet'!$B$9,Paramètres!$A$1:$I$89,3,0)*0.475*44/12</f>
        <v>4.3547794449459207</v>
      </c>
      <c r="AB168" s="21">
        <f>EXP(-LN(2)/2)*AB167+(1-EXP(-LN(2)/2))/(LN(2)/2)*V168*Y168*VLOOKUP('Données projet'!$B$9,Paramètres!$A$1:$I$89,3,0)*0.475*44/12</f>
        <v>1.8041972491356409E-13</v>
      </c>
      <c r="AC168" s="22">
        <f t="shared" si="163"/>
        <v>37.884998826519606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3.6666666666666665</v>
      </c>
      <c r="AI168" s="13">
        <f>IF('Données projet'!$A$62&gt;35,AI167+AH168-AQ167,IF(A168&lt;'Données projet'!$A$62,$AF$205^A168,IF(A168='Données projet'!$A$62,'Données projet'!$B$62,AI167+AH168-AQ167)))</f>
        <v>186.00000000000011</v>
      </c>
      <c r="AJ168" s="13">
        <f>AI168*VLOOKUP('Données projet'!$B$10,Paramètres!$A$1:$I$89,3,0)*VLOOKUP('Données projet'!$B$10,Paramètres!$A$1:$I$89,5,0)</f>
        <v>168.29280000000008</v>
      </c>
      <c r="AK168" s="13">
        <f t="shared" si="164"/>
        <v>42.707443263135104</v>
      </c>
      <c r="AL168" s="20">
        <f t="shared" si="165"/>
        <v>367.49209034996039</v>
      </c>
      <c r="AM168" s="59">
        <f t="shared" si="113"/>
        <v>660.82542368329371</v>
      </c>
      <c r="AN168" s="59">
        <f ca="1">AVERAGE(OFFSET($AM$3,0,0,'Données projet'!$E$10+1,1))-AVERAGE(OFFSET($H$3,0,0,'Données projet'!$E$10+1,1))</f>
        <v>209.32570518924194</v>
      </c>
      <c r="AO168" s="59">
        <f t="shared" si="144"/>
        <v>138.10530102720475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24.322301053980478</v>
      </c>
      <c r="AV168" s="21">
        <f>EXP(-LN(2)/25)*AV167+(1-EXP(-LN(2)/25))/(LN(2)/25)*Calculateur!AQ168*Calculateur!AS168*VLOOKUP('Données projet'!$B$10,Paramètres!$A$1:$I$89,3,0)*0.475*44/12</f>
        <v>6.8547485563633579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31.177049610343836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219.86035935827329</v>
      </c>
      <c r="BJ168" s="59">
        <f t="shared" si="146"/>
        <v>322.75312534885239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21.041604955426614</v>
      </c>
      <c r="BQ168" s="21">
        <f>EXP(-LN(2)/25)*BQ167+(1-EXP(-LN(2)/25))/(LN(2)/25)*Calculateur!BL168*Calculateur!BN168*VLOOKUP('Données projet'!$B$11,Paramètres!$A$1:$I$89,3,0)*0.475*44/12</f>
        <v>2.2931578776137225</v>
      </c>
      <c r="BR168" s="21">
        <f>EXP(-LN(2)/2)*BR167+(1-EXP(-LN(2)/2))/(LN(2)/2)*BL168*BO168*VLOOKUP('Données projet'!$B$11,Paramètres!$A$1:$I$89,3,0)*0.475*44/12</f>
        <v>4.4683982384668387E-15</v>
      </c>
      <c r="BS168" s="22">
        <f t="shared" si="169"/>
        <v>23.33476283304034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-2.8421709430404007E-13</v>
      </c>
      <c r="BZ168" s="13">
        <f>BY168*VLOOKUP('Données projet'!$B$12,Paramètres!$A$1:$I$89,3,0)*VLOOKUP('Données projet'!$B$12,Paramètres!$A$1:$I$89,5,0)</f>
        <v>-2.2612312022829427E-13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378.47278187128137</v>
      </c>
      <c r="CE168" s="59">
        <f t="shared" si="148"/>
        <v>372.59407061242604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26.393756335294935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26.393756335294935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47.907600000000087</v>
      </c>
      <c r="D169" s="11">
        <f t="shared" si="140"/>
        <v>14.072051173677993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239.21970628437157</v>
      </c>
      <c r="H169" s="67">
        <f t="shared" si="110"/>
        <v>364.61455912748931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-3.4106051316484809E-13</v>
      </c>
      <c r="O169" s="13">
        <f>N169*VLOOKUP('Données projet'!$B$9,Paramètres!$A$1:$I$89,3,0)*VLOOKUP('Données projet'!$B$9,Paramètres!$A$1:$I$89,5,0)</f>
        <v>-1.9065282685915009E-13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347.01106511825213</v>
      </c>
      <c r="T169" s="59">
        <f t="shared" si="142"/>
        <v>329.53392323581539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32.872712230915269</v>
      </c>
      <c r="AA169" s="21">
        <f>EXP(-LN(2)/25)*AA168+(1-EXP(-LN(2)/25))/(LN(2)/25)*Calculateur!V169*Calculateur!X169*VLOOKUP('Données projet'!$B$9,Paramètres!$A$1:$I$89,3,0)*0.475*44/12</f>
        <v>4.2356977720159765</v>
      </c>
      <c r="AB169" s="21">
        <f>EXP(-LN(2)/2)*AB168+(1-EXP(-LN(2)/2))/(LN(2)/2)*V169*Y169*VLOOKUP('Données projet'!$B$9,Paramètres!$A$1:$I$89,3,0)*0.475*44/12</f>
        <v>1.2757601094619266E-13</v>
      </c>
      <c r="AC169" s="22">
        <f t="shared" si="163"/>
        <v>37.108410002931372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3.6666666666666665</v>
      </c>
      <c r="AI169" s="13">
        <f>IF('Données projet'!$A$62&gt;35,AI168+AH169-AQ168,IF(A169&lt;'Données projet'!$A$62,$AF$205^A169,IF(A169='Données projet'!$A$62,'Données projet'!$B$62,AI168+AH169-AQ168)))</f>
        <v>189.66666666666677</v>
      </c>
      <c r="AJ169" s="13">
        <f>AI169*VLOOKUP('Données projet'!$B$10,Paramètres!$A$1:$I$89,3,0)*VLOOKUP('Données projet'!$B$10,Paramètres!$A$1:$I$89,5,0)</f>
        <v>171.61040000000008</v>
      </c>
      <c r="AK169" s="13">
        <f t="shared" si="164"/>
        <v>43.450501462030459</v>
      </c>
      <c r="AL169" s="20">
        <f t="shared" si="165"/>
        <v>374.56440337970315</v>
      </c>
      <c r="AM169" s="59">
        <f t="shared" si="113"/>
        <v>667.89773671303647</v>
      </c>
      <c r="AN169" s="59">
        <f ca="1">AVERAGE(OFFSET($AM$3,0,0,'Données projet'!$E$10+1,1))-AVERAGE(OFFSET($H$3,0,0,'Données projet'!$E$10+1,1))</f>
        <v>209.32570518924194</v>
      </c>
      <c r="AO169" s="59">
        <f t="shared" si="144"/>
        <v>138.10530102720475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23.845355565450717</v>
      </c>
      <c r="AV169" s="21">
        <f>EXP(-LN(2)/25)*AV168+(1-EXP(-LN(2)/25))/(LN(2)/25)*Calculateur!AQ169*Calculateur!AS169*VLOOKUP('Données projet'!$B$10,Paramètres!$A$1:$I$89,3,0)*0.475*44/12</f>
        <v>6.6673050966140419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30.512660662064761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219.86035935827329</v>
      </c>
      <c r="BJ169" s="59">
        <f t="shared" si="146"/>
        <v>322.75312534885239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20.628991916362459</v>
      </c>
      <c r="BQ169" s="21">
        <f>EXP(-LN(2)/25)*BQ168+(1-EXP(-LN(2)/25))/(LN(2)/25)*Calculateur!BL169*Calculateur!BN169*VLOOKUP('Données projet'!$B$11,Paramètres!$A$1:$I$89,3,0)*0.475*44/12</f>
        <v>2.2304513548584435</v>
      </c>
      <c r="BR169" s="21">
        <f>EXP(-LN(2)/2)*BR168+(1-EXP(-LN(2)/2))/(LN(2)/2)*BL169*BO169*VLOOKUP('Données projet'!$B$11,Paramètres!$A$1:$I$89,3,0)*0.475*44/12</f>
        <v>3.1596346954619254E-15</v>
      </c>
      <c r="BS169" s="22">
        <f t="shared" si="169"/>
        <v>22.859443271220908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-2.8421709430404007E-13</v>
      </c>
      <c r="BZ169" s="13">
        <f>BY169*VLOOKUP('Données projet'!$B$12,Paramètres!$A$1:$I$89,3,0)*VLOOKUP('Données projet'!$B$12,Paramètres!$A$1:$I$89,5,0)</f>
        <v>-2.2612312022829427E-13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378.47278187128137</v>
      </c>
      <c r="CE169" s="59">
        <f t="shared" si="148"/>
        <v>372.59407061242604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25.876190872161562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25.876190872161562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48.19620000000009</v>
      </c>
      <c r="D170" s="11">
        <f t="shared" si="140"/>
        <v>14.146928973351919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240.62260305504284</v>
      </c>
      <c r="H170" s="67">
        <f t="shared" si="110"/>
        <v>365.24761629525477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-3.4106051316484809E-13</v>
      </c>
      <c r="O170" s="13">
        <f>N170*VLOOKUP('Données projet'!$B$9,Paramètres!$A$1:$I$89,3,0)*VLOOKUP('Données projet'!$B$9,Paramètres!$A$1:$I$89,5,0)</f>
        <v>-1.9065282685915009E-13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347.01106511825213</v>
      </c>
      <c r="T170" s="59">
        <f t="shared" si="142"/>
        <v>329.53392323581539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32.228098394441673</v>
      </c>
      <c r="AA170" s="21">
        <f>EXP(-LN(2)/25)*AA169+(1-EXP(-LN(2)/25))/(LN(2)/25)*Calculateur!V170*Calculateur!X170*VLOOKUP('Données projet'!$B$9,Paramètres!$A$1:$I$89,3,0)*0.475*44/12</f>
        <v>4.1198723936945347</v>
      </c>
      <c r="AB170" s="21">
        <f>EXP(-LN(2)/2)*AB169+(1-EXP(-LN(2)/2))/(LN(2)/2)*V170*Y170*VLOOKUP('Données projet'!$B$9,Paramètres!$A$1:$I$89,3,0)*0.475*44/12</f>
        <v>9.0209862456782045E-14</v>
      </c>
      <c r="AC170" s="22">
        <f t="shared" si="163"/>
        <v>36.347970788136301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3.6666666666666665</v>
      </c>
      <c r="AI170" s="13">
        <f>IF('Données projet'!$A$62&gt;35,AI169+AH170-AQ169,IF(A170&lt;'Données projet'!$A$62,$AF$205^A170,IF(A170='Données projet'!$A$62,'Données projet'!$B$62,AI169+AH170-AQ169)))</f>
        <v>193.33333333333343</v>
      </c>
      <c r="AJ170" s="13">
        <f>AI170*VLOOKUP('Données projet'!$B$10,Paramètres!$A$1:$I$89,3,0)*VLOOKUP('Données projet'!$B$10,Paramètres!$A$1:$I$89,5,0)</f>
        <v>174.92800000000008</v>
      </c>
      <c r="AK170" s="13">
        <f t="shared" si="164"/>
        <v>44.191889354006811</v>
      </c>
      <c r="AL170" s="20">
        <f t="shared" si="165"/>
        <v>381.63380729156194</v>
      </c>
      <c r="AM170" s="59">
        <f t="shared" si="113"/>
        <v>674.96714062489525</v>
      </c>
      <c r="AN170" s="59">
        <f ca="1">AVERAGE(OFFSET($AM$3,0,0,'Données projet'!$E$10+1,1))-AVERAGE(OFFSET($H$3,0,0,'Données projet'!$E$10+1,1))</f>
        <v>209.32570518924194</v>
      </c>
      <c r="AO170" s="59">
        <f t="shared" si="144"/>
        <v>138.10530102720475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23.377762687042999</v>
      </c>
      <c r="AV170" s="21">
        <f>EXP(-LN(2)/25)*AV169+(1-EXP(-LN(2)/25))/(LN(2)/25)*Calculateur!AQ170*Calculateur!AS170*VLOOKUP('Données projet'!$B$10,Paramètres!$A$1:$I$89,3,0)*0.475*44/12</f>
        <v>6.484987288128794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29.862749975171795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219.86035935827329</v>
      </c>
      <c r="BJ170" s="59">
        <f t="shared" si="146"/>
        <v>322.75312534885239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20.224469967325248</v>
      </c>
      <c r="BQ170" s="21">
        <f>EXP(-LN(2)/25)*BQ169+(1-EXP(-LN(2)/25))/(LN(2)/25)*Calculateur!BL170*Calculateur!BN170*VLOOKUP('Données projet'!$B$11,Paramètres!$A$1:$I$89,3,0)*0.475*44/12</f>
        <v>2.1694595452655006</v>
      </c>
      <c r="BR170" s="21">
        <f>EXP(-LN(2)/2)*BR169+(1-EXP(-LN(2)/2))/(LN(2)/2)*BL170*BO170*VLOOKUP('Données projet'!$B$11,Paramètres!$A$1:$I$89,3,0)*0.475*44/12</f>
        <v>2.2341991192334193E-15</v>
      </c>
      <c r="BS170" s="22">
        <f t="shared" si="169"/>
        <v>22.393929512590752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-2.8421709430404007E-13</v>
      </c>
      <c r="BZ170" s="13">
        <f>BY170*VLOOKUP('Données projet'!$B$12,Paramètres!$A$1:$I$89,3,0)*VLOOKUP('Données projet'!$B$12,Paramètres!$A$1:$I$89,5,0)</f>
        <v>-2.2612312022829427E-13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378.47278187128137</v>
      </c>
      <c r="CE170" s="59">
        <f t="shared" si="148"/>
        <v>372.59407061242604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25.368774552076474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25.368774552076474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48.484800000000092</v>
      </c>
      <c r="D171" s="11">
        <f t="shared" si="140"/>
        <v>14.221754600605522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242.02529845847781</v>
      </c>
      <c r="H171" s="67">
        <f t="shared" si="110"/>
        <v>365.88058259605481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-3.4106051316484809E-13</v>
      </c>
      <c r="O171" s="13">
        <f>N171*VLOOKUP('Données projet'!$B$9,Paramètres!$A$1:$I$89,3,0)*VLOOKUP('Données projet'!$B$9,Paramètres!$A$1:$I$89,5,0)</f>
        <v>-1.9065282685915009E-13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347.01106511825213</v>
      </c>
      <c r="T171" s="59">
        <f t="shared" si="142"/>
        <v>329.53392323581539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31.596125042125706</v>
      </c>
      <c r="AA171" s="21">
        <f>EXP(-LN(2)/25)*AA170+(1-EXP(-LN(2)/25))/(LN(2)/25)*Calculateur!V171*Calculateur!X171*VLOOKUP('Données projet'!$B$9,Paramètres!$A$1:$I$89,3,0)*0.475*44/12</f>
        <v>4.0072142664342847</v>
      </c>
      <c r="AB171" s="21">
        <f>EXP(-LN(2)/2)*AB170+(1-EXP(-LN(2)/2))/(LN(2)/2)*V171*Y171*VLOOKUP('Données projet'!$B$9,Paramètres!$A$1:$I$89,3,0)*0.475*44/12</f>
        <v>6.3788005473096329E-14</v>
      </c>
      <c r="AC171" s="22">
        <f t="shared" si="163"/>
        <v>35.603339308560052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3.6666666666666665</v>
      </c>
      <c r="AI171" s="13">
        <f>IF('Données projet'!$A$62&gt;35,AI170+AH171-AQ170,IF(A171&lt;'Données projet'!$A$62,$AF$205^A171,IF(A171='Données projet'!$A$62,'Données projet'!$B$62,AI170+AH171-AQ170)))</f>
        <v>197.00000000000009</v>
      </c>
      <c r="AJ171" s="13">
        <f>AI171*VLOOKUP('Données projet'!$B$10,Paramètres!$A$1:$I$89,3,0)*VLOOKUP('Données projet'!$B$10,Paramètres!$A$1:$I$89,5,0)</f>
        <v>178.24560000000008</v>
      </c>
      <c r="AK171" s="13">
        <f t="shared" si="164"/>
        <v>44.931642269910469</v>
      </c>
      <c r="AL171" s="20">
        <f t="shared" si="165"/>
        <v>388.70036362009415</v>
      </c>
      <c r="AM171" s="59">
        <f t="shared" si="113"/>
        <v>682.03369695342747</v>
      </c>
      <c r="AN171" s="59">
        <f ca="1">AVERAGE(OFFSET($AM$3,0,0,'Données projet'!$E$10+1,1))-AVERAGE(OFFSET($H$3,0,0,'Données projet'!$E$10+1,1))</f>
        <v>209.32570518924194</v>
      </c>
      <c r="AO171" s="59">
        <f t="shared" si="144"/>
        <v>138.10530102720475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22.919339019777365</v>
      </c>
      <c r="AV171" s="21">
        <f>EXP(-LN(2)/25)*AV170+(1-EXP(-LN(2)/25))/(LN(2)/25)*Calculateur!AQ171*Calculateur!AS171*VLOOKUP('Données projet'!$B$10,Paramètres!$A$1:$I$89,3,0)*0.475*44/12</f>
        <v>6.3076549697042523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29.226993989481617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219.86035935827329</v>
      </c>
      <c r="BJ171" s="59">
        <f t="shared" si="146"/>
        <v>322.75312534885239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19.827880446974632</v>
      </c>
      <c r="BQ171" s="21">
        <f>EXP(-LN(2)/25)*BQ170+(1-EXP(-LN(2)/25))/(LN(2)/25)*Calculateur!BL171*Calculateur!BN171*VLOOKUP('Données projet'!$B$11,Paramètres!$A$1:$I$89,3,0)*0.475*44/12</f>
        <v>2.1101355599132963</v>
      </c>
      <c r="BR171" s="21">
        <f>EXP(-LN(2)/2)*BR170+(1-EXP(-LN(2)/2))/(LN(2)/2)*BL171*BO171*VLOOKUP('Données projet'!$B$11,Paramètres!$A$1:$I$89,3,0)*0.475*44/12</f>
        <v>1.5798173477309627E-15</v>
      </c>
      <c r="BS171" s="22">
        <f t="shared" si="169"/>
        <v>21.938016006887928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-2.8421709430404007E-13</v>
      </c>
      <c r="BZ171" s="13">
        <f>BY171*VLOOKUP('Données projet'!$B$12,Paramètres!$A$1:$I$89,3,0)*VLOOKUP('Données projet'!$B$12,Paramètres!$A$1:$I$89,5,0)</f>
        <v>-2.2612312022829427E-13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378.47278187128137</v>
      </c>
      <c r="CE171" s="59">
        <f t="shared" si="148"/>
        <v>372.59407061242604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24.871308356534858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24.871308356534858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48.773400000000095</v>
      </c>
      <c r="D172" s="11">
        <f t="shared" si="140"/>
        <v>14.296528402020989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243.42779383236208</v>
      </c>
      <c r="H172" s="67">
        <f t="shared" si="110"/>
        <v>366.51345863352009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-3.4106051316484809E-13</v>
      </c>
      <c r="O172" s="13">
        <f>N172*VLOOKUP('Données projet'!$B$9,Paramètres!$A$1:$I$89,3,0)*VLOOKUP('Données projet'!$B$9,Paramètres!$A$1:$I$89,5,0)</f>
        <v>-1.9065282685915009E-13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347.01106511825213</v>
      </c>
      <c r="T172" s="59">
        <f t="shared" si="142"/>
        <v>329.53392323581539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30.976544301782972</v>
      </c>
      <c r="AA172" s="21">
        <f>EXP(-LN(2)/25)*AA171+(1-EXP(-LN(2)/25))/(LN(2)/25)*Calculateur!V172*Calculateur!X172*VLOOKUP('Données projet'!$B$9,Paramètres!$A$1:$I$89,3,0)*0.475*44/12</f>
        <v>3.8976367815883997</v>
      </c>
      <c r="AB172" s="21">
        <f>EXP(-LN(2)/2)*AB171+(1-EXP(-LN(2)/2))/(LN(2)/2)*V172*Y172*VLOOKUP('Données projet'!$B$9,Paramètres!$A$1:$I$89,3,0)*0.475*44/12</f>
        <v>4.5104931228391022E-14</v>
      </c>
      <c r="AC172" s="22">
        <f t="shared" si="163"/>
        <v>34.874181083371411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3.6666666666666665</v>
      </c>
      <c r="AI172" s="13">
        <f>IF('Données projet'!$A$62&gt;35,AI171+AH172-AQ171,IF(A172&lt;'Données projet'!$A$62,$AF$205^A172,IF(A172='Données projet'!$A$62,'Données projet'!$B$62,AI171+AH172-AQ171)))</f>
        <v>200.66666666666674</v>
      </c>
      <c r="AJ172" s="13">
        <f>AI172*VLOOKUP('Données projet'!$B$10,Paramètres!$A$1:$I$89,3,0)*VLOOKUP('Données projet'!$B$10,Paramètres!$A$1:$I$89,5,0)</f>
        <v>181.56320000000005</v>
      </c>
      <c r="AK172" s="13">
        <f t="shared" si="164"/>
        <v>45.669794150117184</v>
      </c>
      <c r="AL172" s="20">
        <f t="shared" si="165"/>
        <v>395.76413147812082</v>
      </c>
      <c r="AM172" s="59">
        <f t="shared" si="113"/>
        <v>689.09746481145407</v>
      </c>
      <c r="AN172" s="59">
        <f ca="1">AVERAGE(OFFSET($AM$3,0,0,'Données projet'!$E$10+1,1))-AVERAGE(OFFSET($H$3,0,0,'Données projet'!$E$10+1,1))</f>
        <v>209.32570518924194</v>
      </c>
      <c r="AO172" s="59">
        <f t="shared" si="144"/>
        <v>138.10530102720475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22.469904761015979</v>
      </c>
      <c r="AV172" s="21">
        <f>EXP(-LN(2)/25)*AV171+(1-EXP(-LN(2)/25))/(LN(2)/25)*Calculateur!AQ172*Calculateur!AS172*VLOOKUP('Données projet'!$B$10,Paramètres!$A$1:$I$89,3,0)*0.475*44/12</f>
        <v>6.1351718128525308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28.605076573868509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219.86035935827329</v>
      </c>
      <c r="BJ172" s="59">
        <f t="shared" si="146"/>
        <v>322.75312534885239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19.439067805222368</v>
      </c>
      <c r="BQ172" s="21">
        <f>EXP(-LN(2)/25)*BQ171+(1-EXP(-LN(2)/25))/(LN(2)/25)*Calculateur!BL172*Calculateur!BN172*VLOOKUP('Données projet'!$B$11,Paramètres!$A$1:$I$89,3,0)*0.475*44/12</f>
        <v>2.0524337920602607</v>
      </c>
      <c r="BR172" s="21">
        <f>EXP(-LN(2)/2)*BR171+(1-EXP(-LN(2)/2))/(LN(2)/2)*BL172*BO172*VLOOKUP('Données projet'!$B$11,Paramètres!$A$1:$I$89,3,0)*0.475*44/12</f>
        <v>1.1170995596167097E-15</v>
      </c>
      <c r="BS172" s="22">
        <f t="shared" si="169"/>
        <v>21.491501597282628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-2.8421709430404007E-13</v>
      </c>
      <c r="BZ172" s="13">
        <f>BY172*VLOOKUP('Données projet'!$B$12,Paramètres!$A$1:$I$89,3,0)*VLOOKUP('Données projet'!$B$12,Paramètres!$A$1:$I$89,5,0)</f>
        <v>-2.2612312022829427E-13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378.47278187128137</v>
      </c>
      <c r="CE172" s="59">
        <f t="shared" si="148"/>
        <v>372.59407061242604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24.383597169663393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24.383597169663393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49.062000000000097</v>
      </c>
      <c r="D173" s="11">
        <f t="shared" si="140"/>
        <v>14.37125071984163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244.83009049763473</v>
      </c>
      <c r="H173" s="67">
        <f t="shared" si="110"/>
        <v>367.14624500372435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-3.4106051316484809E-13</v>
      </c>
      <c r="O173" s="13">
        <f>N173*VLOOKUP('Données projet'!$B$9,Paramètres!$A$1:$I$89,3,0)*VLOOKUP('Données projet'!$B$9,Paramètres!$A$1:$I$89,5,0)</f>
        <v>-1.9065282685915009E-13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347.01106511825213</v>
      </c>
      <c r="T173" s="59">
        <f t="shared" si="142"/>
        <v>329.53392323581539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30.369113161851423</v>
      </c>
      <c r="AA173" s="21">
        <f>EXP(-LN(2)/25)*AA172+(1-EXP(-LN(2)/25))/(LN(2)/25)*Calculateur!V173*Calculateur!X173*VLOOKUP('Données projet'!$B$9,Paramètres!$A$1:$I$89,3,0)*0.475*44/12</f>
        <v>3.7910556988280546</v>
      </c>
      <c r="AB173" s="21">
        <f>EXP(-LN(2)/2)*AB172+(1-EXP(-LN(2)/2))/(LN(2)/2)*V173*Y173*VLOOKUP('Données projet'!$B$9,Paramètres!$A$1:$I$89,3,0)*0.475*44/12</f>
        <v>3.1894002736548165E-14</v>
      </c>
      <c r="AC173" s="22">
        <f t="shared" si="163"/>
        <v>34.160168860679505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3.6666666666666665</v>
      </c>
      <c r="AI173" s="13">
        <f>IF('Données projet'!$A$62&gt;35,AI172+AH173-AQ172,IF(A173&lt;'Données projet'!$A$62,$AF$205^A173,IF(A173='Données projet'!$A$62,'Données projet'!$B$62,AI172+AH173-AQ172)))</f>
        <v>204.3333333333334</v>
      </c>
      <c r="AJ173" s="13">
        <f>AI173*VLOOKUP('Données projet'!$B$10,Paramètres!$A$1:$I$89,3,0)*VLOOKUP('Données projet'!$B$10,Paramètres!$A$1:$I$89,5,0)</f>
        <v>184.88080000000005</v>
      </c>
      <c r="AK173" s="13">
        <f t="shared" si="164"/>
        <v>46.40637762364517</v>
      </c>
      <c r="AL173" s="20">
        <f t="shared" si="165"/>
        <v>402.82516769451541</v>
      </c>
      <c r="AM173" s="59">
        <f t="shared" si="113"/>
        <v>696.15850102784873</v>
      </c>
      <c r="AN173" s="59">
        <f ca="1">AVERAGE(OFFSET($AM$3,0,0,'Données projet'!$E$10+1,1))-AVERAGE(OFFSET($H$3,0,0,'Données projet'!$E$10+1,1))</f>
        <v>209.32570518924194</v>
      </c>
      <c r="AO173" s="59">
        <f t="shared" si="144"/>
        <v>138.10530102720475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22.029283633941073</v>
      </c>
      <c r="AV173" s="21">
        <f>EXP(-LN(2)/25)*AV172+(1-EXP(-LN(2)/25))/(LN(2)/25)*Calculateur!AQ173*Calculateur!AS173*VLOOKUP('Données projet'!$B$10,Paramètres!$A$1:$I$89,3,0)*0.475*44/12</f>
        <v>5.9674052169954148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27.996688850936486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219.86035935827329</v>
      </c>
      <c r="BJ173" s="59">
        <f t="shared" si="146"/>
        <v>322.75312534885239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19.057879542222572</v>
      </c>
      <c r="BQ173" s="21">
        <f>EXP(-LN(2)/25)*BQ172+(1-EXP(-LN(2)/25))/(LN(2)/25)*Calculateur!BL173*Calculateur!BN173*VLOOKUP('Données projet'!$B$11,Paramètres!$A$1:$I$89,3,0)*0.475*44/12</f>
        <v>1.9963098820835705</v>
      </c>
      <c r="BR173" s="21">
        <f>EXP(-LN(2)/2)*BR172+(1-EXP(-LN(2)/2))/(LN(2)/2)*BL173*BO173*VLOOKUP('Données projet'!$B$11,Paramètres!$A$1:$I$89,3,0)*0.475*44/12</f>
        <v>7.8990867386548134E-16</v>
      </c>
      <c r="BS173" s="22">
        <f t="shared" si="169"/>
        <v>21.054189424306141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-2.8421709430404007E-13</v>
      </c>
      <c r="BZ173" s="13">
        <f>BY173*VLOOKUP('Données projet'!$B$12,Paramètres!$A$1:$I$89,3,0)*VLOOKUP('Données projet'!$B$12,Paramètres!$A$1:$I$89,5,0)</f>
        <v>-2.2612312022829427E-13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378.47278187128137</v>
      </c>
      <c r="CE173" s="59">
        <f t="shared" si="148"/>
        <v>372.59407061242604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23.905449701692028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23.905449701692028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49.350600000000099</v>
      </c>
      <c r="D174" s="11">
        <f t="shared" si="140"/>
        <v>14.44592189205145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246.23218975879547</v>
      </c>
      <c r="H174" s="67">
        <f t="shared" si="110"/>
        <v>367.77894229532313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-3.4106051316484809E-13</v>
      </c>
      <c r="O174" s="13">
        <f>N174*VLOOKUP('Données projet'!$B$9,Paramètres!$A$1:$I$89,3,0)*VLOOKUP('Données projet'!$B$9,Paramètres!$A$1:$I$89,5,0)</f>
        <v>-1.9065282685915009E-13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347.01106511825213</v>
      </c>
      <c r="T174" s="59">
        <f t="shared" si="142"/>
        <v>329.53392323581539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29.773593376077518</v>
      </c>
      <c r="AA174" s="21">
        <f>EXP(-LN(2)/25)*AA173+(1-EXP(-LN(2)/25))/(LN(2)/25)*Calculateur!V174*Calculateur!X174*VLOOKUP('Données projet'!$B$9,Paramètres!$A$1:$I$89,3,0)*0.475*44/12</f>
        <v>3.6873890813806467</v>
      </c>
      <c r="AB174" s="21">
        <f>EXP(-LN(2)/2)*AB173+(1-EXP(-LN(2)/2))/(LN(2)/2)*V174*Y174*VLOOKUP('Données projet'!$B$9,Paramètres!$A$1:$I$89,3,0)*0.475*44/12</f>
        <v>2.2552465614195511E-14</v>
      </c>
      <c r="AC174" s="22">
        <f t="shared" si="163"/>
        <v>33.460982457458186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3.6666666666666665</v>
      </c>
      <c r="AI174" s="13">
        <f>IF('Données projet'!$A$62&gt;35,AI173+AH174-AQ173,IF(A174&lt;'Données projet'!$A$62,$AF$205^A174,IF(A174='Données projet'!$A$62,'Données projet'!$B$62,AI173+AH174-AQ173)))</f>
        <v>208.00000000000006</v>
      </c>
      <c r="AJ174" s="13">
        <f>AI174*VLOOKUP('Données projet'!$B$10,Paramètres!$A$1:$I$89,3,0)*VLOOKUP('Données projet'!$B$10,Paramètres!$A$1:$I$89,5,0)</f>
        <v>188.19840000000005</v>
      </c>
      <c r="AK174" s="13">
        <f t="shared" si="164"/>
        <v>47.141424081428056</v>
      </c>
      <c r="AL174" s="20">
        <f t="shared" si="165"/>
        <v>409.88352694182055</v>
      </c>
      <c r="AM174" s="59">
        <f t="shared" si="113"/>
        <v>703.21686027515386</v>
      </c>
      <c r="AN174" s="59">
        <f ca="1">AVERAGE(OFFSET($AM$3,0,0,'Données projet'!$E$10+1,1))-AVERAGE(OFFSET($H$3,0,0,'Données projet'!$E$10+1,1))</f>
        <v>209.32570518924194</v>
      </c>
      <c r="AO174" s="59">
        <f t="shared" si="144"/>
        <v>138.10530102720475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21.597302818415759</v>
      </c>
      <c r="AV174" s="21">
        <f>EXP(-LN(2)/25)*AV173+(1-EXP(-LN(2)/25))/(LN(2)/25)*Calculateur!AQ174*Calculateur!AS174*VLOOKUP('Données projet'!$B$10,Paramètres!$A$1:$I$89,3,0)*0.475*44/12</f>
        <v>5.8042262075244739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27.401529025940235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219.86035935827329</v>
      </c>
      <c r="BJ174" s="59">
        <f t="shared" si="146"/>
        <v>322.75312534885239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18.684166148558319</v>
      </c>
      <c r="BQ174" s="21">
        <f>EXP(-LN(2)/25)*BQ173+(1-EXP(-LN(2)/25))/(LN(2)/25)*Calculateur!BL174*Calculateur!BN174*VLOOKUP('Données projet'!$B$11,Paramètres!$A$1:$I$89,3,0)*0.475*44/12</f>
        <v>1.9417206833766212</v>
      </c>
      <c r="BR174" s="21">
        <f>EXP(-LN(2)/2)*BR173+(1-EXP(-LN(2)/2))/(LN(2)/2)*BL174*BO174*VLOOKUP('Données projet'!$B$11,Paramètres!$A$1:$I$89,3,0)*0.475*44/12</f>
        <v>5.5854977980835484E-16</v>
      </c>
      <c r="BS174" s="22">
        <f t="shared" si="169"/>
        <v>20.625886831934942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-2.8421709430404007E-13</v>
      </c>
      <c r="BZ174" s="13">
        <f>BY174*VLOOKUP('Données projet'!$B$12,Paramètres!$A$1:$I$89,3,0)*VLOOKUP('Données projet'!$B$12,Paramètres!$A$1:$I$89,5,0)</f>
        <v>-2.2612312022829427E-13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378.47278187128137</v>
      </c>
      <c r="CE174" s="59">
        <f t="shared" si="148"/>
        <v>372.59407061242604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23.436678413926423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23.436678413926423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49.639200000000102</v>
      </c>
      <c r="D175" s="11">
        <f t="shared" si="140"/>
        <v>14.520542252452673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247.63409290420373</v>
      </c>
      <c r="H175" s="67">
        <f t="shared" si="110"/>
        <v>368.4115510896886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-3.4106051316484809E-13</v>
      </c>
      <c r="O175" s="13">
        <f>N175*VLOOKUP('Données projet'!$B$9,Paramètres!$A$1:$I$89,3,0)*VLOOKUP('Données projet'!$B$9,Paramètres!$A$1:$I$89,5,0)</f>
        <v>-1.9065282685915009E-13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347.01106511825213</v>
      </c>
      <c r="T175" s="59">
        <f t="shared" si="142"/>
        <v>329.53392323581539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29.189751370071438</v>
      </c>
      <c r="AA175" s="21">
        <f>EXP(-LN(2)/25)*AA174+(1-EXP(-LN(2)/25))/(LN(2)/25)*Calculateur!V175*Calculateur!X175*VLOOKUP('Données projet'!$B$9,Paramètres!$A$1:$I$89,3,0)*0.475*44/12</f>
        <v>3.5865572330389286</v>
      </c>
      <c r="AB175" s="21">
        <f>EXP(-LN(2)/2)*AB174+(1-EXP(-LN(2)/2))/(LN(2)/2)*V175*Y175*VLOOKUP('Données projet'!$B$9,Paramètres!$A$1:$I$89,3,0)*0.475*44/12</f>
        <v>1.5947001368274082E-14</v>
      </c>
      <c r="AC175" s="22">
        <f t="shared" si="163"/>
        <v>32.77630860311038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3.6666666666666665</v>
      </c>
      <c r="AI175" s="13">
        <f>IF('Données projet'!$A$62&gt;35,AI174+AH175-AQ174,IF(A175&lt;'Données projet'!$A$62,$AF$205^A175,IF(A175='Données projet'!$A$62,'Données projet'!$B$62,AI174+AH175-AQ174)))</f>
        <v>211.66666666666671</v>
      </c>
      <c r="AJ175" s="13">
        <f>AI175*VLOOKUP('Données projet'!$B$10,Paramètres!$A$1:$I$89,3,0)*VLOOKUP('Données projet'!$B$10,Paramètres!$A$1:$I$89,5,0)</f>
        <v>191.51600000000002</v>
      </c>
      <c r="AK175" s="13">
        <f t="shared" si="164"/>
        <v>47.874963744275412</v>
      </c>
      <c r="AL175" s="20">
        <f t="shared" si="165"/>
        <v>416.93926185461305</v>
      </c>
      <c r="AM175" s="59">
        <f t="shared" si="113"/>
        <v>710.27259518794631</v>
      </c>
      <c r="AN175" s="59">
        <f ca="1">AVERAGE(OFFSET($AM$3,0,0,'Données projet'!$E$10+1,1))-AVERAGE(OFFSET($H$3,0,0,'Données projet'!$E$10+1,1))</f>
        <v>209.32570518924194</v>
      </c>
      <c r="AO175" s="59">
        <f t="shared" si="144"/>
        <v>138.10530102720475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21.173792883200615</v>
      </c>
      <c r="AV175" s="21">
        <f>EXP(-LN(2)/25)*AV174+(1-EXP(-LN(2)/25))/(LN(2)/25)*Calculateur!AQ175*Calculateur!AS175*VLOOKUP('Données projet'!$B$10,Paramètres!$A$1:$I$89,3,0)*0.475*44/12</f>
        <v>5.6455093366487263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26.819302219849341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219.86035935827329</v>
      </c>
      <c r="BJ175" s="59">
        <f t="shared" si="146"/>
        <v>322.75312534885239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18.317781046601159</v>
      </c>
      <c r="BQ175" s="21">
        <f>EXP(-LN(2)/25)*BQ174+(1-EXP(-LN(2)/25))/(LN(2)/25)*Calculateur!BL175*Calculateur!BN175*VLOOKUP('Données projet'!$B$11,Paramètres!$A$1:$I$89,3,0)*0.475*44/12</f>
        <v>1.8886242291790345</v>
      </c>
      <c r="BR175" s="21">
        <f>EXP(-LN(2)/2)*BR174+(1-EXP(-LN(2)/2))/(LN(2)/2)*BL175*BO175*VLOOKUP('Données projet'!$B$11,Paramètres!$A$1:$I$89,3,0)*0.475*44/12</f>
        <v>3.9495433693274067E-16</v>
      </c>
      <c r="BS175" s="22">
        <f t="shared" si="169"/>
        <v>20.206405275780192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-2.8421709430404007E-13</v>
      </c>
      <c r="BZ175" s="13">
        <f>BY175*VLOOKUP('Données projet'!$B$12,Paramètres!$A$1:$I$89,3,0)*VLOOKUP('Données projet'!$B$12,Paramètres!$A$1:$I$89,5,0)</f>
        <v>-2.2612312022829427E-13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378.47278187128137</v>
      </c>
      <c r="CE175" s="59">
        <f t="shared" si="148"/>
        <v>372.59407061242604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22.977099445191648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22.977099445191648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49.927800000000104</v>
      </c>
      <c r="D176" s="11">
        <f t="shared" si="140"/>
        <v>14.595112130741537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249.0358012063713</v>
      </c>
      <c r="H176" s="67">
        <f t="shared" si="110"/>
        <v>369.04407196104171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-3.4106051316484809E-13</v>
      </c>
      <c r="O176" s="13">
        <f>N176*VLOOKUP('Données projet'!$B$9,Paramètres!$A$1:$I$89,3,0)*VLOOKUP('Données projet'!$B$9,Paramètres!$A$1:$I$89,5,0)</f>
        <v>-1.9065282685915009E-13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347.01106511825213</v>
      </c>
      <c r="T176" s="59">
        <f t="shared" si="142"/>
        <v>329.53392323581539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28.617358149694674</v>
      </c>
      <c r="AA176" s="21">
        <f>EXP(-LN(2)/25)*AA175+(1-EXP(-LN(2)/25))/(LN(2)/25)*Calculateur!V176*Calculateur!X176*VLOOKUP('Données projet'!$B$9,Paramètres!$A$1:$I$89,3,0)*0.475*44/12</f>
        <v>3.4884826368926314</v>
      </c>
      <c r="AB176" s="21">
        <f>EXP(-LN(2)/2)*AB175+(1-EXP(-LN(2)/2))/(LN(2)/2)*V176*Y176*VLOOKUP('Données projet'!$B$9,Paramètres!$A$1:$I$89,3,0)*0.475*44/12</f>
        <v>1.1276232807097756E-14</v>
      </c>
      <c r="AC176" s="22">
        <f t="shared" si="163"/>
        <v>32.105840786587322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3.6666666666666665</v>
      </c>
      <c r="AI176" s="13">
        <f>IF('Données projet'!$A$62&gt;35,AI175+AH176-AQ175,IF(A176&lt;'Données projet'!$A$62,$AF$205^A176,IF(A176='Données projet'!$A$62,'Données projet'!$B$62,AI175+AH176-AQ175)))</f>
        <v>215.33333333333337</v>
      </c>
      <c r="AJ176" s="13">
        <f>AI176*VLOOKUP('Données projet'!$B$10,Paramètres!$A$1:$I$89,3,0)*VLOOKUP('Données projet'!$B$10,Paramètres!$A$1:$I$89,5,0)</f>
        <v>194.83360000000002</v>
      </c>
      <c r="AK176" s="13">
        <f t="shared" si="164"/>
        <v>48.607025725990866</v>
      </c>
      <c r="AL176" s="20">
        <f t="shared" si="165"/>
        <v>423.99242313943409</v>
      </c>
      <c r="AM176" s="59">
        <f t="shared" si="113"/>
        <v>717.32575647276735</v>
      </c>
      <c r="AN176" s="59">
        <f ca="1">AVERAGE(OFFSET($AM$3,0,0,'Données projet'!$E$10+1,1))-AVERAGE(OFFSET($H$3,0,0,'Données projet'!$E$10+1,1))</f>
        <v>209.32570518924194</v>
      </c>
      <c r="AO176" s="59">
        <f t="shared" si="144"/>
        <v>138.10530102720475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20.758587719499484</v>
      </c>
      <c r="AV176" s="21">
        <f>EXP(-LN(2)/25)*AV175+(1-EXP(-LN(2)/25))/(LN(2)/25)*Calculateur!AQ176*Calculateur!AS176*VLOOKUP('Données projet'!$B$10,Paramètres!$A$1:$I$89,3,0)*0.475*44/12</f>
        <v>5.4911325869536336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26.249720306453117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219.86035935827329</v>
      </c>
      <c r="BJ176" s="59">
        <f t="shared" si="146"/>
        <v>322.75312534885239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17.95858053302053</v>
      </c>
      <c r="BQ176" s="21">
        <f>EXP(-LN(2)/25)*BQ175+(1-EXP(-LN(2)/25))/(LN(2)/25)*Calculateur!BL176*Calculateur!BN176*VLOOKUP('Données projet'!$B$11,Paramètres!$A$1:$I$89,3,0)*0.475*44/12</f>
        <v>1.8369797003137021</v>
      </c>
      <c r="BR176" s="21">
        <f>EXP(-LN(2)/2)*BR175+(1-EXP(-LN(2)/2))/(LN(2)/2)*BL176*BO176*VLOOKUP('Données projet'!$B$11,Paramètres!$A$1:$I$89,3,0)*0.475*44/12</f>
        <v>2.7927488990417742E-16</v>
      </c>
      <c r="BS176" s="22">
        <f t="shared" si="169"/>
        <v>19.795560233334232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-2.8421709430404007E-13</v>
      </c>
      <c r="BZ176" s="13">
        <f>BY176*VLOOKUP('Données projet'!$B$12,Paramètres!$A$1:$I$89,3,0)*VLOOKUP('Données projet'!$B$12,Paramètres!$A$1:$I$89,5,0)</f>
        <v>-2.2612312022829427E-13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378.47278187128137</v>
      </c>
      <c r="CE176" s="59">
        <f t="shared" si="148"/>
        <v>372.59407061242604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22.526532539718271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22.526532539718271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50.216400000000107</v>
      </c>
      <c r="D177" s="11">
        <f t="shared" si="140"/>
        <v>14.669631852582237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250.43731592224765</v>
      </c>
      <c r="H177" s="67">
        <f t="shared" si="110"/>
        <v>369.67650547658093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-3.4106051316484809E-13</v>
      </c>
      <c r="O177" s="13">
        <f>N177*VLOOKUP('Données projet'!$B$9,Paramètres!$A$1:$I$89,3,0)*VLOOKUP('Données projet'!$B$9,Paramètres!$A$1:$I$89,5,0)</f>
        <v>-1.9065282685915009E-13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347.01106511825213</v>
      </c>
      <c r="T177" s="59">
        <f t="shared" si="142"/>
        <v>329.53392323581539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28.056189211244106</v>
      </c>
      <c r="AA177" s="21">
        <f>EXP(-LN(2)/25)*AA176+(1-EXP(-LN(2)/25))/(LN(2)/25)*Calculateur!V177*Calculateur!X177*VLOOKUP('Données projet'!$B$9,Paramètres!$A$1:$I$89,3,0)*0.475*44/12</f>
        <v>3.3930898957354736</v>
      </c>
      <c r="AB177" s="21">
        <f>EXP(-LN(2)/2)*AB176+(1-EXP(-LN(2)/2))/(LN(2)/2)*V177*Y177*VLOOKUP('Données projet'!$B$9,Paramètres!$A$1:$I$89,3,0)*0.475*44/12</f>
        <v>7.9735006841370412E-15</v>
      </c>
      <c r="AC177" s="22">
        <f t="shared" si="163"/>
        <v>31.449279106979589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3.6666666666666665</v>
      </c>
      <c r="AI177" s="13">
        <f>IF('Données projet'!$A$62&gt;35,AI176+AH177-AQ176,IF(A177&lt;'Données projet'!$A$62,$AF$205^A177,IF(A177='Données projet'!$A$62,'Données projet'!$B$62,AI176+AH177-AQ176)))</f>
        <v>219.00000000000003</v>
      </c>
      <c r="AJ177" s="13">
        <f>AI177*VLOOKUP('Données projet'!$B$10,Paramètres!$A$1:$I$89,3,0)*VLOOKUP('Données projet'!$B$10,Paramètres!$A$1:$I$89,5,0)</f>
        <v>198.15120000000002</v>
      </c>
      <c r="AK177" s="13">
        <f t="shared" si="164"/>
        <v>49.337638092068957</v>
      </c>
      <c r="AL177" s="20">
        <f t="shared" si="165"/>
        <v>431.04305967702015</v>
      </c>
      <c r="AM177" s="59">
        <f t="shared" si="113"/>
        <v>724.37639301035347</v>
      </c>
      <c r="AN177" s="59">
        <f ca="1">AVERAGE(OFFSET($AM$3,0,0,'Données projet'!$E$10+1,1))-AVERAGE(OFFSET($H$3,0,0,'Données projet'!$E$10+1,1))</f>
        <v>209.32570518924194</v>
      </c>
      <c r="AO177" s="59">
        <f t="shared" si="144"/>
        <v>138.10530102720475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20.35152447580839</v>
      </c>
      <c r="AV177" s="21">
        <f>EXP(-LN(2)/25)*AV176+(1-EXP(-LN(2)/25))/(LN(2)/25)*Calculateur!AQ177*Calculateur!AS177*VLOOKUP('Données projet'!$B$10,Paramètres!$A$1:$I$89,3,0)*0.475*44/12</f>
        <v>5.3409772775972737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25.692501753405665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219.86035935827329</v>
      </c>
      <c r="BJ177" s="59">
        <f t="shared" si="146"/>
        <v>322.75312534885239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17.606423722420541</v>
      </c>
      <c r="BQ177" s="21">
        <f>EXP(-LN(2)/25)*BQ176+(1-EXP(-LN(2)/25))/(LN(2)/25)*Calculateur!BL177*Calculateur!BN177*VLOOKUP('Données projet'!$B$11,Paramètres!$A$1:$I$89,3,0)*0.475*44/12</f>
        <v>1.7867473938060598</v>
      </c>
      <c r="BR177" s="21">
        <f>EXP(-LN(2)/2)*BR176+(1-EXP(-LN(2)/2))/(LN(2)/2)*BL177*BO177*VLOOKUP('Données projet'!$B$11,Paramètres!$A$1:$I$89,3,0)*0.475*44/12</f>
        <v>1.9747716846637034E-16</v>
      </c>
      <c r="BS177" s="22">
        <f t="shared" si="169"/>
        <v>19.393171116226601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-2.8421709430404007E-13</v>
      </c>
      <c r="BZ177" s="13">
        <f>BY177*VLOOKUP('Données projet'!$B$12,Paramètres!$A$1:$I$89,3,0)*VLOOKUP('Données projet'!$B$12,Paramètres!$A$1:$I$89,5,0)</f>
        <v>-2.2612312022829427E-13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378.47278187128137</v>
      </c>
      <c r="CE177" s="59">
        <f t="shared" si="148"/>
        <v>372.59407061242604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22.084800976442551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22.084800976442551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50.505000000000109</v>
      </c>
      <c r="D178" s="11">
        <f t="shared" si="140"/>
        <v>14.744101739679092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251.83863829349869</v>
      </c>
      <c r="H178" s="67">
        <f t="shared" si="110"/>
        <v>370.30885219660797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-3.4106051316484809E-13</v>
      </c>
      <c r="O178" s="13">
        <f>N178*VLOOKUP('Données projet'!$B$9,Paramètres!$A$1:$I$89,3,0)*VLOOKUP('Données projet'!$B$9,Paramètres!$A$1:$I$89,5,0)</f>
        <v>-1.9065282685915009E-13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347.01106511825213</v>
      </c>
      <c r="T178" s="59">
        <f t="shared" si="142"/>
        <v>329.53392323581539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27.506024453397302</v>
      </c>
      <c r="AA178" s="21">
        <f>EXP(-LN(2)/25)*AA177+(1-EXP(-LN(2)/25))/(LN(2)/25)*Calculateur!V178*Calculateur!X178*VLOOKUP('Données projet'!$B$9,Paramètres!$A$1:$I$89,3,0)*0.475*44/12</f>
        <v>3.3003056741017445</v>
      </c>
      <c r="AB178" s="21">
        <f>EXP(-LN(2)/2)*AB177+(1-EXP(-LN(2)/2))/(LN(2)/2)*V178*Y178*VLOOKUP('Données projet'!$B$9,Paramètres!$A$1:$I$89,3,0)*0.475*44/12</f>
        <v>5.6381164035488778E-15</v>
      </c>
      <c r="AC178" s="22">
        <f t="shared" si="163"/>
        <v>30.806330127499052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3.6666666666666665</v>
      </c>
      <c r="AI178" s="13">
        <f>IF('Données projet'!$A$62&gt;35,AI177+AH178-AQ177,IF(A178&lt;'Données projet'!$A$62,$AF$205^A178,IF(A178='Données projet'!$A$62,'Données projet'!$B$62,AI177+AH178-AQ177)))</f>
        <v>222.66666666666669</v>
      </c>
      <c r="AJ178" s="13">
        <f>AI178*VLOOKUP('Données projet'!$B$10,Paramètres!$A$1:$I$89,3,0)*VLOOKUP('Données projet'!$B$10,Paramètres!$A$1:$I$89,5,0)</f>
        <v>201.46880000000002</v>
      </c>
      <c r="AK178" s="13">
        <f t="shared" si="164"/>
        <v>50.066827914349915</v>
      </c>
      <c r="AL178" s="20">
        <f t="shared" si="165"/>
        <v>438.09121861749276</v>
      </c>
      <c r="AM178" s="59">
        <f t="shared" si="113"/>
        <v>731.42455195082607</v>
      </c>
      <c r="AN178" s="59">
        <f ca="1">AVERAGE(OFFSET($AM$3,0,0,'Données projet'!$E$10+1,1))-AVERAGE(OFFSET($H$3,0,0,'Données projet'!$E$10+1,1))</f>
        <v>209.32570518924194</v>
      </c>
      <c r="AO178" s="59">
        <f t="shared" si="144"/>
        <v>138.10530102720475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19.952443494042015</v>
      </c>
      <c r="AV178" s="21">
        <f>EXP(-LN(2)/25)*AV177+(1-EXP(-LN(2)/25))/(LN(2)/25)*Calculateur!AQ178*Calculateur!AS178*VLOOKUP('Données projet'!$B$10,Paramètres!$A$1:$I$89,3,0)*0.475*44/12</f>
        <v>5.1949279730715885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25.147371467113604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219.86035935827329</v>
      </c>
      <c r="BJ178" s="59">
        <f t="shared" si="146"/>
        <v>322.75312534885239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17.261172492081972</v>
      </c>
      <c r="BQ178" s="21">
        <f>EXP(-LN(2)/25)*BQ177+(1-EXP(-LN(2)/25))/(LN(2)/25)*Calculateur!BL178*Calculateur!BN178*VLOOKUP('Données projet'!$B$11,Paramètres!$A$1:$I$89,3,0)*0.475*44/12</f>
        <v>1.7378886923614714</v>
      </c>
      <c r="BR178" s="21">
        <f>EXP(-LN(2)/2)*BR177+(1-EXP(-LN(2)/2))/(LN(2)/2)*BL178*BO178*VLOOKUP('Données projet'!$B$11,Paramètres!$A$1:$I$89,3,0)*0.475*44/12</f>
        <v>1.3963744495208871E-16</v>
      </c>
      <c r="BS178" s="22">
        <f t="shared" si="169"/>
        <v>18.999061184443445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-2.8421709430404007E-13</v>
      </c>
      <c r="BZ178" s="13">
        <f>BY178*VLOOKUP('Données projet'!$B$12,Paramètres!$A$1:$I$89,3,0)*VLOOKUP('Données projet'!$B$12,Paramètres!$A$1:$I$89,5,0)</f>
        <v>-2.2612312022829427E-13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378.47278187128137</v>
      </c>
      <c r="CE178" s="59">
        <f t="shared" si="148"/>
        <v>372.59407061242604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21.651731499693017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21.651731499693017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50.793600000000112</v>
      </c>
      <c r="D179" s="11">
        <f t="shared" si="140"/>
        <v>14.818522109847041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253.23976954677849</v>
      </c>
      <c r="H179" s="67">
        <f t="shared" si="110"/>
        <v>370.94111267465047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-3.4106051316484809E-13</v>
      </c>
      <c r="O179" s="13">
        <f>N179*VLOOKUP('Données projet'!$B$9,Paramètres!$A$1:$I$89,3,0)*VLOOKUP('Données projet'!$B$9,Paramètres!$A$1:$I$89,5,0)</f>
        <v>-1.9065282685915009E-13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347.01106511825213</v>
      </c>
      <c r="T179" s="59">
        <f t="shared" si="142"/>
        <v>329.53392323581539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26.966648090884505</v>
      </c>
      <c r="AA179" s="21">
        <f>EXP(-LN(2)/25)*AA178+(1-EXP(-LN(2)/25))/(LN(2)/25)*Calculateur!V179*Calculateur!X179*VLOOKUP('Données projet'!$B$9,Paramètres!$A$1:$I$89,3,0)*0.475*44/12</f>
        <v>3.2100586418878998</v>
      </c>
      <c r="AB179" s="21">
        <f>EXP(-LN(2)/2)*AB178+(1-EXP(-LN(2)/2))/(LN(2)/2)*V179*Y179*VLOOKUP('Données projet'!$B$9,Paramètres!$A$1:$I$89,3,0)*0.475*44/12</f>
        <v>3.9867503420685206E-15</v>
      </c>
      <c r="AC179" s="22">
        <f t="shared" si="163"/>
        <v>30.176706732772409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3.6666666666666665</v>
      </c>
      <c r="AI179" s="13">
        <f>IF('Données projet'!$A$62&gt;35,AI178+AH179-AQ178,IF(A179&lt;'Données projet'!$A$62,$AF$205^A179,IF(A179='Données projet'!$A$62,'Données projet'!$B$62,AI178+AH179-AQ178)))</f>
        <v>226.33333333333334</v>
      </c>
      <c r="AJ179" s="13">
        <f>AI179*VLOOKUP('Données projet'!$B$10,Paramètres!$A$1:$I$89,3,0)*VLOOKUP('Données projet'!$B$10,Paramètres!$A$1:$I$89,5,0)</f>
        <v>204.78640000000001</v>
      </c>
      <c r="AK179" s="13">
        <f t="shared" si="164"/>
        <v>50.79462132197235</v>
      </c>
      <c r="AL179" s="20">
        <f t="shared" si="165"/>
        <v>445.13694546910187</v>
      </c>
      <c r="AM179" s="59">
        <f t="shared" si="113"/>
        <v>738.47027880243513</v>
      </c>
      <c r="AN179" s="59">
        <f ca="1">AVERAGE(OFFSET($AM$3,0,0,'Données projet'!$E$10+1,1))-AVERAGE(OFFSET($H$3,0,0,'Données projet'!$E$10+1,1))</f>
        <v>209.32570518924194</v>
      </c>
      <c r="AO179" s="59">
        <f t="shared" si="144"/>
        <v>138.10530102720475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19.561188246912714</v>
      </c>
      <c r="AV179" s="21">
        <f>EXP(-LN(2)/25)*AV178+(1-EXP(-LN(2)/25))/(LN(2)/25)*Calculateur!AQ179*Calculateur!AS179*VLOOKUP('Données projet'!$B$10,Paramètres!$A$1:$I$89,3,0)*0.475*44/12</f>
        <v>5.0528723944585572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24.614060641371271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219.86035935827329</v>
      </c>
      <c r="BJ179" s="59">
        <f t="shared" si="146"/>
        <v>322.75312534885239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16.922691427787882</v>
      </c>
      <c r="BQ179" s="21">
        <f>EXP(-LN(2)/25)*BQ178+(1-EXP(-LN(2)/25))/(LN(2)/25)*Calculateur!BL179*Calculateur!BN179*VLOOKUP('Données projet'!$B$11,Paramètres!$A$1:$I$89,3,0)*0.475*44/12</f>
        <v>1.6903660346772527</v>
      </c>
      <c r="BR179" s="21">
        <f>EXP(-LN(2)/2)*BR178+(1-EXP(-LN(2)/2))/(LN(2)/2)*BL179*BO179*VLOOKUP('Données projet'!$B$11,Paramètres!$A$1:$I$89,3,0)*0.475*44/12</f>
        <v>9.8738584233185168E-17</v>
      </c>
      <c r="BS179" s="22">
        <f t="shared" si="169"/>
        <v>18.613057462465136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-2.8421709430404007E-13</v>
      </c>
      <c r="BZ179" s="13">
        <f>BY179*VLOOKUP('Données projet'!$B$12,Paramètres!$A$1:$I$89,3,0)*VLOOKUP('Données projet'!$B$12,Paramètres!$A$1:$I$89,5,0)</f>
        <v>-2.2612312022829427E-13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378.47278187128137</v>
      </c>
      <c r="CE179" s="59">
        <f t="shared" si="148"/>
        <v>372.59407061242604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21.227154251236243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21.227154251236243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51.082200000000114</v>
      </c>
      <c r="D180" s="11">
        <f t="shared" si="140"/>
        <v>14.892893277080525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254.64071089399545</v>
      </c>
      <c r="H180" s="67">
        <f t="shared" si="110"/>
        <v>371.57328745758213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-3.4106051316484809E-13</v>
      </c>
      <c r="O180" s="13">
        <f>N180*VLOOKUP('Données projet'!$B$9,Paramètres!$A$1:$I$89,3,0)*VLOOKUP('Données projet'!$B$9,Paramètres!$A$1:$I$89,5,0)</f>
        <v>-1.9065282685915009E-13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347.01106511825213</v>
      </c>
      <c r="T180" s="59">
        <f t="shared" si="142"/>
        <v>329.53392323581539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26.437848569853486</v>
      </c>
      <c r="AA180" s="21">
        <f>EXP(-LN(2)/25)*AA179+(1-EXP(-LN(2)/25))/(LN(2)/25)*Calculateur!V180*Calculateur!X180*VLOOKUP('Données projet'!$B$9,Paramètres!$A$1:$I$89,3,0)*0.475*44/12</f>
        <v>3.1222794195158281</v>
      </c>
      <c r="AB180" s="21">
        <f>EXP(-LN(2)/2)*AB179+(1-EXP(-LN(2)/2))/(LN(2)/2)*V180*Y180*VLOOKUP('Données projet'!$B$9,Paramètres!$A$1:$I$89,3,0)*0.475*44/12</f>
        <v>2.8190582017744389E-15</v>
      </c>
      <c r="AC180" s="22">
        <f t="shared" si="163"/>
        <v>29.560127989369317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>
        <f>VLOOKUP(A180,'Données projet'!$A$61:$I$81,2,0)</f>
        <v>230</v>
      </c>
      <c r="AG180" s="12">
        <f>VLOOKUP(A180,'Données projet'!$A$61:$I$81,9,0)</f>
        <v>3.6666666666666665</v>
      </c>
      <c r="AH180" s="12">
        <f t="array" ref="AH180">INDEX(AG:AG,MIN(IF(ISNUMBER(AG180:AG376),ROW(AG180:AG376),"")))</f>
        <v>3.6666666666666665</v>
      </c>
      <c r="AI180" s="13">
        <f>IF('Données projet'!$A$62&gt;35,AI179+AH180-AQ179,IF(A180&lt;'Données projet'!$A$62,$AF$205^A180,IF(A180='Données projet'!$A$62,'Données projet'!$B$62,AI179+AH180-AQ179)))</f>
        <v>230</v>
      </c>
      <c r="AJ180" s="13">
        <f>AI180*VLOOKUP('Données projet'!$B$10,Paramètres!$A$1:$I$89,3,0)*VLOOKUP('Données projet'!$B$10,Paramètres!$A$1:$I$89,5,0)</f>
        <v>208.10399999999998</v>
      </c>
      <c r="AK180" s="13">
        <f t="shared" si="164"/>
        <v>51.52104354893045</v>
      </c>
      <c r="AL180" s="20">
        <f t="shared" si="165"/>
        <v>452.18028418105382</v>
      </c>
      <c r="AM180" s="59">
        <f t="shared" si="113"/>
        <v>745.51361751438708</v>
      </c>
      <c r="AN180" s="59">
        <f ca="1">AVERAGE(OFFSET($AM$3,0,0,'Données projet'!$E$10+1,1))-AVERAGE(OFFSET($H$3,0,0,'Données projet'!$E$10+1,1))</f>
        <v>209.32570518924194</v>
      </c>
      <c r="AO180" s="59">
        <f t="shared" si="144"/>
        <v>138.10530102720475</v>
      </c>
      <c r="AP180" s="15" t="str">
        <f>IF(ISNA(VLOOKUP(A180,'Données projet'!$A$61:$I$81,3,0)),0,VLOOKUP(A180,'Données projet'!$A$61:$I$81,3,0))</f>
        <v>CR</v>
      </c>
      <c r="AQ180" s="15">
        <f>IF(ISNA(VLOOKUP(A180,'Données projet'!$A$61:$I$81,4,0)),0,VLOOKUP(A180,'Données projet'!$A$61:$I$81,4,0))</f>
        <v>230</v>
      </c>
      <c r="AR180" s="16">
        <f>IF(ISNA(VLOOKUP(A180,'Données projet'!$A$61:$I$81,5,0)),0%,VLOOKUP(A180,'Données projet'!$A$61:$I$81,5,0)*VLOOKUP('Données projet'!$B$10,Paramètres!$A$1:$I$89,7,0))</f>
        <v>0.30099999999999999</v>
      </c>
      <c r="AS180" s="16">
        <f>IF(ISNA(VLOOKUP(A180,'Données projet'!$A$61:$I$81,6,0)),0%,VLOOKUP(A180,'Données projet'!$A$61:$I$81,6,0)*VLOOKUP('Données projet'!$B$10,Paramètres!$A$1:$I$89,7,0))</f>
        <v>4.3000000000000003E-2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88.423500443097311</v>
      </c>
      <c r="AV180" s="21">
        <f>EXP(-LN(2)/25)*AV179+(1-EXP(-LN(2)/25))/(LN(2)/25)*Calculateur!AQ180*Calculateur!AS180*VLOOKUP('Données projet'!$B$10,Paramètres!$A$1:$I$89,3,0)*0.475*44/12</f>
        <v>14.768022432046578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103.19152287514389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219.86035935827329</v>
      </c>
      <c r="BJ180" s="59">
        <f t="shared" si="146"/>
        <v>322.75312534885239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16.590847770711537</v>
      </c>
      <c r="BQ180" s="21">
        <f>EXP(-LN(2)/25)*BQ179+(1-EXP(-LN(2)/25))/(LN(2)/25)*Calculateur!BL180*Calculateur!BN180*VLOOKUP('Données projet'!$B$11,Paramètres!$A$1:$I$89,3,0)*0.475*44/12</f>
        <v>1.6441428865665169</v>
      </c>
      <c r="BR180" s="21">
        <f>EXP(-LN(2)/2)*BR179+(1-EXP(-LN(2)/2))/(LN(2)/2)*BL180*BO180*VLOOKUP('Données projet'!$B$11,Paramètres!$A$1:$I$89,3,0)*0.475*44/12</f>
        <v>6.9818722476044355E-17</v>
      </c>
      <c r="BS180" s="22">
        <f t="shared" si="169"/>
        <v>18.234990657278054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-2.8421709430404007E-13</v>
      </c>
      <c r="BZ180" s="13">
        <f>BY180*VLOOKUP('Données projet'!$B$12,Paramètres!$A$1:$I$89,3,0)*VLOOKUP('Données projet'!$B$12,Paramètres!$A$1:$I$89,5,0)</f>
        <v>-2.2612312022829427E-13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378.47278187128137</v>
      </c>
      <c r="CE180" s="59">
        <f t="shared" si="148"/>
        <v>372.59407061242604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20.810902703655156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20.810902703655156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51.370800000000116</v>
      </c>
      <c r="D181" s="11">
        <f t="shared" si="140"/>
        <v>14.967215551620688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256.04146353257153</v>
      </c>
      <c r="H181" s="67">
        <f t="shared" si="110"/>
        <v>372.2053770857396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-3.4106051316484809E-13</v>
      </c>
      <c r="O181" s="13">
        <f>N181*VLOOKUP('Données projet'!$B$9,Paramètres!$A$1:$I$89,3,0)*VLOOKUP('Données projet'!$B$9,Paramètres!$A$1:$I$89,5,0)</f>
        <v>-1.9065282685915009E-13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347.01106511825213</v>
      </c>
      <c r="T181" s="59">
        <f t="shared" si="142"/>
        <v>329.53392323581539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25.919418484894027</v>
      </c>
      <c r="AA181" s="21">
        <f>EXP(-LN(2)/25)*AA180+(1-EXP(-LN(2)/25))/(LN(2)/25)*Calculateur!V181*Calculateur!X181*VLOOKUP('Données projet'!$B$9,Paramètres!$A$1:$I$89,3,0)*0.475*44/12</f>
        <v>3.0369005245956293</v>
      </c>
      <c r="AB181" s="21">
        <f>EXP(-LN(2)/2)*AB180+(1-EXP(-LN(2)/2))/(LN(2)/2)*V181*Y181*VLOOKUP('Données projet'!$B$9,Paramètres!$A$1:$I$89,3,0)*0.475*44/12</f>
        <v>1.9933751710342603E-15</v>
      </c>
      <c r="AC181" s="22">
        <f t="shared" si="163"/>
        <v>28.956319009489661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209.32570518924194</v>
      </c>
      <c r="AO181" s="59">
        <f t="shared" si="144"/>
        <v>138.10530102720475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86.689569532418005</v>
      </c>
      <c r="AV181" s="21">
        <f>EXP(-LN(2)/25)*AV180+(1-EXP(-LN(2)/25))/(LN(2)/25)*Calculateur!AQ181*Calculateur!AS181*VLOOKUP('Données projet'!$B$10,Paramètres!$A$1:$I$89,3,0)*0.475*44/12</f>
        <v>14.364190082025718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101.05375961444372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219.86035935827329</v>
      </c>
      <c r="BJ181" s="59">
        <f t="shared" si="146"/>
        <v>322.75312534885239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16.265511365345816</v>
      </c>
      <c r="BQ181" s="21">
        <f>EXP(-LN(2)/25)*BQ180+(1-EXP(-LN(2)/25))/(LN(2)/25)*Calculateur!BL181*Calculateur!BN181*VLOOKUP('Données projet'!$B$11,Paramètres!$A$1:$I$89,3,0)*0.475*44/12</f>
        <v>1.5991837128716389</v>
      </c>
      <c r="BR181" s="21">
        <f>EXP(-LN(2)/2)*BR180+(1-EXP(-LN(2)/2))/(LN(2)/2)*BL181*BO181*VLOOKUP('Données projet'!$B$11,Paramètres!$A$1:$I$89,3,0)*0.475*44/12</f>
        <v>4.9369292116592584E-17</v>
      </c>
      <c r="BS181" s="22">
        <f t="shared" si="169"/>
        <v>17.864695078217455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-2.8421709430404007E-13</v>
      </c>
      <c r="BZ181" s="13">
        <f>BY181*VLOOKUP('Données projet'!$B$12,Paramètres!$A$1:$I$89,3,0)*VLOOKUP('Données projet'!$B$12,Paramètres!$A$1:$I$89,5,0)</f>
        <v>-2.2612312022829427E-13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378.47278187128137</v>
      </c>
      <c r="CE181" s="59">
        <f t="shared" si="148"/>
        <v>372.59407061242604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20.402813595033759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20.402813595033759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51.659400000000119</v>
      </c>
      <c r="D182" s="11">
        <f t="shared" si="140"/>
        <v>15.0414892400211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257.44202864569593</v>
      </c>
      <c r="H182" s="67">
        <f t="shared" si="110"/>
        <v>372.83738209303698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-3.4106051316484809E-13</v>
      </c>
      <c r="O182" s="13">
        <f>N182*VLOOKUP('Données projet'!$B$9,Paramètres!$A$1:$I$89,3,0)*VLOOKUP('Données projet'!$B$9,Paramètres!$A$1:$I$89,5,0)</f>
        <v>-1.9065282685915009E-13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347.01106511825213</v>
      </c>
      <c r="T182" s="59">
        <f t="shared" si="142"/>
        <v>329.53392323581539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25.411154497689495</v>
      </c>
      <c r="AA182" s="21">
        <f>EXP(-LN(2)/25)*AA181+(1-EXP(-LN(2)/25))/(LN(2)/25)*Calculateur!V182*Calculateur!X182*VLOOKUP('Données projet'!$B$9,Paramètres!$A$1:$I$89,3,0)*0.475*44/12</f>
        <v>2.9538563200469041</v>
      </c>
      <c r="AB182" s="21">
        <f>EXP(-LN(2)/2)*AB181+(1-EXP(-LN(2)/2))/(LN(2)/2)*V182*Y182*VLOOKUP('Données projet'!$B$9,Paramètres!$A$1:$I$89,3,0)*0.475*44/12</f>
        <v>1.4095291008872194E-15</v>
      </c>
      <c r="AC182" s="22">
        <f t="shared" si="163"/>
        <v>28.365010817736398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209.32570518924194</v>
      </c>
      <c r="AO182" s="59">
        <f t="shared" si="144"/>
        <v>138.10530102720475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84.989639949303694</v>
      </c>
      <c r="AV182" s="21">
        <f>EXP(-LN(2)/25)*AV181+(1-EXP(-LN(2)/25))/(LN(2)/25)*Calculateur!AQ182*Calculateur!AS182*VLOOKUP('Données projet'!$B$10,Paramètres!$A$1:$I$89,3,0)*0.475*44/12</f>
        <v>13.971400548852799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98.961040498156493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219.86035935827329</v>
      </c>
      <c r="BJ182" s="59">
        <f t="shared" si="146"/>
        <v>322.75312534885239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15.946554608453702</v>
      </c>
      <c r="BQ182" s="21">
        <f>EXP(-LN(2)/25)*BQ181+(1-EXP(-LN(2)/25))/(LN(2)/25)*Calculateur!BL182*Calculateur!BN182*VLOOKUP('Données projet'!$B$11,Paramètres!$A$1:$I$89,3,0)*0.475*44/12</f>
        <v>1.5554539501457474</v>
      </c>
      <c r="BR182" s="21">
        <f>EXP(-LN(2)/2)*BR181+(1-EXP(-LN(2)/2))/(LN(2)/2)*BL182*BO182*VLOOKUP('Données projet'!$B$11,Paramètres!$A$1:$I$89,3,0)*0.475*44/12</f>
        <v>3.4909361238022177E-17</v>
      </c>
      <c r="BS182" s="22">
        <f t="shared" si="169"/>
        <v>17.502008558599449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-2.8421709430404007E-13</v>
      </c>
      <c r="BZ182" s="13">
        <f>BY182*VLOOKUP('Données projet'!$B$12,Paramètres!$A$1:$I$89,3,0)*VLOOKUP('Données projet'!$B$12,Paramètres!$A$1:$I$89,5,0)</f>
        <v>-2.2612312022829427E-13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378.47278187128137</v>
      </c>
      <c r="CE182" s="59">
        <f t="shared" si="148"/>
        <v>372.59407061242604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20.00272686492265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20.00272686492265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83" s="11">
        <f t="shared" si="140"/>
        <v>15.115714645211925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258.84240740257286</v>
      </c>
      <c r="H183" s="67">
        <f t="shared" si="110"/>
        <v>373.46930300707766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-3.4106051316484809E-13</v>
      </c>
      <c r="O183" s="13">
        <f>N183*VLOOKUP('Données projet'!$B$9,Paramètres!$A$1:$I$89,3,0)*VLOOKUP('Données projet'!$B$9,Paramètres!$A$1:$I$89,5,0)</f>
        <v>-1.9065282685915009E-13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347.01106511825213</v>
      </c>
      <c r="T183" s="59">
        <f t="shared" si="142"/>
        <v>329.53392323581539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24.912857257263621</v>
      </c>
      <c r="AA183" s="21">
        <f>EXP(-LN(2)/25)*AA182+(1-EXP(-LN(2)/25))/(LN(2)/25)*Calculateur!V183*Calculateur!X183*VLOOKUP('Données projet'!$B$9,Paramètres!$A$1:$I$89,3,0)*0.475*44/12</f>
        <v>2.873082963638669</v>
      </c>
      <c r="AB183" s="21">
        <f>EXP(-LN(2)/2)*AB182+(1-EXP(-LN(2)/2))/(LN(2)/2)*V183*Y183*VLOOKUP('Données projet'!$B$9,Paramètres!$A$1:$I$89,3,0)*0.475*44/12</f>
        <v>9.9668758551713015E-16</v>
      </c>
      <c r="AC183" s="22">
        <f t="shared" si="163"/>
        <v>27.78594022090229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209.32570518924194</v>
      </c>
      <c r="AO183" s="59">
        <f t="shared" si="144"/>
        <v>138.10530102720475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83.323044948459582</v>
      </c>
      <c r="AV183" s="21">
        <f>EXP(-LN(2)/25)*AV182+(1-EXP(-LN(2)/25))/(LN(2)/25)*Calculateur!AQ183*Calculateur!AS183*VLOOKUP('Données projet'!$B$10,Paramètres!$A$1:$I$89,3,0)*0.475*44/12</f>
        <v>13.589351866120396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96.912396814579978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219.86035935827329</v>
      </c>
      <c r="BJ183" s="59">
        <f t="shared" si="146"/>
        <v>322.75312534885239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15.63385239901983</v>
      </c>
      <c r="BQ183" s="21">
        <f>EXP(-LN(2)/25)*BQ182+(1-EXP(-LN(2)/25))/(LN(2)/25)*Calculateur!BL183*Calculateur!BN183*VLOOKUP('Données projet'!$B$11,Paramètres!$A$1:$I$89,3,0)*0.475*44/12</f>
        <v>1.5129199800812436</v>
      </c>
      <c r="BR183" s="21">
        <f>EXP(-LN(2)/2)*BR182+(1-EXP(-LN(2)/2))/(LN(2)/2)*BL183*BO183*VLOOKUP('Données projet'!$B$11,Paramètres!$A$1:$I$89,3,0)*0.475*44/12</f>
        <v>2.4684646058296292E-17</v>
      </c>
      <c r="BS183" s="22">
        <f t="shared" si="169"/>
        <v>17.146772379101073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-2.8421709430404007E-13</v>
      </c>
      <c r="BZ183" s="13">
        <f>BY183*VLOOKUP('Données projet'!$B$12,Paramètres!$A$1:$I$89,3,0)*VLOOKUP('Données projet'!$B$12,Paramètres!$A$1:$I$89,5,0)</f>
        <v>-2.2612312022829427E-13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378.47278187128137</v>
      </c>
      <c r="CE183" s="59">
        <f t="shared" si="148"/>
        <v>372.59407061242604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19.610485591560209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19.610485591560209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52.236600000000124</v>
      </c>
      <c r="D184" s="11">
        <f t="shared" si="140"/>
        <v>15.189892066562647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260.24260095866333</v>
      </c>
      <c r="H184" s="67">
        <f t="shared" si="110"/>
        <v>374.10114034926352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-3.4106051316484809E-13</v>
      </c>
      <c r="O184" s="13">
        <f>N184*VLOOKUP('Données projet'!$B$9,Paramètres!$A$1:$I$89,3,0)*VLOOKUP('Données projet'!$B$9,Paramètres!$A$1:$I$89,5,0)</f>
        <v>-1.9065282685915009E-13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347.01106511825213</v>
      </c>
      <c r="T184" s="59">
        <f t="shared" si="142"/>
        <v>329.53392323581539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24.424331321791193</v>
      </c>
      <c r="AA184" s="21">
        <f>EXP(-LN(2)/25)*AA183+(1-EXP(-LN(2)/25))/(LN(2)/25)*Calculateur!V184*Calculateur!X184*VLOOKUP('Données projet'!$B$9,Paramètres!$A$1:$I$89,3,0)*0.475*44/12</f>
        <v>2.7945183589091029</v>
      </c>
      <c r="AB184" s="21">
        <f>EXP(-LN(2)/2)*AB183+(1-EXP(-LN(2)/2))/(LN(2)/2)*V184*Y184*VLOOKUP('Données projet'!$B$9,Paramètres!$A$1:$I$89,3,0)*0.475*44/12</f>
        <v>7.0476455044360972E-16</v>
      </c>
      <c r="AC184" s="22">
        <f t="shared" si="163"/>
        <v>27.218849680700295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209.32570518924194</v>
      </c>
      <c r="AO184" s="59">
        <f t="shared" si="144"/>
        <v>138.10530102720475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81.689130859059446</v>
      </c>
      <c r="AV184" s="21">
        <f>EXP(-LN(2)/25)*AV183+(1-EXP(-LN(2)/25))/(LN(2)/25)*Calculateur!AQ184*Calculateur!AS184*VLOOKUP('Données projet'!$B$10,Paramètres!$A$1:$I$89,3,0)*0.475*44/12</f>
        <v>13.217750324708378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94.906881183767823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219.86035935827329</v>
      </c>
      <c r="BJ184" s="59">
        <f t="shared" si="146"/>
        <v>322.75312534885239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15.327282089183441</v>
      </c>
      <c r="BQ184" s="21">
        <f>EXP(-LN(2)/25)*BQ183+(1-EXP(-LN(2)/25))/(LN(2)/25)*Calculateur!BL184*Calculateur!BN184*VLOOKUP('Données projet'!$B$11,Paramètres!$A$1:$I$89,3,0)*0.475*44/12</f>
        <v>1.471549103664918</v>
      </c>
      <c r="BR184" s="21">
        <f>EXP(-LN(2)/2)*BR183+(1-EXP(-LN(2)/2))/(LN(2)/2)*BL184*BO184*VLOOKUP('Données projet'!$B$11,Paramètres!$A$1:$I$89,3,0)*0.475*44/12</f>
        <v>1.7454680619011089E-17</v>
      </c>
      <c r="BS184" s="22">
        <f t="shared" si="169"/>
        <v>16.798831192848361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-2.8421709430404007E-13</v>
      </c>
      <c r="BZ184" s="13">
        <f>BY184*VLOOKUP('Données projet'!$B$12,Paramètres!$A$1:$I$89,3,0)*VLOOKUP('Données projet'!$B$12,Paramètres!$A$1:$I$89,5,0)</f>
        <v>-2.2612312022829427E-13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378.47278187128137</v>
      </c>
      <c r="CE184" s="59">
        <f t="shared" si="148"/>
        <v>372.59407061242604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19.225935930324852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19.225935930324852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52.525200000000126</v>
      </c>
      <c r="D185" s="11">
        <f t="shared" si="140"/>
        <v>15.264021799943331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261.64261045592212</v>
      </c>
      <c r="H185" s="67">
        <f t="shared" si="110"/>
        <v>374.73289463490153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-3.4106051316484809E-13</v>
      </c>
      <c r="O185" s="13">
        <f>N185*VLOOKUP('Données projet'!$B$9,Paramètres!$A$1:$I$89,3,0)*VLOOKUP('Données projet'!$B$9,Paramètres!$A$1:$I$89,5,0)</f>
        <v>-1.9065282685915009E-13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347.01106511825213</v>
      </c>
      <c r="T185" s="59">
        <f t="shared" si="142"/>
        <v>329.53392323581539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23.945385081941982</v>
      </c>
      <c r="AA185" s="21">
        <f>EXP(-LN(2)/25)*AA184+(1-EXP(-LN(2)/25))/(LN(2)/25)*Calculateur!V185*Calculateur!X185*VLOOKUP('Données projet'!$B$9,Paramètres!$A$1:$I$89,3,0)*0.475*44/12</f>
        <v>2.7181021074273999</v>
      </c>
      <c r="AB185" s="21">
        <f>EXP(-LN(2)/2)*AB184+(1-EXP(-LN(2)/2))/(LN(2)/2)*V185*Y185*VLOOKUP('Données projet'!$B$9,Paramètres!$A$1:$I$89,3,0)*0.475*44/12</f>
        <v>4.9834379275856507E-16</v>
      </c>
      <c r="AC185" s="22">
        <f t="shared" si="163"/>
        <v>26.663487189369381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209.32570518924194</v>
      </c>
      <c r="AO185" s="59">
        <f t="shared" si="144"/>
        <v>138.10530102720475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80.087256828363266</v>
      </c>
      <c r="AV185" s="21">
        <f>EXP(-LN(2)/25)*AV184+(1-EXP(-LN(2)/25))/(LN(2)/25)*Calculateur!AQ185*Calculateur!AS185*VLOOKUP('Données projet'!$B$10,Paramètres!$A$1:$I$89,3,0)*0.475*44/12</f>
        <v>12.856310246987947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92.943567075351211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219.86035935827329</v>
      </c>
      <c r="BJ185" s="59">
        <f t="shared" si="146"/>
        <v>322.75312534885239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15.026723436133519</v>
      </c>
      <c r="BQ185" s="21">
        <f>EXP(-LN(2)/25)*BQ184+(1-EXP(-LN(2)/25))/(LN(2)/25)*Calculateur!BL185*Calculateur!BN185*VLOOKUP('Données projet'!$B$11,Paramètres!$A$1:$I$89,3,0)*0.475*44/12</f>
        <v>1.4313095160397966</v>
      </c>
      <c r="BR185" s="21">
        <f>EXP(-LN(2)/2)*BR184+(1-EXP(-LN(2)/2))/(LN(2)/2)*BL185*BO185*VLOOKUP('Données projet'!$B$11,Paramètres!$A$1:$I$89,3,0)*0.475*44/12</f>
        <v>1.2342323029148146E-17</v>
      </c>
      <c r="BS185" s="22">
        <f t="shared" si="169"/>
        <v>16.458032952173316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-2.8421709430404007E-13</v>
      </c>
      <c r="BZ185" s="13">
        <f>BY185*VLOOKUP('Données projet'!$B$12,Paramètres!$A$1:$I$89,3,0)*VLOOKUP('Données projet'!$B$12,Paramètres!$A$1:$I$89,5,0)</f>
        <v>-2.2612312022829427E-13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378.47278187128137</v>
      </c>
      <c r="CE185" s="59">
        <f t="shared" si="148"/>
        <v>372.59407061242604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18.848927053394188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18.848927053394188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52.813800000000128</v>
      </c>
      <c r="D186" s="11">
        <f t="shared" si="140"/>
        <v>15.338104137784573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263.04243702302864</v>
      </c>
      <c r="H186" s="67">
        <f t="shared" si="110"/>
        <v>375.36456637330838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-3.4106051316484809E-13</v>
      </c>
      <c r="O186" s="13">
        <f>N186*VLOOKUP('Données projet'!$B$9,Paramètres!$A$1:$I$89,3,0)*VLOOKUP('Données projet'!$B$9,Paramètres!$A$1:$I$89,5,0)</f>
        <v>-1.9065282685915009E-13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347.01106511825213</v>
      </c>
      <c r="T186" s="59">
        <f t="shared" si="142"/>
        <v>329.53392323581539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23.475830685727853</v>
      </c>
      <c r="AA186" s="21">
        <f>EXP(-LN(2)/25)*AA185+(1-EXP(-LN(2)/25))/(LN(2)/25)*Calculateur!V186*Calculateur!X186*VLOOKUP('Données projet'!$B$9,Paramètres!$A$1:$I$89,3,0)*0.475*44/12</f>
        <v>2.6437754623610199</v>
      </c>
      <c r="AB186" s="21">
        <f>EXP(-LN(2)/2)*AB185+(1-EXP(-LN(2)/2))/(LN(2)/2)*V186*Y186*VLOOKUP('Données projet'!$B$9,Paramètres!$A$1:$I$89,3,0)*0.475*44/12</f>
        <v>3.5238227522180486E-16</v>
      </c>
      <c r="AC186" s="22">
        <f t="shared" si="163"/>
        <v>26.119606148088874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209.32570518924194</v>
      </c>
      <c r="AO186" s="59">
        <f t="shared" si="144"/>
        <v>138.10530102720475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78.51679457036235</v>
      </c>
      <c r="AV186" s="21">
        <f>EXP(-LN(2)/25)*AV185+(1-EXP(-LN(2)/25))/(LN(2)/25)*Calculateur!AQ186*Calculateur!AS186*VLOOKUP('Données projet'!$B$10,Paramètres!$A$1:$I$89,3,0)*0.475*44/12</f>
        <v>12.504753767200089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91.021548337562436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219.86035935827329</v>
      </c>
      <c r="BJ186" s="59">
        <f t="shared" si="146"/>
        <v>322.75312534885239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14.73205855494723</v>
      </c>
      <c r="BQ186" s="21">
        <f>EXP(-LN(2)/25)*BQ185+(1-EXP(-LN(2)/25))/(LN(2)/25)*Calculateur!BL186*Calculateur!BN186*VLOOKUP('Données projet'!$B$11,Paramètres!$A$1:$I$89,3,0)*0.475*44/12</f>
        <v>1.3921702820543922</v>
      </c>
      <c r="BR186" s="21">
        <f>EXP(-LN(2)/2)*BR185+(1-EXP(-LN(2)/2))/(LN(2)/2)*BL186*BO186*VLOOKUP('Données projet'!$B$11,Paramètres!$A$1:$I$89,3,0)*0.475*44/12</f>
        <v>8.7273403095055443E-18</v>
      </c>
      <c r="BS186" s="22">
        <f t="shared" si="169"/>
        <v>16.12422883700162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-2.8421709430404007E-13</v>
      </c>
      <c r="BZ186" s="13">
        <f>BY186*VLOOKUP('Données projet'!$B$12,Paramètres!$A$1:$I$89,3,0)*VLOOKUP('Données projet'!$B$12,Paramètres!$A$1:$I$89,5,0)</f>
        <v>-2.2612312022829427E-13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378.47278187128137</v>
      </c>
      <c r="CE186" s="59">
        <f t="shared" si="148"/>
        <v>372.59407061242604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18.479311090587426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18.479311090587426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53.102400000000131</v>
      </c>
      <c r="D187" s="11">
        <f t="shared" si="140"/>
        <v>15.412139369135998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264.44208177561319</v>
      </c>
      <c r="H187" s="67">
        <f t="shared" si="110"/>
        <v>375.99615606791212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-3.4106051316484809E-13</v>
      </c>
      <c r="O187" s="13">
        <f>N187*VLOOKUP('Données projet'!$B$9,Paramètres!$A$1:$I$89,3,0)*VLOOKUP('Données projet'!$B$9,Paramètres!$A$1:$I$89,5,0)</f>
        <v>-1.9065282685915009E-13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347.01106511825213</v>
      </c>
      <c r="T187" s="59">
        <f t="shared" si="142"/>
        <v>329.53392323581539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23.015483964823581</v>
      </c>
      <c r="AA187" s="21">
        <f>EXP(-LN(2)/25)*AA186+(1-EXP(-LN(2)/25))/(LN(2)/25)*Calculateur!V187*Calculateur!X187*VLOOKUP('Données projet'!$B$9,Paramètres!$A$1:$I$89,3,0)*0.475*44/12</f>
        <v>2.5714812833126488</v>
      </c>
      <c r="AB187" s="21">
        <f>EXP(-LN(2)/2)*AB186+(1-EXP(-LN(2)/2))/(LN(2)/2)*V187*Y187*VLOOKUP('Données projet'!$B$9,Paramètres!$A$1:$I$89,3,0)*0.475*44/12</f>
        <v>2.4917189637928254E-16</v>
      </c>
      <c r="AC187" s="22">
        <f t="shared" si="163"/>
        <v>25.586965248136231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209.32570518924194</v>
      </c>
      <c r="AO187" s="59">
        <f t="shared" si="144"/>
        <v>138.10530102720475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76.977128119353438</v>
      </c>
      <c r="AV187" s="21">
        <f>EXP(-LN(2)/25)*AV186+(1-EXP(-LN(2)/25))/(LN(2)/25)*Calculateur!AQ187*Calculateur!AS187*VLOOKUP('Données projet'!$B$10,Paramètres!$A$1:$I$89,3,0)*0.475*44/12</f>
        <v>12.162810617839583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89.13993873719302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219.86035935827329</v>
      </c>
      <c r="BJ187" s="59">
        <f t="shared" si="146"/>
        <v>322.75312534885239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14.443171872353172</v>
      </c>
      <c r="BQ187" s="21">
        <f>EXP(-LN(2)/25)*BQ186+(1-EXP(-LN(2)/25))/(LN(2)/25)*Calculateur!BL187*Calculateur!BN187*VLOOKUP('Données projet'!$B$11,Paramètres!$A$1:$I$89,3,0)*0.475*44/12</f>
        <v>1.3541013124805616</v>
      </c>
      <c r="BR187" s="21">
        <f>EXP(-LN(2)/2)*BR186+(1-EXP(-LN(2)/2))/(LN(2)/2)*BL187*BO187*VLOOKUP('Données projet'!$B$11,Paramètres!$A$1:$I$89,3,0)*0.475*44/12</f>
        <v>6.171161514574073E-18</v>
      </c>
      <c r="BS187" s="22">
        <f t="shared" si="169"/>
        <v>15.797273184833735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-2.8421709430404007E-13</v>
      </c>
      <c r="BZ187" s="13">
        <f>BY187*VLOOKUP('Données projet'!$B$12,Paramètres!$A$1:$I$89,3,0)*VLOOKUP('Données projet'!$B$12,Paramètres!$A$1:$I$89,5,0)</f>
        <v>-2.2612312022829427E-13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378.47278187128137</v>
      </c>
      <c r="CE187" s="59">
        <f t="shared" si="148"/>
        <v>372.59407061242604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18.116943071367828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18.116943071367828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53.391000000000133</v>
      </c>
      <c r="D188" s="11">
        <f t="shared" si="140"/>
        <v>15.486127779723555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265.84154581647743</v>
      </c>
      <c r="H188" s="67">
        <f t="shared" si="110"/>
        <v>376.62766421635212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-3.4106051316484809E-13</v>
      </c>
      <c r="O188" s="13">
        <f>N188*VLOOKUP('Données projet'!$B$9,Paramètres!$A$1:$I$89,3,0)*VLOOKUP('Données projet'!$B$9,Paramètres!$A$1:$I$89,5,0)</f>
        <v>-1.9065282685915009E-13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347.01106511825213</v>
      </c>
      <c r="T188" s="59">
        <f t="shared" si="142"/>
        <v>329.53392323581539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22.564164362332466</v>
      </c>
      <c r="AA188" s="21">
        <f>EXP(-LN(2)/25)*AA187+(1-EXP(-LN(2)/25))/(LN(2)/25)*Calculateur!V188*Calculateur!X188*VLOOKUP('Données projet'!$B$9,Paramètres!$A$1:$I$89,3,0)*0.475*44/12</f>
        <v>2.5011639923921409</v>
      </c>
      <c r="AB188" s="21">
        <f>EXP(-LN(2)/2)*AB187+(1-EXP(-LN(2)/2))/(LN(2)/2)*V188*Y188*VLOOKUP('Données projet'!$B$9,Paramètres!$A$1:$I$89,3,0)*0.475*44/12</f>
        <v>1.7619113761090243E-16</v>
      </c>
      <c r="AC188" s="22">
        <f t="shared" si="163"/>
        <v>25.065328354724606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209.32570518924194</v>
      </c>
      <c r="AO188" s="59">
        <f t="shared" si="144"/>
        <v>138.10530102720475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75.467653588345001</v>
      </c>
      <c r="AV188" s="21">
        <f>EXP(-LN(2)/25)*AV187+(1-EXP(-LN(2)/25))/(LN(2)/25)*Calculateur!AQ188*Calculateur!AS188*VLOOKUP('Données projet'!$B$10,Paramètres!$A$1:$I$89,3,0)*0.475*44/12</f>
        <v>11.830217921880347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87.297871510225349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219.86035935827329</v>
      </c>
      <c r="BJ188" s="59">
        <f t="shared" si="146"/>
        <v>322.75312534885239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14.159950081401306</v>
      </c>
      <c r="BQ188" s="21">
        <f>EXP(-LN(2)/25)*BQ187+(1-EXP(-LN(2)/25))/(LN(2)/25)*Calculateur!BL188*Calculateur!BN188*VLOOKUP('Données projet'!$B$11,Paramètres!$A$1:$I$89,3,0)*0.475*44/12</f>
        <v>1.3170733408816875</v>
      </c>
      <c r="BR188" s="21">
        <f>EXP(-LN(2)/2)*BR187+(1-EXP(-LN(2)/2))/(LN(2)/2)*BL188*BO188*VLOOKUP('Données projet'!$B$11,Paramètres!$A$1:$I$89,3,0)*0.475*44/12</f>
        <v>4.3636701547527722E-18</v>
      </c>
      <c r="BS188" s="22">
        <f t="shared" si="169"/>
        <v>15.477023422282993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-2.8421709430404007E-13</v>
      </c>
      <c r="BZ188" s="13">
        <f>BY188*VLOOKUP('Données projet'!$B$12,Paramètres!$A$1:$I$89,3,0)*VLOOKUP('Données projet'!$B$12,Paramètres!$A$1:$I$89,5,0)</f>
        <v>-2.2612312022829427E-13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378.47278187128137</v>
      </c>
      <c r="CE188" s="59">
        <f t="shared" si="148"/>
        <v>372.59407061242604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17.761680867982456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17.761680867982456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53.679600000000136</v>
      </c>
      <c r="D189" s="11">
        <f t="shared" si="140"/>
        <v>15.560069652005453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267.24083023581107</v>
      </c>
      <c r="H189" s="67">
        <f t="shared" si="110"/>
        <v>377.25909131057642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-3.4106051316484809E-13</v>
      </c>
      <c r="O189" s="13">
        <f>N189*VLOOKUP('Données projet'!$B$9,Paramètres!$A$1:$I$89,3,0)*VLOOKUP('Données projet'!$B$9,Paramètres!$A$1:$I$89,5,0)</f>
        <v>-1.9065282685915009E-13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347.01106511825213</v>
      </c>
      <c r="T189" s="59">
        <f t="shared" si="142"/>
        <v>329.53392323581539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22.121694861968425</v>
      </c>
      <c r="AA189" s="21">
        <f>EXP(-LN(2)/25)*AA188+(1-EXP(-LN(2)/25))/(LN(2)/25)*Calculateur!V189*Calculateur!X189*VLOOKUP('Données projet'!$B$9,Paramètres!$A$1:$I$89,3,0)*0.475*44/12</f>
        <v>2.4327695314896798</v>
      </c>
      <c r="AB189" s="21">
        <f>EXP(-LN(2)/2)*AB188+(1-EXP(-LN(2)/2))/(LN(2)/2)*V189*Y189*VLOOKUP('Données projet'!$B$9,Paramètres!$A$1:$I$89,3,0)*0.475*44/12</f>
        <v>1.2458594818964127E-16</v>
      </c>
      <c r="AC189" s="22">
        <f t="shared" si="163"/>
        <v>24.554464393458105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209.32570518924194</v>
      </c>
      <c r="AO189" s="59">
        <f t="shared" si="144"/>
        <v>138.10530102720475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73.987778932201095</v>
      </c>
      <c r="AV189" s="21">
        <f>EXP(-LN(2)/25)*AV188+(1-EXP(-LN(2)/25))/(LN(2)/25)*Calculateur!AQ189*Calculateur!AS189*VLOOKUP('Données projet'!$B$10,Paramètres!$A$1:$I$89,3,0)*0.475*44/12</f>
        <v>11.506719990682408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85.494498922883508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219.86035935827329</v>
      </c>
      <c r="BJ189" s="59">
        <f t="shared" si="146"/>
        <v>322.75312534885239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13.88228209702177</v>
      </c>
      <c r="BQ189" s="21">
        <f>EXP(-LN(2)/25)*BQ188+(1-EXP(-LN(2)/25))/(LN(2)/25)*Calculateur!BL189*Calculateur!BN189*VLOOKUP('Données projet'!$B$11,Paramètres!$A$1:$I$89,3,0)*0.475*44/12</f>
        <v>1.2810579011134009</v>
      </c>
      <c r="BR189" s="21">
        <f>EXP(-LN(2)/2)*BR188+(1-EXP(-LN(2)/2))/(LN(2)/2)*BL189*BO189*VLOOKUP('Données projet'!$B$11,Paramètres!$A$1:$I$89,3,0)*0.475*44/12</f>
        <v>3.0855807572870365E-18</v>
      </c>
      <c r="BS189" s="22">
        <f t="shared" si="169"/>
        <v>15.163339998135172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-2.8421709430404007E-13</v>
      </c>
      <c r="BZ189" s="13">
        <f>BY189*VLOOKUP('Données projet'!$B$12,Paramètres!$A$1:$I$89,3,0)*VLOOKUP('Données projet'!$B$12,Paramètres!$A$1:$I$89,5,0)</f>
        <v>-2.2612312022829427E-13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378.47278187128137</v>
      </c>
      <c r="CE189" s="59">
        <f t="shared" si="148"/>
        <v>372.59407061242604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17.413385139716926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17.413385139716926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53.968200000000138</v>
      </c>
      <c r="D190" s="11">
        <f t="shared" si="140"/>
        <v>15.633965265226935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268.63993611140273</v>
      </c>
      <c r="H190" s="67">
        <f t="shared" si="110"/>
        <v>377.89043783693717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-3.4106051316484809E-13</v>
      </c>
      <c r="O190" s="13">
        <f>N190*VLOOKUP('Données projet'!$B$9,Paramètres!$A$1:$I$89,3,0)*VLOOKUP('Données projet'!$B$9,Paramètres!$A$1:$I$89,5,0)</f>
        <v>-1.9065282685915009E-13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347.01106511825213</v>
      </c>
      <c r="T190" s="59">
        <f t="shared" si="142"/>
        <v>329.53392323581539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21.687901918626778</v>
      </c>
      <c r="AA190" s="21">
        <f>EXP(-LN(2)/25)*AA189+(1-EXP(-LN(2)/25))/(LN(2)/25)*Calculateur!V190*Calculateur!X190*VLOOKUP('Données projet'!$B$9,Paramètres!$A$1:$I$89,3,0)*0.475*44/12</f>
        <v>2.3662453207173049</v>
      </c>
      <c r="AB190" s="21">
        <f>EXP(-LN(2)/2)*AB189+(1-EXP(-LN(2)/2))/(LN(2)/2)*V190*Y190*VLOOKUP('Données projet'!$B$9,Paramètres!$A$1:$I$89,3,0)*0.475*44/12</f>
        <v>8.8095568805451216E-17</v>
      </c>
      <c r="AC190" s="22">
        <f t="shared" si="163"/>
        <v>24.054147239344083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209.32570518924194</v>
      </c>
      <c r="AO190" s="59">
        <f t="shared" si="144"/>
        <v>138.10530102720475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72.536923715429751</v>
      </c>
      <c r="AV190" s="21">
        <f>EXP(-LN(2)/25)*AV189+(1-EXP(-LN(2)/25))/(LN(2)/25)*Calculateur!AQ190*Calculateur!AS190*VLOOKUP('Données projet'!$B$10,Paramètres!$A$1:$I$89,3,0)*0.475*44/12</f>
        <v>11.192068127425092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83.728991842854839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219.86035935827329</v>
      </c>
      <c r="BJ190" s="59">
        <f t="shared" si="146"/>
        <v>322.75312534885239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13.610059012455171</v>
      </c>
      <c r="BQ190" s="21">
        <f>EXP(-LN(2)/25)*BQ189+(1-EXP(-LN(2)/25))/(LN(2)/25)*Calculateur!BL190*Calculateur!BN190*VLOOKUP('Données projet'!$B$11,Paramètres!$A$1:$I$89,3,0)*0.475*44/12</f>
        <v>1.2460273054395479</v>
      </c>
      <c r="BR190" s="21">
        <f>EXP(-LN(2)/2)*BR189+(1-EXP(-LN(2)/2))/(LN(2)/2)*BL190*BO190*VLOOKUP('Données projet'!$B$11,Paramètres!$A$1:$I$89,3,0)*0.475*44/12</f>
        <v>2.1818350773763861E-18</v>
      </c>
      <c r="BS190" s="22">
        <f t="shared" si="169"/>
        <v>14.856086317894718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-2.8421709430404007E-13</v>
      </c>
      <c r="BZ190" s="13">
        <f>BY190*VLOOKUP('Données projet'!$B$12,Paramètres!$A$1:$I$89,3,0)*VLOOKUP('Données projet'!$B$12,Paramètres!$A$1:$I$89,5,0)</f>
        <v>-2.2612312022829427E-13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378.47278187128137</v>
      </c>
      <c r="CE190" s="59">
        <f t="shared" si="148"/>
        <v>372.59407061242604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17.071919278243264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17.071919278243264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54.25680000000014</v>
      </c>
      <c r="D191" s="11">
        <f t="shared" si="140"/>
        <v>15.707814895473758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270.03886450884664</v>
      </c>
      <c r="H191" s="67">
        <f t="shared" si="110"/>
        <v>378.52170427628374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-3.4106051316484809E-13</v>
      </c>
      <c r="O191" s="13">
        <f>N191*VLOOKUP('Données projet'!$B$9,Paramètres!$A$1:$I$89,3,0)*VLOOKUP('Données projet'!$B$9,Paramètres!$A$1:$I$89,5,0)</f>
        <v>-1.9065282685915009E-13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347.01106511825213</v>
      </c>
      <c r="T191" s="59">
        <f t="shared" si="142"/>
        <v>329.53392323581539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21.262615390316491</v>
      </c>
      <c r="AA191" s="21">
        <f>EXP(-LN(2)/25)*AA190+(1-EXP(-LN(2)/25))/(LN(2)/25)*Calculateur!V191*Calculateur!X191*VLOOKUP('Données projet'!$B$9,Paramètres!$A$1:$I$89,3,0)*0.475*44/12</f>
        <v>2.3015402179868567</v>
      </c>
      <c r="AB191" s="21">
        <f>EXP(-LN(2)/2)*AB190+(1-EXP(-LN(2)/2))/(LN(2)/2)*V191*Y191*VLOOKUP('Données projet'!$B$9,Paramètres!$A$1:$I$89,3,0)*0.475*44/12</f>
        <v>6.2292974094820634E-17</v>
      </c>
      <c r="AC191" s="22">
        <f t="shared" si="163"/>
        <v>23.564155608303349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209.32570518924194</v>
      </c>
      <c r="AO191" s="59">
        <f t="shared" si="144"/>
        <v>138.10530102720475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71.114518884524998</v>
      </c>
      <c r="AV191" s="21">
        <f>EXP(-LN(2)/25)*AV190+(1-EXP(-LN(2)/25))/(LN(2)/25)*Calculateur!AQ191*Calculateur!AS191*VLOOKUP('Données projet'!$B$10,Paramètres!$A$1:$I$89,3,0)*0.475*44/12</f>
        <v>10.88602043591537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82.000539320440367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219.86035935827329</v>
      </c>
      <c r="BJ191" s="59">
        <f t="shared" si="146"/>
        <v>322.75312534885239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13.343174056537235</v>
      </c>
      <c r="BQ191" s="21">
        <f>EXP(-LN(2)/25)*BQ190+(1-EXP(-LN(2)/25))/(LN(2)/25)*Calculateur!BL191*Calculateur!BN191*VLOOKUP('Données projet'!$B$11,Paramètres!$A$1:$I$89,3,0)*0.475*44/12</f>
        <v>1.2119546232465752</v>
      </c>
      <c r="BR191" s="21">
        <f>EXP(-LN(2)/2)*BR190+(1-EXP(-LN(2)/2))/(LN(2)/2)*BL191*BO191*VLOOKUP('Données projet'!$B$11,Paramètres!$A$1:$I$89,3,0)*0.475*44/12</f>
        <v>1.5427903786435182E-18</v>
      </c>
      <c r="BS191" s="22">
        <f t="shared" si="169"/>
        <v>14.55512867978381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-2.8421709430404007E-13</v>
      </c>
      <c r="BZ191" s="13">
        <f>BY191*VLOOKUP('Données projet'!$B$12,Paramètres!$A$1:$I$89,3,0)*VLOOKUP('Données projet'!$B$12,Paramètres!$A$1:$I$89,5,0)</f>
        <v>-2.2612312022829427E-13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378.47278187128137</v>
      </c>
      <c r="CE191" s="59">
        <f t="shared" si="148"/>
        <v>372.59407061242604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16.737149354039492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16.737149354039492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54.545400000000143</v>
      </c>
      <c r="D192" s="11">
        <f t="shared" si="140"/>
        <v>15.78161881572459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271.43761648174461</v>
      </c>
      <c r="H192" s="67">
        <f t="shared" si="110"/>
        <v>379.15289110405394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-3.4106051316484809E-13</v>
      </c>
      <c r="O192" s="13">
        <f>N192*VLOOKUP('Données projet'!$B$9,Paramètres!$A$1:$I$89,3,0)*VLOOKUP('Données projet'!$B$9,Paramètres!$A$1:$I$89,5,0)</f>
        <v>-1.9065282685915009E-13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347.01106511825213</v>
      </c>
      <c r="T192" s="59">
        <f t="shared" si="142"/>
        <v>329.53392323581539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20.845668471427199</v>
      </c>
      <c r="AA192" s="21">
        <f>EXP(-LN(2)/25)*AA191+(1-EXP(-LN(2)/25))/(LN(2)/25)*Calculateur!V192*Calculateur!X192*VLOOKUP('Données projet'!$B$9,Paramètres!$A$1:$I$89,3,0)*0.475*44/12</f>
        <v>2.2386044796932665</v>
      </c>
      <c r="AB192" s="21">
        <f>EXP(-LN(2)/2)*AB191+(1-EXP(-LN(2)/2))/(LN(2)/2)*V192*Y192*VLOOKUP('Données projet'!$B$9,Paramètres!$A$1:$I$89,3,0)*0.475*44/12</f>
        <v>4.4047784402725608E-17</v>
      </c>
      <c r="AC192" s="22">
        <f t="shared" si="163"/>
        <v>23.084272951120465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209.32570518924194</v>
      </c>
      <c r="AO192" s="59">
        <f t="shared" si="144"/>
        <v>138.10530102720475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69.720006544773</v>
      </c>
      <c r="AV192" s="21">
        <f>EXP(-LN(2)/25)*AV191+(1-EXP(-LN(2)/25))/(LN(2)/25)*Calculateur!AQ192*Calculateur!AS192*VLOOKUP('Données projet'!$B$10,Paramètres!$A$1:$I$89,3,0)*0.475*44/12</f>
        <v>10.58834163462433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80.308348179397328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219.86035935827329</v>
      </c>
      <c r="BJ192" s="59">
        <f t="shared" si="146"/>
        <v>322.75312534885239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13.0815225518211</v>
      </c>
      <c r="BQ192" s="21">
        <f>EXP(-LN(2)/25)*BQ191+(1-EXP(-LN(2)/25))/(LN(2)/25)*Calculateur!BL192*Calculateur!BN192*VLOOKUP('Données projet'!$B$11,Paramètres!$A$1:$I$89,3,0)*0.475*44/12</f>
        <v>1.1788136603399739</v>
      </c>
      <c r="BR192" s="21">
        <f>EXP(-LN(2)/2)*BR191+(1-EXP(-LN(2)/2))/(LN(2)/2)*BL192*BO192*VLOOKUP('Données projet'!$B$11,Paramètres!$A$1:$I$89,3,0)*0.475*44/12</f>
        <v>1.090917538688193E-18</v>
      </c>
      <c r="BS192" s="22">
        <f t="shared" si="169"/>
        <v>14.260336212161075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-2.8421709430404007E-13</v>
      </c>
      <c r="BZ192" s="13">
        <f>BY192*VLOOKUP('Données projet'!$B$12,Paramètres!$A$1:$I$89,3,0)*VLOOKUP('Données projet'!$B$12,Paramètres!$A$1:$I$89,5,0)</f>
        <v>-2.2612312022829427E-13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378.47278187128137</v>
      </c>
      <c r="CE192" s="59">
        <f t="shared" si="148"/>
        <v>372.59407061242604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16.408944063859863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16.408944063859863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54.834000000000145</v>
      </c>
      <c r="D193" s="11">
        <f t="shared" si="140"/>
        <v>15.855377295902215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272.83619307190384</v>
      </c>
      <c r="H193" s="67">
        <f t="shared" si="110"/>
        <v>379.78399879036328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-3.4106051316484809E-13</v>
      </c>
      <c r="O193" s="13">
        <f>N193*VLOOKUP('Données projet'!$B$9,Paramètres!$A$1:$I$89,3,0)*VLOOKUP('Données projet'!$B$9,Paramètres!$A$1:$I$89,5,0)</f>
        <v>-1.9065282685915009E-13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347.01106511825213</v>
      </c>
      <c r="T193" s="59">
        <f t="shared" si="142"/>
        <v>329.53392323581539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20.436897627304816</v>
      </c>
      <c r="AA193" s="21">
        <f>EXP(-LN(2)/25)*AA192+(1-EXP(-LN(2)/25))/(LN(2)/25)*Calculateur!V193*Calculateur!X193*VLOOKUP('Données projet'!$B$9,Paramètres!$A$1:$I$89,3,0)*0.475*44/12</f>
        <v>2.1773897224729608</v>
      </c>
      <c r="AB193" s="21">
        <f>EXP(-LN(2)/2)*AB192+(1-EXP(-LN(2)/2))/(LN(2)/2)*V193*Y193*VLOOKUP('Données projet'!$B$9,Paramètres!$A$1:$I$89,3,0)*0.475*44/12</f>
        <v>3.1146487047410317E-17</v>
      </c>
      <c r="AC193" s="22">
        <f t="shared" si="163"/>
        <v>22.614287349777776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209.32570518924194</v>
      </c>
      <c r="AO193" s="59">
        <f t="shared" si="144"/>
        <v>138.10530102720475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68.352839741434991</v>
      </c>
      <c r="AV193" s="21">
        <f>EXP(-LN(2)/25)*AV192+(1-EXP(-LN(2)/25))/(LN(2)/25)*Calculateur!AQ193*Calculateur!AS193*VLOOKUP('Données projet'!$B$10,Paramètres!$A$1:$I$89,3,0)*0.475*44/12</f>
        <v>10.298802875808841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78.651642617243837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219.86035935827329</v>
      </c>
      <c r="BJ193" s="59">
        <f t="shared" si="146"/>
        <v>322.75312534885239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12.82500187352079</v>
      </c>
      <c r="BQ193" s="21">
        <f>EXP(-LN(2)/25)*BQ192+(1-EXP(-LN(2)/25))/(LN(2)/25)*Calculateur!BL193*Calculateur!BN193*VLOOKUP('Données projet'!$B$11,Paramètres!$A$1:$I$89,3,0)*0.475*44/12</f>
        <v>1.1465789388068612</v>
      </c>
      <c r="BR193" s="21">
        <f>EXP(-LN(2)/2)*BR192+(1-EXP(-LN(2)/2))/(LN(2)/2)*BL193*BO193*VLOOKUP('Données projet'!$B$11,Paramètres!$A$1:$I$89,3,0)*0.475*44/12</f>
        <v>7.7139518932175912E-19</v>
      </c>
      <c r="BS193" s="22">
        <f t="shared" si="169"/>
        <v>13.971580812327652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-2.8421709430404007E-13</v>
      </c>
      <c r="BZ193" s="13">
        <f>BY193*VLOOKUP('Données projet'!$B$12,Paramètres!$A$1:$I$89,3,0)*VLOOKUP('Données projet'!$B$12,Paramètres!$A$1:$I$89,5,0)</f>
        <v>-2.2612312022829427E-13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378.47278187128137</v>
      </c>
      <c r="CE193" s="59">
        <f t="shared" si="148"/>
        <v>372.59407061242604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16.087174679235197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16.087174679235197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55.122600000000148</v>
      </c>
      <c r="D194" s="11">
        <f t="shared" si="140"/>
        <v>15.92909060292363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274.23459530953039</v>
      </c>
      <c r="H194" s="67">
        <f t="shared" si="110"/>
        <v>380.41502780009228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-3.4106051316484809E-13</v>
      </c>
      <c r="O194" s="13">
        <f>N194*VLOOKUP('Données projet'!$B$9,Paramètres!$A$1:$I$89,3,0)*VLOOKUP('Données projet'!$B$9,Paramètres!$A$1:$I$89,5,0)</f>
        <v>-1.9065282685915009E-13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347.01106511825213</v>
      </c>
      <c r="T194" s="59">
        <f t="shared" si="142"/>
        <v>329.53392323581539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20.036142530110077</v>
      </c>
      <c r="AA194" s="21">
        <f>EXP(-LN(2)/25)*AA193+(1-EXP(-LN(2)/25))/(LN(2)/25)*Calculateur!V194*Calculateur!X194*VLOOKUP('Données projet'!$B$9,Paramètres!$A$1:$I$89,3,0)*0.475*44/12</f>
        <v>2.1178488860079887</v>
      </c>
      <c r="AB194" s="21">
        <f>EXP(-LN(2)/2)*AB193+(1-EXP(-LN(2)/2))/(LN(2)/2)*V194*Y194*VLOOKUP('Données projet'!$B$9,Paramètres!$A$1:$I$89,3,0)*0.475*44/12</f>
        <v>2.2023892201362804E-17</v>
      </c>
      <c r="AC194" s="22">
        <f t="shared" si="163"/>
        <v>22.153991416118064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209.32570518924194</v>
      </c>
      <c r="AO194" s="59">
        <f t="shared" si="144"/>
        <v>138.10530102720475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67.012482245221037</v>
      </c>
      <c r="AV194" s="21">
        <f>EXP(-LN(2)/25)*AV193+(1-EXP(-LN(2)/25))/(LN(2)/25)*Calculateur!AQ194*Calculateur!AS194*VLOOKUP('Données projet'!$B$10,Paramètres!$A$1:$I$89,3,0)*0.475*44/12</f>
        <v>10.017181569579343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77.029663814800386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219.86035935827329</v>
      </c>
      <c r="BJ194" s="59">
        <f t="shared" si="146"/>
        <v>322.75312534885239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12.573511409259785</v>
      </c>
      <c r="BQ194" s="21">
        <f>EXP(-LN(2)/25)*BQ193+(1-EXP(-LN(2)/25))/(LN(2)/25)*Calculateur!BL194*Calculateur!BN194*VLOOKUP('Données projet'!$B$11,Paramètres!$A$1:$I$89,3,0)*0.475*44/12</f>
        <v>1.1152256774292217</v>
      </c>
      <c r="BR194" s="21">
        <f>EXP(-LN(2)/2)*BR193+(1-EXP(-LN(2)/2))/(LN(2)/2)*BL194*BO194*VLOOKUP('Données projet'!$B$11,Paramètres!$A$1:$I$89,3,0)*0.475*44/12</f>
        <v>5.4545876934409652E-19</v>
      </c>
      <c r="BS194" s="22">
        <f t="shared" si="169"/>
        <v>13.688737086689006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-2.8421709430404007E-13</v>
      </c>
      <c r="BZ194" s="13">
        <f>BY194*VLOOKUP('Données projet'!$B$12,Paramètres!$A$1:$I$89,3,0)*VLOOKUP('Données projet'!$B$12,Paramètres!$A$1:$I$89,5,0)</f>
        <v>-2.2612312022829427E-13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378.47278187128137</v>
      </c>
      <c r="CE194" s="59">
        <f t="shared" si="148"/>
        <v>372.59407061242604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15.771714995983075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15.771714995983075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55.41120000000015</v>
      </c>
      <c r="D195" s="11">
        <f t="shared" si="140"/>
        <v>16.002759000749101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275.63282421341819</v>
      </c>
      <c r="H195" s="67">
        <f t="shared" si="110"/>
        <v>381.04597859297161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-3.4106051316484809E-13</v>
      </c>
      <c r="O195" s="13">
        <f>N195*VLOOKUP('Données projet'!$B$9,Paramètres!$A$1:$I$89,3,0)*VLOOKUP('Données projet'!$B$9,Paramètres!$A$1:$I$89,5,0)</f>
        <v>-1.9065282685915009E-13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347.01106511825213</v>
      </c>
      <c r="T195" s="59">
        <f t="shared" si="142"/>
        <v>329.53392323581539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19.643245995934855</v>
      </c>
      <c r="AA195" s="21">
        <f>EXP(-LN(2)/25)*AA194+(1-EXP(-LN(2)/25))/(LN(2)/25)*Calculateur!V195*Calculateur!X195*VLOOKUP('Données projet'!$B$9,Paramètres!$A$1:$I$89,3,0)*0.475*44/12</f>
        <v>2.0599361968472678</v>
      </c>
      <c r="AB195" s="21">
        <f>EXP(-LN(2)/2)*AB194+(1-EXP(-LN(2)/2))/(LN(2)/2)*V195*Y195*VLOOKUP('Données projet'!$B$9,Paramètres!$A$1:$I$89,3,0)*0.475*44/12</f>
        <v>1.5573243523705159E-17</v>
      </c>
      <c r="AC195" s="22">
        <f t="shared" si="163"/>
        <v>21.703182192782123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209.32570518924194</v>
      </c>
      <c r="AO195" s="59">
        <f t="shared" si="144"/>
        <v>138.10530102720475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65.698408341970492</v>
      </c>
      <c r="AV195" s="21">
        <f>EXP(-LN(2)/25)*AV194+(1-EXP(-LN(2)/25))/(LN(2)/25)*Calculateur!AQ195*Calculateur!AS195*VLOOKUP('Données projet'!$B$10,Paramètres!$A$1:$I$89,3,0)*0.475*44/12</f>
        <v>9.7432612127785116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75.441669554748998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219.86035935827329</v>
      </c>
      <c r="BJ195" s="59">
        <f t="shared" si="146"/>
        <v>322.75312534885239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12.3269525196089</v>
      </c>
      <c r="BQ195" s="21">
        <f>EXP(-LN(2)/25)*BQ194+(1-EXP(-LN(2)/25))/(LN(2)/25)*Calculateur!BL195*Calculateur!BN195*VLOOKUP('Données projet'!$B$11,Paramètres!$A$1:$I$89,3,0)*0.475*44/12</f>
        <v>1.0847297726327503</v>
      </c>
      <c r="BR195" s="21">
        <f>EXP(-LN(2)/2)*BR194+(1-EXP(-LN(2)/2))/(LN(2)/2)*BL195*BO195*VLOOKUP('Données projet'!$B$11,Paramètres!$A$1:$I$89,3,0)*0.475*44/12</f>
        <v>3.8569759466087956E-19</v>
      </c>
      <c r="BS195" s="22">
        <f t="shared" si="169"/>
        <v>13.41168229224165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-2.8421709430404007E-13</v>
      </c>
      <c r="BZ195" s="13">
        <f>BY195*VLOOKUP('Données projet'!$B$12,Paramètres!$A$1:$I$89,3,0)*VLOOKUP('Données projet'!$B$12,Paramètres!$A$1:$I$89,5,0)</f>
        <v>-2.2612312022829427E-13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378.47278187128137</v>
      </c>
      <c r="CE195" s="59">
        <f t="shared" si="148"/>
        <v>372.59407061242604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15.462441284708119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15.462441284708119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55.699800000000153</v>
      </c>
      <c r="D196" s="11">
        <f t="shared" si="140"/>
        <v>16.076382750430128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277.03088079113439</v>
      </c>
      <c r="H196" s="67">
        <f t="shared" ref="H196:H203" si="192">(B196+E196+F196)*44/12+(C196+D196)*0.475*44/12</f>
        <v>381.6768516236661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-3.4106051316484809E-13</v>
      </c>
      <c r="O196" s="13">
        <f>N196*VLOOKUP('Données projet'!$B$9,Paramètres!$A$1:$I$89,3,0)*VLOOKUP('Données projet'!$B$9,Paramètres!$A$1:$I$89,5,0)</f>
        <v>-1.9065282685915009E-13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347.01106511825213</v>
      </c>
      <c r="T196" s="59">
        <f t="shared" si="142"/>
        <v>329.53392323581539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19.258053923151586</v>
      </c>
      <c r="AA196" s="21">
        <f>EXP(-LN(2)/25)*AA195+(1-EXP(-LN(2)/25))/(LN(2)/25)*Calculateur!V196*Calculateur!X196*VLOOKUP('Données projet'!$B$9,Paramètres!$A$1:$I$89,3,0)*0.475*44/12</f>
        <v>2.0036071332171428</v>
      </c>
      <c r="AB196" s="21">
        <f>EXP(-LN(2)/2)*AB195+(1-EXP(-LN(2)/2))/(LN(2)/2)*V196*Y196*VLOOKUP('Données projet'!$B$9,Paramètres!$A$1:$I$89,3,0)*0.475*44/12</f>
        <v>1.1011946100681402E-17</v>
      </c>
      <c r="AC196" s="22">
        <f t="shared" si="163"/>
        <v>21.26166105636873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209.32570518924194</v>
      </c>
      <c r="AO196" s="59">
        <f t="shared" si="144"/>
        <v>138.10530102720475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64.410102626456748</v>
      </c>
      <c r="AV196" s="21">
        <f>EXP(-LN(2)/25)*AV195+(1-EXP(-LN(2)/25))/(LN(2)/25)*Calculateur!AQ196*Calculateur!AS196*VLOOKUP('Données projet'!$B$10,Paramètres!$A$1:$I$89,3,0)*0.475*44/12</f>
        <v>9.4768312225392446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73.886933848995994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219.86035935827329</v>
      </c>
      <c r="BJ196" s="59">
        <f t="shared" si="146"/>
        <v>322.75312534885239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12.085228499397997</v>
      </c>
      <c r="BQ196" s="21">
        <f>EXP(-LN(2)/25)*BQ195+(1-EXP(-LN(2)/25))/(LN(2)/25)*Calculateur!BL196*Calculateur!BN196*VLOOKUP('Données projet'!$B$11,Paramètres!$A$1:$I$89,3,0)*0.475*44/12</f>
        <v>1.0550677799566481</v>
      </c>
      <c r="BR196" s="21">
        <f>EXP(-LN(2)/2)*BR195+(1-EXP(-LN(2)/2))/(LN(2)/2)*BL196*BO196*VLOOKUP('Données projet'!$B$11,Paramètres!$A$1:$I$89,3,0)*0.475*44/12</f>
        <v>2.7272938467204826E-19</v>
      </c>
      <c r="BS196" s="22">
        <f t="shared" si="169"/>
        <v>13.140296279354645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-2.8421709430404007E-13</v>
      </c>
      <c r="BZ196" s="13">
        <f>BY196*VLOOKUP('Données projet'!$B$12,Paramètres!$A$1:$I$89,3,0)*VLOOKUP('Données projet'!$B$12,Paramètres!$A$1:$I$89,5,0)</f>
        <v>-2.2612312022829427E-13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378.47278187128137</v>
      </c>
      <c r="CE196" s="59">
        <f t="shared" si="148"/>
        <v>372.59407061242604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15.159232242272926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15.159232242272926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55.988400000000155</v>
      </c>
      <c r="D197" s="11">
        <f t="shared" ref="D197:D203" si="202">IFERROR(EXP(-1.0587+0.8836*LN(C197)+0.284),0)</f>
        <v>16.149962110156363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278.42876603920064</v>
      </c>
      <c r="H197" s="67">
        <f t="shared" si="192"/>
        <v>382.30764734185595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-3.4106051316484809E-13</v>
      </c>
      <c r="O197" s="13">
        <f>N197*VLOOKUP('Données projet'!$B$9,Paramètres!$A$1:$I$89,3,0)*VLOOKUP('Données projet'!$B$9,Paramètres!$A$1:$I$89,5,0)</f>
        <v>-1.9065282685915009E-13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347.01106511825213</v>
      </c>
      <c r="T197" s="59">
        <f t="shared" ref="T197:T203" si="204">$T$3</f>
        <v>329.53392323581539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18.880415231971629</v>
      </c>
      <c r="AA197" s="21">
        <f>EXP(-LN(2)/25)*AA196+(1-EXP(-LN(2)/25))/(LN(2)/25)*Calculateur!V197*Calculateur!X197*VLOOKUP('Données projet'!$B$9,Paramètres!$A$1:$I$89,3,0)*0.475*44/12</f>
        <v>1.9488183907942003</v>
      </c>
      <c r="AB197" s="21">
        <f>EXP(-LN(2)/2)*AB196+(1-EXP(-LN(2)/2))/(LN(2)/2)*V197*Y197*VLOOKUP('Données projet'!$B$9,Paramètres!$A$1:$I$89,3,0)*0.475*44/12</f>
        <v>7.7866217618525793E-18</v>
      </c>
      <c r="AC197" s="22">
        <f t="shared" si="163"/>
        <v>20.82923362276583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209.32570518924194</v>
      </c>
      <c r="AO197" s="59">
        <f t="shared" ref="AO197:AO203" si="205">$AO$3</f>
        <v>138.10530102720475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63.147059800235333</v>
      </c>
      <c r="AV197" s="21">
        <f>EXP(-LN(2)/25)*AV196+(1-EXP(-LN(2)/25))/(LN(2)/25)*Calculateur!AQ197*Calculateur!AS197*VLOOKUP('Données projet'!$B$10,Paramètres!$A$1:$I$89,3,0)*0.475*44/12</f>
        <v>9.2176867743940143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72.364746574629351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219.86035935827329</v>
      </c>
      <c r="BJ197" s="59">
        <f t="shared" ref="BJ197:BJ203" si="206">$BJ$3</f>
        <v>322.75312534885239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11.848244539786336</v>
      </c>
      <c r="BQ197" s="21">
        <f>EXP(-LN(2)/25)*BQ196+(1-EXP(-LN(2)/25))/(LN(2)/25)*Calculateur!BL197*Calculateur!BN197*VLOOKUP('Données projet'!$B$11,Paramètres!$A$1:$I$89,3,0)*0.475*44/12</f>
        <v>1.0262168960301303</v>
      </c>
      <c r="BR197" s="21">
        <f>EXP(-LN(2)/2)*BR196+(1-EXP(-LN(2)/2))/(LN(2)/2)*BL197*BO197*VLOOKUP('Données projet'!$B$11,Paramètres!$A$1:$I$89,3,0)*0.475*44/12</f>
        <v>1.9284879733043978E-19</v>
      </c>
      <c r="BS197" s="22">
        <f t="shared" si="169"/>
        <v>12.874461435816466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-2.8421709430404007E-13</v>
      </c>
      <c r="BZ197" s="13">
        <f>BY197*VLOOKUP('Données projet'!$B$12,Paramètres!$A$1:$I$89,3,0)*VLOOKUP('Données projet'!$B$12,Paramètres!$A$1:$I$89,5,0)</f>
        <v>-2.2612312022829427E-13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378.47278187128137</v>
      </c>
      <c r="CE197" s="59">
        <f t="shared" ref="CE197:CE203" si="207">$CE$3</f>
        <v>372.59407061242604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14.861968944220633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14.861968944220633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56.277000000000157</v>
      </c>
      <c r="D198" s="11">
        <f t="shared" si="202"/>
        <v>16.223497335301644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279.8264809432701</v>
      </c>
      <c r="H198" s="67">
        <f t="shared" si="192"/>
        <v>382.93836619231735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-3.4106051316484809E-13</v>
      </c>
      <c r="O198" s="13">
        <f>N198*VLOOKUP('Données projet'!$B$9,Paramètres!$A$1:$I$89,3,0)*VLOOKUP('Données projet'!$B$9,Paramètres!$A$1:$I$89,5,0)</f>
        <v>-1.9065282685915009E-13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347.01106511825213</v>
      </c>
      <c r="T198" s="59">
        <f t="shared" si="204"/>
        <v>329.53392323581539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18.510181805188854</v>
      </c>
      <c r="AA198" s="21">
        <f>EXP(-LN(2)/25)*AA197+(1-EXP(-LN(2)/25))/(LN(2)/25)*Calculateur!V198*Calculateur!X198*VLOOKUP('Données projet'!$B$9,Paramètres!$A$1:$I$89,3,0)*0.475*44/12</f>
        <v>1.8955278494140277</v>
      </c>
      <c r="AB198" s="21">
        <f>EXP(-LN(2)/2)*AB197+(1-EXP(-LN(2)/2))/(LN(2)/2)*V198*Y198*VLOOKUP('Données projet'!$B$9,Paramètres!$A$1:$I$89,3,0)*0.475*44/12</f>
        <v>5.505973050340701E-18</v>
      </c>
      <c r="AC198" s="22">
        <f t="shared" si="163"/>
        <v>20.40570965460288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209.32570518924194</v>
      </c>
      <c r="AO198" s="59">
        <f t="shared" si="205"/>
        <v>138.10530102720475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61.908784473456066</v>
      </c>
      <c r="AV198" s="21">
        <f>EXP(-LN(2)/25)*AV197+(1-EXP(-LN(2)/25))/(LN(2)/25)*Calculateur!AQ198*Calculateur!AS198*VLOOKUP('Données projet'!$B$10,Paramètres!$A$1:$I$89,3,0)*0.475*44/12</f>
        <v>8.9656286448111295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70.874413118267199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219.86035935827329</v>
      </c>
      <c r="BJ198" s="59">
        <f t="shared" si="206"/>
        <v>322.75312534885239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11.615907691076716</v>
      </c>
      <c r="BQ198" s="21">
        <f>EXP(-LN(2)/25)*BQ197+(1-EXP(-LN(2)/25))/(LN(2)/25)*Calculateur!BL198*Calculateur!BN198*VLOOKUP('Données projet'!$B$11,Paramètres!$A$1:$I$89,3,0)*0.475*44/12</f>
        <v>0.99815494104178526</v>
      </c>
      <c r="BR198" s="21">
        <f>EXP(-LN(2)/2)*BR197+(1-EXP(-LN(2)/2))/(LN(2)/2)*BL198*BO198*VLOOKUP('Données projet'!$B$11,Paramètres!$A$1:$I$89,3,0)*0.475*44/12</f>
        <v>1.3636469233602413E-19</v>
      </c>
      <c r="BS198" s="22">
        <f t="shared" si="169"/>
        <v>12.6140626321185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-2.8421709430404007E-13</v>
      </c>
      <c r="BZ198" s="13">
        <f>BY198*VLOOKUP('Données projet'!$B$12,Paramètres!$A$1:$I$89,3,0)*VLOOKUP('Données projet'!$B$12,Paramètres!$A$1:$I$89,5,0)</f>
        <v>-2.2612312022829427E-13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378.47278187128137</v>
      </c>
      <c r="CE198" s="59">
        <f t="shared" si="207"/>
        <v>372.59407061242604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14.570534798130437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14.570534798130437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56.56560000000016</v>
      </c>
      <c r="D199" s="11">
        <f t="shared" si="202"/>
        <v>16.296988678468914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281.22402647830177</v>
      </c>
      <c r="H199" s="67">
        <f t="shared" si="192"/>
        <v>383.56900861500031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-3.4106051316484809E-13</v>
      </c>
      <c r="O199" s="13">
        <f>N199*VLOOKUP('Données projet'!$B$9,Paramètres!$A$1:$I$89,3,0)*VLOOKUP('Données projet'!$B$9,Paramètres!$A$1:$I$89,5,0)</f>
        <v>-1.9065282685915009E-13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347.01106511825213</v>
      </c>
      <c r="T199" s="59">
        <f t="shared" si="204"/>
        <v>329.53392323581539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18.147208430085197</v>
      </c>
      <c r="AA199" s="21">
        <f>EXP(-LN(2)/25)*AA198+(1-EXP(-LN(2)/25))/(LN(2)/25)*Calculateur!V199*Calculateur!X199*VLOOKUP('Données projet'!$B$9,Paramètres!$A$1:$I$89,3,0)*0.475*44/12</f>
        <v>1.8436945406903238</v>
      </c>
      <c r="AB199" s="21">
        <f>EXP(-LN(2)/2)*AB198+(1-EXP(-LN(2)/2))/(LN(2)/2)*V199*Y199*VLOOKUP('Données projet'!$B$9,Paramètres!$A$1:$I$89,3,0)*0.475*44/12</f>
        <v>3.8933108809262896E-18</v>
      </c>
      <c r="AC199" s="22">
        <f t="shared" si="163"/>
        <v>19.990902970775522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209.32570518924194</v>
      </c>
      <c r="AO199" s="59">
        <f t="shared" si="205"/>
        <v>138.10530102720475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60.69479097056157</v>
      </c>
      <c r="AV199" s="21">
        <f>EXP(-LN(2)/25)*AV198+(1-EXP(-LN(2)/25))/(LN(2)/25)*Calculateur!AQ199*Calculateur!AS199*VLOOKUP('Données projet'!$B$10,Paramètres!$A$1:$I$89,3,0)*0.475*44/12</f>
        <v>8.7204630580368505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69.415254028598426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219.86035935827329</v>
      </c>
      <c r="BJ199" s="59">
        <f t="shared" si="206"/>
        <v>322.75312534885239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11.388126826258807</v>
      </c>
      <c r="BQ199" s="21">
        <f>EXP(-LN(2)/25)*BQ198+(1-EXP(-LN(2)/25))/(LN(2)/25)*Calculateur!BL199*Calculateur!BN199*VLOOKUP('Données projet'!$B$11,Paramètres!$A$1:$I$89,3,0)*0.475*44/12</f>
        <v>0.97086034168831059</v>
      </c>
      <c r="BR199" s="21">
        <f>EXP(-LN(2)/2)*BR198+(1-EXP(-LN(2)/2))/(LN(2)/2)*BL199*BO199*VLOOKUP('Données projet'!$B$11,Paramètres!$A$1:$I$89,3,0)*0.475*44/12</f>
        <v>9.642439866521989E-20</v>
      </c>
      <c r="BS199" s="22">
        <f t="shared" si="169"/>
        <v>12.358987167947117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-2.8421709430404007E-13</v>
      </c>
      <c r="BZ199" s="13">
        <f>BY199*VLOOKUP('Données projet'!$B$12,Paramètres!$A$1:$I$89,3,0)*VLOOKUP('Données projet'!$B$12,Paramètres!$A$1:$I$89,5,0)</f>
        <v>-2.2612312022829427E-13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378.47278187128137</v>
      </c>
      <c r="CE199" s="59">
        <f t="shared" si="207"/>
        <v>372.59407061242604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14.284815497887793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14.284815497887793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56.854200000000162</v>
      </c>
      <c r="D200" s="11">
        <f t="shared" si="202"/>
        <v>16.370436389534326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282.62140360872962</v>
      </c>
      <c r="H200" s="67">
        <f t="shared" si="192"/>
        <v>384.19957504510592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-3.4106051316484809E-13</v>
      </c>
      <c r="O200" s="13">
        <f>N200*VLOOKUP('Données projet'!$B$9,Paramètres!$A$1:$I$89,3,0)*VLOOKUP('Données projet'!$B$9,Paramètres!$A$1:$I$89,5,0)</f>
        <v>-1.9065282685915009E-13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347.01106511825213</v>
      </c>
      <c r="T200" s="59">
        <f t="shared" si="204"/>
        <v>329.53392323581539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17.791352741475425</v>
      </c>
      <c r="AA200" s="21">
        <f>EXP(-LN(2)/25)*AA199+(1-EXP(-LN(2)/25))/(LN(2)/25)*Calculateur!V200*Calculateur!X200*VLOOKUP('Données projet'!$B$9,Paramètres!$A$1:$I$89,3,0)*0.475*44/12</f>
        <v>1.7932786165194647</v>
      </c>
      <c r="AB200" s="21">
        <f>EXP(-LN(2)/2)*AB199+(1-EXP(-LN(2)/2))/(LN(2)/2)*V200*Y200*VLOOKUP('Données projet'!$B$9,Paramètres!$A$1:$I$89,3,0)*0.475*44/12</f>
        <v>2.7529865251703505E-18</v>
      </c>
      <c r="AC200" s="22">
        <f t="shared" si="163"/>
        <v>19.584631357994891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209.32570518924194</v>
      </c>
      <c r="AO200" s="59">
        <f t="shared" si="205"/>
        <v>138.10530102720475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59.504603139795911</v>
      </c>
      <c r="AV200" s="21">
        <f>EXP(-LN(2)/25)*AV199+(1-EXP(-LN(2)/25))/(LN(2)/25)*Calculateur!AQ200*Calculateur!AS200*VLOOKUP('Données projet'!$B$10,Paramètres!$A$1:$I$89,3,0)*0.475*44/12</f>
        <v>8.4820015371256119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67.98660467692153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219.86035935827329</v>
      </c>
      <c r="BJ200" s="59">
        <f t="shared" si="206"/>
        <v>322.75312534885239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11.164812605267368</v>
      </c>
      <c r="BQ200" s="21">
        <f>EXP(-LN(2)/25)*BQ199+(1-EXP(-LN(2)/25))/(LN(2)/25)*Calculateur!BL200*Calculateur!BN200*VLOOKUP('Données projet'!$B$11,Paramètres!$A$1:$I$89,3,0)*0.475*44/12</f>
        <v>0.94431211458951725</v>
      </c>
      <c r="BR200" s="21">
        <f>EXP(-LN(2)/2)*BR199+(1-EXP(-LN(2)/2))/(LN(2)/2)*BL200*BO200*VLOOKUP('Données projet'!$B$11,Paramètres!$A$1:$I$89,3,0)*0.475*44/12</f>
        <v>6.8182346168012065E-20</v>
      </c>
      <c r="BS200" s="22">
        <f t="shared" si="169"/>
        <v>12.109124719856885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-2.8421709430404007E-13</v>
      </c>
      <c r="BZ200" s="13">
        <f>BY200*VLOOKUP('Données projet'!$B$12,Paramètres!$A$1:$I$89,3,0)*VLOOKUP('Données projet'!$B$12,Paramètres!$A$1:$I$89,5,0)</f>
        <v>-2.2612312022829427E-13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378.47278187128137</v>
      </c>
      <c r="CE200" s="59">
        <f t="shared" si="207"/>
        <v>372.59407061242604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14.004698978851343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14.004698978851343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57.142800000000165</v>
      </c>
      <c r="D201" s="11">
        <f t="shared" si="202"/>
        <v>16.4438407156903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284.01861328862987</v>
      </c>
      <c r="H201" s="67">
        <f t="shared" si="192"/>
        <v>384.83006591316087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-3.4106051316484809E-13</v>
      </c>
      <c r="O201" s="13">
        <f>N201*VLOOKUP('Données projet'!$B$9,Paramètres!$A$1:$I$89,3,0)*VLOOKUP('Données projet'!$B$9,Paramètres!$A$1:$I$89,5,0)</f>
        <v>-1.9065282685915009E-13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347.01106511825213</v>
      </c>
      <c r="T201" s="59">
        <f t="shared" si="204"/>
        <v>329.53392323581539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17.442475165868753</v>
      </c>
      <c r="AA201" s="21">
        <f>EXP(-LN(2)/25)*AA200+(1-EXP(-LN(2)/25))/(LN(2)/25)*Calculateur!V201*Calculateur!X201*VLOOKUP('Données projet'!$B$9,Paramètres!$A$1:$I$89,3,0)*0.475*44/12</f>
        <v>1.7442413184463161</v>
      </c>
      <c r="AB201" s="21">
        <f>EXP(-LN(2)/2)*AB200+(1-EXP(-LN(2)/2))/(LN(2)/2)*V201*Y201*VLOOKUP('Données projet'!$B$9,Paramètres!$A$1:$I$89,3,0)*0.475*44/12</f>
        <v>1.9466554404631448E-18</v>
      </c>
      <c r="AC201" s="22">
        <f t="shared" si="163"/>
        <v>19.18671648431507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209.32570518924194</v>
      </c>
      <c r="AO201" s="59">
        <f t="shared" si="205"/>
        <v>138.10530102720475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58.337754166448669</v>
      </c>
      <c r="AV201" s="21">
        <f>EXP(-LN(2)/25)*AV200+(1-EXP(-LN(2)/25))/(LN(2)/25)*Calculateur!AQ201*Calculateur!AS201*VLOOKUP('Données projet'!$B$10,Paramètres!$A$1:$I$89,3,0)*0.475*44/12</f>
        <v>8.2500607590438371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66.587814925492509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219.86035935827329</v>
      </c>
      <c r="BJ201" s="59">
        <f t="shared" si="206"/>
        <v>322.75312534885239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10.945877439941347</v>
      </c>
      <c r="BQ201" s="21">
        <f>EXP(-LN(2)/25)*BQ200+(1-EXP(-LN(2)/25))/(LN(2)/25)*Calculateur!BL201*Calculateur!BN201*VLOOKUP('Données projet'!$B$11,Paramètres!$A$1:$I$89,3,0)*0.475*44/12</f>
        <v>0.91848985015685103</v>
      </c>
      <c r="BR201" s="21">
        <f>EXP(-LN(2)/2)*BR200+(1-EXP(-LN(2)/2))/(LN(2)/2)*BL201*BO201*VLOOKUP('Données projet'!$B$11,Paramètres!$A$1:$I$89,3,0)*0.475*44/12</f>
        <v>4.8212199332609945E-20</v>
      </c>
      <c r="BS201" s="22">
        <f t="shared" si="169"/>
        <v>11.864367290098198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-2.8421709430404007E-13</v>
      </c>
      <c r="BZ201" s="13">
        <f>BY201*VLOOKUP('Données projet'!$B$12,Paramètres!$A$1:$I$89,3,0)*VLOOKUP('Données projet'!$B$12,Paramètres!$A$1:$I$89,5,0)</f>
        <v>-2.2612312022829427E-13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378.47278187128137</v>
      </c>
      <c r="CE201" s="59">
        <f t="shared" si="207"/>
        <v>372.59407061242604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13.730075373898989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13.730075373898989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57.431400000000167</v>
      </c>
      <c r="D202" s="11">
        <f t="shared" si="202"/>
        <v>16.517201901487802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285.41565646188343</v>
      </c>
      <c r="H202" s="67">
        <f t="shared" si="192"/>
        <v>385.46048164509159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-3.4106051316484809E-13</v>
      </c>
      <c r="O202" s="13">
        <f>N202*VLOOKUP('Données projet'!$B$9,Paramètres!$A$1:$I$89,3,0)*VLOOKUP('Données projet'!$B$9,Paramètres!$A$1:$I$89,5,0)</f>
        <v>-1.9065282685915009E-13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347.01106511825213</v>
      </c>
      <c r="T202" s="59">
        <f t="shared" si="204"/>
        <v>329.53392323581539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17.100438866725419</v>
      </c>
      <c r="AA202" s="21">
        <f>EXP(-LN(2)/25)*AA201+(1-EXP(-LN(2)/25))/(LN(2)/25)*Calculateur!V202*Calculateur!X202*VLOOKUP('Données projet'!$B$9,Paramètres!$A$1:$I$89,3,0)*0.475*44/12</f>
        <v>1.6965449478677372</v>
      </c>
      <c r="AB202" s="21">
        <f>EXP(-LN(2)/2)*AB201+(1-EXP(-LN(2)/2))/(LN(2)/2)*V202*Y202*VLOOKUP('Données projet'!$B$9,Paramètres!$A$1:$I$89,3,0)*0.475*44/12</f>
        <v>1.3764932625851752E-18</v>
      </c>
      <c r="AC202" s="22">
        <f t="shared" si="163"/>
        <v>18.796983814593155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209.32570518924194</v>
      </c>
      <c r="AO202" s="59">
        <f t="shared" si="205"/>
        <v>138.10530102720475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57.193786389761172</v>
      </c>
      <c r="AV202" s="21">
        <f>EXP(-LN(2)/25)*AV201+(1-EXP(-LN(2)/25))/(LN(2)/25)*Calculateur!AQ202*Calculateur!AS202*VLOOKUP('Données projet'!$B$10,Paramètres!$A$1:$I$89,3,0)*0.475*44/12</f>
        <v>8.024462413735943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65.218248803497119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219.86035935827329</v>
      </c>
      <c r="BJ202" s="59">
        <f t="shared" si="206"/>
        <v>322.75312534885239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10.731235459670103</v>
      </c>
      <c r="BQ202" s="21">
        <f>EXP(-LN(2)/25)*BQ201+(1-EXP(-LN(2)/25))/(LN(2)/25)*Calculateur!BL202*Calculateur!BN202*VLOOKUP('Données projet'!$B$11,Paramètres!$A$1:$I$89,3,0)*0.475*44/12</f>
        <v>0.89337369690302992</v>
      </c>
      <c r="BR202" s="21">
        <f>EXP(-LN(2)/2)*BR201+(1-EXP(-LN(2)/2))/(LN(2)/2)*BL202*BO202*VLOOKUP('Données projet'!$B$11,Paramètres!$A$1:$I$89,3,0)*0.475*44/12</f>
        <v>3.4091173084006032E-20</v>
      </c>
      <c r="BS202" s="22">
        <f t="shared" si="169"/>
        <v>11.624609156573133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-2.8421709430404007E-13</v>
      </c>
      <c r="BZ202" s="13">
        <f>BY202*VLOOKUP('Données projet'!$B$12,Paramètres!$A$1:$I$89,3,0)*VLOOKUP('Données projet'!$B$12,Paramètres!$A$1:$I$89,5,0)</f>
        <v>-2.2612312022829427E-13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378.47278187128137</v>
      </c>
      <c r="CE202" s="59">
        <f t="shared" si="207"/>
        <v>372.59407061242604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13.460836970335894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13.460836970335894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57.720000000000169</v>
      </c>
      <c r="D203" s="11">
        <f t="shared" si="202"/>
        <v>16.590520188877683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286.8125340623356</v>
      </c>
      <c r="H203" s="67">
        <f t="shared" si="192"/>
        <v>386.09082266229564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-3.4106051316484809E-13</v>
      </c>
      <c r="O203" s="13">
        <f>N203*VLOOKUP('Données projet'!$B$9,Paramètres!$A$1:$I$89,3,0)*VLOOKUP('Données projet'!$B$9,Paramètres!$A$1:$I$89,5,0)</f>
        <v>-1.9065282685915009E-13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347.01106511825213</v>
      </c>
      <c r="T203" s="59">
        <f t="shared" si="204"/>
        <v>329.53392323581539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16.765109690786741</v>
      </c>
      <c r="AA203" s="21">
        <f>EXP(-LN(2)/25)*AA202+(1-EXP(-LN(2)/25))/(LN(2)/25)*Calculateur!V203*Calculateur!X203*VLOOKUP('Données projet'!$B$9,Paramètres!$A$1:$I$89,3,0)*0.475*44/12</f>
        <v>1.6501528370508727</v>
      </c>
      <c r="AB203" s="21">
        <f>EXP(-LN(2)/2)*AB202+(1-EXP(-LN(2)/2))/(LN(2)/2)*V203*Y203*VLOOKUP('Données projet'!$B$9,Paramètres!$A$1:$I$89,3,0)*0.475*44/12</f>
        <v>9.7332772023157241E-19</v>
      </c>
      <c r="AC203" s="22">
        <f t="shared" si="163"/>
        <v>18.415262527837612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209.32570518924194</v>
      </c>
      <c r="AO203" s="59">
        <f t="shared" si="205"/>
        <v>138.10530102720475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56.072251123423072</v>
      </c>
      <c r="AV203" s="21">
        <f>EXP(-LN(2)/25)*AV202+(1-EXP(-LN(2)/25))/(LN(2)/25)*Calculateur!AQ203*Calculateur!AS203*VLOOKUP('Données projet'!$B$10,Paramètres!$A$1:$I$89,3,0)*0.475*44/12</f>
        <v>7.8050330670441959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63.877284190467265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219.86035935827329</v>
      </c>
      <c r="BJ203" s="59">
        <f t="shared" si="206"/>
        <v>322.75312534885239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10.520802477713296</v>
      </c>
      <c r="BQ203" s="21">
        <f>EXP(-LN(2)/25)*BQ202+(1-EXP(-LN(2)/25))/(LN(2)/25)*Calculateur!BL203*Calculateur!BN203*VLOOKUP('Données projet'!$B$11,Paramètres!$A$1:$I$89,3,0)*0.475*44/12</f>
        <v>0.86894434618073568</v>
      </c>
      <c r="BR203" s="21">
        <f>EXP(-LN(2)/2)*BR202+(1-EXP(-LN(2)/2))/(LN(2)/2)*BL203*BO203*VLOOKUP('Données projet'!$B$11,Paramètres!$A$1:$I$89,3,0)*0.475*44/12</f>
        <v>2.4106099666304973E-20</v>
      </c>
      <c r="BS203" s="22">
        <f t="shared" si="169"/>
        <v>11.389746823894033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-2.8421709430404007E-13</v>
      </c>
      <c r="BZ203" s="13">
        <f>BY203*VLOOKUP('Données projet'!$B$12,Paramètres!$A$1:$I$89,3,0)*VLOOKUP('Données projet'!$B$12,Paramètres!$A$1:$I$89,5,0)</f>
        <v>-2.2612312022829427E-13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378.47278187128137</v>
      </c>
      <c r="CE203" s="59">
        <f t="shared" si="207"/>
        <v>372.59407061242604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13.196878167647458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13.196878167647458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1.2682520920115548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1.0879105265398694</v>
      </c>
      <c r="BA205" s="82">
        <f>EXP(LN('Données projet'!B88)/'Données projet'!A88)</f>
        <v>1.2997069632623315</v>
      </c>
      <c r="BV205" s="82">
        <f>EXP(LN('Données projet'!B114)/'Données projet'!A114)</f>
        <v>1.3423796509621049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D6" sqref="D6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Douglas</v>
      </c>
      <c r="B6" s="146">
        <f>'Données projet'!D9</f>
        <v>2.6375299999999995</v>
      </c>
      <c r="C6" s="147">
        <f ca="1">IF(OR('Données projet'!B9="",'Données projet'!C9="",'Données projet'!C9=0%),0,Calculateur!S3)</f>
        <v>347.01106511825213</v>
      </c>
      <c r="D6" s="147">
        <f>IF(OR('Données projet'!B9="",'Données projet'!C9="",'Données projet'!C9=0%),0,Calculateur!T3)</f>
        <v>329.53392323581539</v>
      </c>
      <c r="E6" s="147">
        <f ca="1">MIN(C6,D6)</f>
        <v>329.53392323581539</v>
      </c>
      <c r="F6" s="147">
        <f ca="1">E6*B6</f>
        <v>869.15560855216006</v>
      </c>
      <c r="G6" s="147">
        <f ca="1">F6*(100%-'Données projet'!$C$24)*(100%-'Données projet'!$C$25)*(100%-'Données projet'!$C$26)*(100%-'Données projet'!$C$27)</f>
        <v>743.1280453120969</v>
      </c>
      <c r="H6" s="148">
        <f>IF(OR('Données projet'!B9="",'Données projet'!C9="",'Données projet'!C9=0%),0,AVERAGE(Calculateur!$AC$3:$AC$33)*B6)</f>
        <v>6.9165048820183221</v>
      </c>
      <c r="I6" s="149">
        <f>H6*(100%-'Données projet'!$C$24)*(100%-'Données projet'!$C$25)*(100%-'Données projet'!$C$26)*(100%-'Données projet'!$C$27)</f>
        <v>5.913611674125665</v>
      </c>
      <c r="J6" s="150">
        <f>IF(OR('Données projet'!B9="",'Données projet'!C9="",'Données projet'!C9=0%),0,SUM(Calculateur!$V$3:$V$33)*VLOOKUP('Données projet'!$B$9,Paramètres!$A$1:$I$89,9,0)*B6)</f>
        <v>72.584825599999988</v>
      </c>
      <c r="K6" s="151">
        <f>J6*(100%-'Données projet'!$C$24)*(100%-'Données projet'!$C$25)*(100%-'Données projet'!$C$26)*(100%-'Données projet'!$C$27)</f>
        <v>62.060025887999991</v>
      </c>
      <c r="L6" s="152">
        <f ca="1">G6+I6+K6</f>
        <v>811.10168287422266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>Chêne sessile</v>
      </c>
      <c r="B7" s="154">
        <f>'Données projet'!D10</f>
        <v>1.059607</v>
      </c>
      <c r="C7" s="147">
        <f ca="1">IF(OR('Données projet'!B10="",'Données projet'!C10="",'Données projet'!C10=0%),0,Calculateur!AN3)</f>
        <v>209.32570518924194</v>
      </c>
      <c r="D7" s="147">
        <f>IF(OR('Données projet'!B10="",'Données projet'!C10="",'Données projet'!C10=0%),0,Calculateur!AO3)</f>
        <v>138.10530102720475</v>
      </c>
      <c r="E7" s="147">
        <f t="shared" ref="E7:E15" ca="1" si="0">MIN(C7,D7)</f>
        <v>138.10530102720475</v>
      </c>
      <c r="F7" s="147">
        <f t="shared" ref="F7:F15" ca="1" si="1">E7*B7</f>
        <v>146.33734370553333</v>
      </c>
      <c r="G7" s="147">
        <f ca="1">F7*(100%-'Données projet'!$C$24)*(100%-'Données projet'!$C$25)*(100%-'Données projet'!$C$26)*(100%-'Données projet'!$C$27)</f>
        <v>125.11842886823099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ca="1" si="2">G7+I7+K7</f>
        <v>125.11842886823099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>Mélèze d'Europe</v>
      </c>
      <c r="B8" s="154">
        <f>'Données projet'!D11</f>
        <v>4.4295799999999996</v>
      </c>
      <c r="C8" s="147">
        <f ca="1">IF(OR('Données projet'!B11="",'Données projet'!C11="",'Données projet'!C11=0%),0,Calculateur!BI3)</f>
        <v>219.86035935827329</v>
      </c>
      <c r="D8" s="147">
        <f>IF(OR('Données projet'!B11="",'Données projet'!C11="",'Données projet'!C11=0%),0,Calculateur!BJ3)</f>
        <v>322.75312534885239</v>
      </c>
      <c r="E8" s="147">
        <f t="shared" ca="1" si="0"/>
        <v>219.86035935827329</v>
      </c>
      <c r="F8" s="147">
        <f t="shared" ca="1" si="1"/>
        <v>973.88905060622005</v>
      </c>
      <c r="G8" s="147">
        <f ca="1">F8*(100%-'Données projet'!$C$24)*(100%-'Données projet'!$C$25)*(100%-'Données projet'!$C$26)*(100%-'Données projet'!$C$27)</f>
        <v>832.67513826831816</v>
      </c>
      <c r="H8" s="155">
        <f>IF(OR('Données projet'!B11="",'Données projet'!C11="",'Données projet'!C11=0%),0,AVERAGE(Calculateur!$BS$3:$BS$33)*B8)</f>
        <v>41.598908569380797</v>
      </c>
      <c r="I8" s="149">
        <f>H8*(100%-'Données projet'!$C$24)*(100%-'Données projet'!$C$25)*(100%-'Données projet'!$C$26)*(100%-'Données projet'!$C$27)</f>
        <v>35.567066826820579</v>
      </c>
      <c r="J8" s="150">
        <f>IF(OR('Données projet'!B11="",'Données projet'!C11="",'Données projet'!C11=0%),0,SUM(Calculateur!$BL$3:$BL$33)*VLOOKUP('Données projet'!$B$11,Paramètres!$A$1:$I$89,9,0)*B8)</f>
        <v>243.80408319999998</v>
      </c>
      <c r="K8" s="151">
        <f>J8*(100%-'Données projet'!$C$24)*(100%-'Données projet'!$C$25)*(100%-'Données projet'!$C$26)*(100%-'Données projet'!$C$27)</f>
        <v>208.45249113599999</v>
      </c>
      <c r="L8" s="152">
        <f t="shared" ca="1" si="2"/>
        <v>1076.6946962311388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>Erable sycomore</v>
      </c>
      <c r="B9" s="154">
        <f>'Données projet'!D12</f>
        <v>1.059607</v>
      </c>
      <c r="C9" s="147">
        <f ca="1">IF(OR('Données projet'!B12="",'Données projet'!C12="",'Données projet'!C12=0%),0,Calculateur!CD3)</f>
        <v>378.47278187128137</v>
      </c>
      <c r="D9" s="147">
        <f>IF(OR('Données projet'!B12="",'Données projet'!C12="",'Données projet'!C12=0%),0,Calculateur!CE3)</f>
        <v>372.59407061242604</v>
      </c>
      <c r="E9" s="147">
        <f t="shared" ca="1" si="0"/>
        <v>372.59407061242604</v>
      </c>
      <c r="F9" s="147">
        <f t="shared" ca="1" si="1"/>
        <v>394.80328537942091</v>
      </c>
      <c r="G9" s="147">
        <f ca="1">F9*(100%-'Données projet'!$C$24)*(100%-'Données projet'!$C$25)*(100%-'Données projet'!$C$26)*(100%-'Données projet'!$C$27)</f>
        <v>337.55680899940489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46.357806249999996</v>
      </c>
      <c r="K9" s="151">
        <f>J9*(100%-'Données projet'!$C$24)*(100%-'Données projet'!$C$25)*(100%-'Données projet'!$C$26)*(100%-'Données projet'!$C$27)</f>
        <v>39.635924343749998</v>
      </c>
      <c r="L9" s="152">
        <f t="shared" ca="1" si="2"/>
        <v>377.19273334315488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2384.1852882433341</v>
      </c>
      <c r="G16" s="166">
        <f t="shared" ca="1" si="3"/>
        <v>2038.478421448051</v>
      </c>
      <c r="H16" s="167">
        <f t="shared" si="3"/>
        <v>48.51541345139912</v>
      </c>
      <c r="I16" s="167">
        <f t="shared" si="3"/>
        <v>41.48067850094624</v>
      </c>
      <c r="J16" s="168">
        <f t="shared" si="3"/>
        <v>362.74671504999998</v>
      </c>
      <c r="K16" s="168">
        <f t="shared" si="3"/>
        <v>310.14844136774997</v>
      </c>
      <c r="L16" s="169">
        <f t="shared" ca="1" si="3"/>
        <v>2390.1075413167473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>Chêne sessile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>Mélèze d'Europe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>Erable sycomore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F128" sqref="F128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1158.0158790871706</v>
      </c>
      <c r="U10" s="178">
        <f>'Données projet'!D9</f>
        <v>2.6375299999999995</v>
      </c>
      <c r="V10" s="177">
        <f>U10*T10</f>
        <v>3054.3016215687844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sessile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-2534.3901317482846</v>
      </c>
      <c r="U11" s="178">
        <f>'Données projet'!D10</f>
        <v>1.059607</v>
      </c>
      <c r="V11" s="177">
        <f t="shared" ref="V11" si="0">U11*T11</f>
        <v>-2685.4575243314043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Mélèze d'Europe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-3.0633818348651403</v>
      </c>
      <c r="U12" s="178">
        <f>'Données projet'!D11</f>
        <v>4.4295799999999996</v>
      </c>
      <c r="V12" s="177">
        <f t="shared" ref="V12:V19" si="1">U12*T12</f>
        <v>-13.569494908081927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Erable sycomore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-1079.3407703065996</v>
      </c>
      <c r="U13" s="178">
        <f>'Données projet'!D12</f>
        <v>1.059607</v>
      </c>
      <c r="V13" s="177">
        <f t="shared" si="1"/>
        <v>-1143.6770356022651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/>
      <c r="D17" s="197" t="s">
        <v>132</v>
      </c>
      <c r="E17" s="193">
        <f>1600*1.27</f>
        <v>2032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25.000000000000021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10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250.00000000000023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(15889+24270)/9.19</f>
        <v>4369.8585418933626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21</v>
      </c>
      <c r="B23" s="181">
        <f>'Données projet'!D36</f>
        <v>0</v>
      </c>
      <c r="C23" s="193">
        <v>10</v>
      </c>
      <c r="D23" s="182">
        <f>B23*C23</f>
        <v>0</v>
      </c>
      <c r="E23" s="193"/>
      <c r="F23" s="230"/>
      <c r="H23" s="190"/>
      <c r="I23" s="191"/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-39218.067505043298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28</v>
      </c>
      <c r="B24" s="181">
        <f>'Données projet'!D37</f>
        <v>64</v>
      </c>
      <c r="C24" s="193">
        <v>15</v>
      </c>
      <c r="D24" s="182">
        <f t="shared" ref="D24:D42" si="2">B24*C24</f>
        <v>960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127.17771039804302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35</v>
      </c>
      <c r="B25" s="181">
        <f>'Données projet'!D38</f>
        <v>73</v>
      </c>
      <c r="C25" s="193">
        <v>20</v>
      </c>
      <c r="D25" s="182">
        <f t="shared" si="2"/>
        <v>1460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0</v>
      </c>
      <c r="Q25" s="234"/>
      <c r="R25" s="23"/>
      <c r="S25" s="186" t="s">
        <v>266</v>
      </c>
      <c r="T25" s="303">
        <f ca="1">T23-T24</f>
        <v>-39345.24521544134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42</v>
      </c>
      <c r="B26" s="181">
        <f>'Données projet'!D39</f>
        <v>77</v>
      </c>
      <c r="C26" s="193">
        <v>25</v>
      </c>
      <c r="D26" s="182">
        <f t="shared" si="2"/>
        <v>1925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49</v>
      </c>
      <c r="B27" s="181">
        <f>'Données projet'!D40</f>
        <v>80</v>
      </c>
      <c r="C27" s="193">
        <v>30</v>
      </c>
      <c r="D27" s="182">
        <f t="shared" si="2"/>
        <v>2400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56</v>
      </c>
      <c r="B28" s="181">
        <f>'Données projet'!D41</f>
        <v>85</v>
      </c>
      <c r="C28" s="193">
        <v>40</v>
      </c>
      <c r="D28" s="182">
        <f t="shared" si="2"/>
        <v>3400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63</v>
      </c>
      <c r="B29" s="181">
        <f>'Données projet'!D42</f>
        <v>84</v>
      </c>
      <c r="C29" s="193">
        <v>40</v>
      </c>
      <c r="D29" s="182">
        <f t="shared" si="2"/>
        <v>3360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70</v>
      </c>
      <c r="B30" s="181">
        <f>'Données projet'!D43</f>
        <v>551</v>
      </c>
      <c r="C30" s="193">
        <v>60</v>
      </c>
      <c r="D30" s="182">
        <f t="shared" si="2"/>
        <v>33060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>Chêne sessile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193">
        <f>1600*1.65</f>
        <v>2640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56</v>
      </c>
      <c r="B54" s="181">
        <f>'Données projet'!D62</f>
        <v>33</v>
      </c>
      <c r="C54" s="191">
        <v>10</v>
      </c>
      <c r="D54" s="179">
        <f>B54*C54</f>
        <v>330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64</v>
      </c>
      <c r="B55" s="181">
        <f>'Données projet'!D63</f>
        <v>34</v>
      </c>
      <c r="C55" s="191">
        <v>10</v>
      </c>
      <c r="D55" s="179">
        <f t="shared" ref="D55:D73" si="4">B55*C55</f>
        <v>340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72</v>
      </c>
      <c r="B56" s="181">
        <f>'Données projet'!D64</f>
        <v>28</v>
      </c>
      <c r="C56" s="191">
        <v>10</v>
      </c>
      <c r="D56" s="179">
        <f t="shared" si="4"/>
        <v>280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81</v>
      </c>
      <c r="B57" s="181">
        <f>'Données projet'!D65</f>
        <v>26</v>
      </c>
      <c r="C57" s="191">
        <v>10</v>
      </c>
      <c r="D57" s="179">
        <f t="shared" si="4"/>
        <v>260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90</v>
      </c>
      <c r="B58" s="181">
        <f>'Données projet'!D66</f>
        <v>22</v>
      </c>
      <c r="C58" s="191">
        <v>25</v>
      </c>
      <c r="D58" s="179">
        <f t="shared" si="4"/>
        <v>550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100</v>
      </c>
      <c r="B59" s="181">
        <f>'Données projet'!D67</f>
        <v>22</v>
      </c>
      <c r="C59" s="191">
        <v>40</v>
      </c>
      <c r="D59" s="179">
        <f t="shared" si="4"/>
        <v>880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110</v>
      </c>
      <c r="B60" s="181">
        <f>'Données projet'!D68</f>
        <v>24</v>
      </c>
      <c r="C60" s="191">
        <v>50</v>
      </c>
      <c r="D60" s="179">
        <f t="shared" si="4"/>
        <v>1200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122</v>
      </c>
      <c r="B61" s="181">
        <f>'Données projet'!D69</f>
        <v>25</v>
      </c>
      <c r="C61" s="191">
        <v>60</v>
      </c>
      <c r="D61" s="179">
        <f t="shared" si="4"/>
        <v>1500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134</v>
      </c>
      <c r="B62" s="181">
        <f>'Données projet'!D70</f>
        <v>26</v>
      </c>
      <c r="C62" s="191">
        <v>70</v>
      </c>
      <c r="D62" s="179">
        <f t="shared" si="4"/>
        <v>1820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148</v>
      </c>
      <c r="B63" s="181">
        <f>'Données projet'!D71</f>
        <v>30</v>
      </c>
      <c r="C63" s="191">
        <v>80</v>
      </c>
      <c r="D63" s="179">
        <f t="shared" si="4"/>
        <v>2400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162</v>
      </c>
      <c r="B64" s="181">
        <f>'Données projet'!D72</f>
        <v>37</v>
      </c>
      <c r="C64" s="191">
        <v>90</v>
      </c>
      <c r="D64" s="179">
        <f t="shared" si="4"/>
        <v>3330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177</v>
      </c>
      <c r="B65" s="181">
        <f>'Données projet'!D73</f>
        <v>230</v>
      </c>
      <c r="C65" s="191">
        <v>100</v>
      </c>
      <c r="D65" s="179">
        <f t="shared" si="4"/>
        <v>23000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>Mélèze d'Europe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193">
        <f>1600*1.27</f>
        <v>2032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193">
        <v>500</v>
      </c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193">
        <v>500</v>
      </c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193">
        <v>500</v>
      </c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18</v>
      </c>
      <c r="B85" s="181">
        <f>'Données projet'!D88</f>
        <v>20</v>
      </c>
      <c r="C85" s="191">
        <v>10</v>
      </c>
      <c r="D85" s="179">
        <f>B85*C85</f>
        <v>200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21</v>
      </c>
      <c r="B86" s="181">
        <f>'Données projet'!D89</f>
        <v>26</v>
      </c>
      <c r="C86" s="191">
        <v>15</v>
      </c>
      <c r="D86" s="179">
        <f t="shared" ref="D86:D104" si="6">B86*C86</f>
        <v>390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24</v>
      </c>
      <c r="B87" s="181">
        <f>'Données projet'!D90</f>
        <v>29</v>
      </c>
      <c r="C87" s="191">
        <v>25</v>
      </c>
      <c r="D87" s="179">
        <f t="shared" si="6"/>
        <v>725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30</v>
      </c>
      <c r="B88" s="181">
        <f>'Données projet'!D91</f>
        <v>53</v>
      </c>
      <c r="C88" s="191">
        <v>30</v>
      </c>
      <c r="D88" s="179">
        <f t="shared" si="6"/>
        <v>1590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36</v>
      </c>
      <c r="B89" s="181">
        <f>'Données projet'!D92</f>
        <v>62</v>
      </c>
      <c r="C89" s="191">
        <v>35</v>
      </c>
      <c r="D89" s="179">
        <f t="shared" si="6"/>
        <v>2170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42</v>
      </c>
      <c r="B90" s="181">
        <f>'Données projet'!D93</f>
        <v>67</v>
      </c>
      <c r="C90" s="191">
        <v>40</v>
      </c>
      <c r="D90" s="179">
        <f t="shared" si="6"/>
        <v>2680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48</v>
      </c>
      <c r="B91" s="181">
        <f>'Données projet'!D94</f>
        <v>65</v>
      </c>
      <c r="C91" s="191">
        <v>40</v>
      </c>
      <c r="D91" s="179">
        <f t="shared" si="6"/>
        <v>2600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60</v>
      </c>
      <c r="B92" s="181">
        <f>'Données projet'!D95</f>
        <v>304</v>
      </c>
      <c r="C92" s="191">
        <v>60</v>
      </c>
      <c r="D92" s="179">
        <f t="shared" si="6"/>
        <v>18240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str">
        <f>IF(O93+1&lt;=MIN('Données projet'!$E$9:$E$18),O93+1,"STOP")</f>
        <v>STOP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>Erable sycomore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f>1600*1.65</f>
        <v>2640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10</v>
      </c>
      <c r="B116" s="181">
        <f>'Données projet'!D114</f>
        <v>7</v>
      </c>
      <c r="C116" s="191">
        <v>10</v>
      </c>
      <c r="D116" s="179">
        <f>B116*C116</f>
        <v>70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15</v>
      </c>
      <c r="B117" s="181">
        <f>'Données projet'!D115</f>
        <v>42</v>
      </c>
      <c r="C117" s="191">
        <v>10</v>
      </c>
      <c r="D117" s="179">
        <f t="shared" ref="D117:D135" si="8">B117*C117</f>
        <v>420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20</v>
      </c>
      <c r="B118" s="181">
        <f>'Données projet'!D116</f>
        <v>42</v>
      </c>
      <c r="C118" s="191">
        <v>10</v>
      </c>
      <c r="D118" s="179">
        <f t="shared" si="8"/>
        <v>420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25</v>
      </c>
      <c r="B119" s="181">
        <f>'Données projet'!D117</f>
        <v>42</v>
      </c>
      <c r="C119" s="191">
        <v>10</v>
      </c>
      <c r="D119" s="179">
        <f t="shared" si="8"/>
        <v>420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30</v>
      </c>
      <c r="B120" s="181">
        <f>'Données projet'!D118</f>
        <v>42</v>
      </c>
      <c r="C120" s="191">
        <v>10</v>
      </c>
      <c r="D120" s="179">
        <f t="shared" si="8"/>
        <v>420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35</v>
      </c>
      <c r="B121" s="181">
        <f>'Données projet'!D119</f>
        <v>42</v>
      </c>
      <c r="C121" s="191">
        <v>10</v>
      </c>
      <c r="D121" s="179">
        <f t="shared" si="8"/>
        <v>420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40</v>
      </c>
      <c r="B122" s="181">
        <f>'Données projet'!D120</f>
        <v>40</v>
      </c>
      <c r="C122" s="191">
        <v>15</v>
      </c>
      <c r="D122" s="179">
        <f t="shared" si="8"/>
        <v>600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45</v>
      </c>
      <c r="B123" s="181">
        <f>'Données projet'!D121</f>
        <v>26</v>
      </c>
      <c r="C123" s="191">
        <v>20</v>
      </c>
      <c r="D123" s="179">
        <f t="shared" si="8"/>
        <v>520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50</v>
      </c>
      <c r="B124" s="181">
        <f>'Données projet'!D122</f>
        <v>21</v>
      </c>
      <c r="C124" s="191">
        <v>20</v>
      </c>
      <c r="D124" s="179">
        <f t="shared" si="8"/>
        <v>420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55</v>
      </c>
      <c r="B125" s="181">
        <f>'Données projet'!D123</f>
        <v>18</v>
      </c>
      <c r="C125" s="191">
        <v>20</v>
      </c>
      <c r="D125" s="179">
        <f t="shared" si="8"/>
        <v>360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60</v>
      </c>
      <c r="B126" s="181">
        <f>'Données projet'!D124</f>
        <v>17</v>
      </c>
      <c r="C126" s="191">
        <v>20</v>
      </c>
      <c r="D126" s="179">
        <f t="shared" si="8"/>
        <v>340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65</v>
      </c>
      <c r="B127" s="181">
        <f>'Données projet'!D125</f>
        <v>16</v>
      </c>
      <c r="C127" s="191">
        <v>20</v>
      </c>
      <c r="D127" s="179">
        <f t="shared" si="8"/>
        <v>320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70</v>
      </c>
      <c r="B128" s="181">
        <f>'Données projet'!D126</f>
        <v>15</v>
      </c>
      <c r="C128" s="191">
        <v>30</v>
      </c>
      <c r="D128" s="179">
        <f t="shared" si="8"/>
        <v>450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75</v>
      </c>
      <c r="B129" s="181">
        <f>'Données projet'!D127</f>
        <v>14</v>
      </c>
      <c r="C129" s="191">
        <v>30</v>
      </c>
      <c r="D129" s="179">
        <f t="shared" si="8"/>
        <v>420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80</v>
      </c>
      <c r="B130" s="181">
        <f>'Données projet'!D128</f>
        <v>381</v>
      </c>
      <c r="C130" s="191">
        <v>40</v>
      </c>
      <c r="D130" s="179">
        <f t="shared" si="8"/>
        <v>15240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B4EDD96029174C893F76668C19DF97" ma:contentTypeVersion="20" ma:contentTypeDescription="Crée un document." ma:contentTypeScope="" ma:versionID="738020d6de6fffb06116fa3905ce679a">
  <xsd:schema xmlns:xsd="http://www.w3.org/2001/XMLSchema" xmlns:xs="http://www.w3.org/2001/XMLSchema" xmlns:p="http://schemas.microsoft.com/office/2006/metadata/properties" xmlns:ns2="8c1d9445-5ca3-48db-a349-49511c70e687" xmlns:ns3="1cca48d1-260d-4848-9875-be9a6e463188" targetNamespace="http://schemas.microsoft.com/office/2006/metadata/properties" ma:root="true" ma:fieldsID="8554a7bc8deafab9328aabd1d58cbebf" ns2:_="" ns3:_="">
    <xsd:import namespace="8c1d9445-5ca3-48db-a349-49511c70e687"/>
    <xsd:import namespace="1cca48d1-260d-4848-9875-be9a6e46318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Acce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1d9445-5ca3-48db-a349-49511c70e6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d7bdd42d-bd6b-4b7f-bb03-8625edd76f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Acces" ma:index="25" nillable="true" ma:displayName="Acces" ma:format="Dropdown" ma:list="UserInfo" ma:SharePointGroup="0" ma:internalName="Acce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ca48d1-260d-4848-9875-be9a6e463188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9aab27c-1ada-43c2-9a6a-e5006b256cb5}" ma:internalName="TaxCatchAll" ma:showField="CatchAllData" ma:web="1cca48d1-260d-4848-9875-be9a6e463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ces xmlns="8c1d9445-5ca3-48db-a349-49511c70e687">
      <UserInfo>
        <DisplayName/>
        <AccountId xsi:nil="true"/>
        <AccountType/>
      </UserInfo>
    </Acces>
    <lcf76f155ced4ddcb4097134ff3c332f xmlns="8c1d9445-5ca3-48db-a349-49511c70e687">
      <Terms xmlns="http://schemas.microsoft.com/office/infopath/2007/PartnerControls"/>
    </lcf76f155ced4ddcb4097134ff3c332f>
    <TaxCatchAll xmlns="1cca48d1-260d-4848-9875-be9a6e463188" xsi:nil="true"/>
  </documentManagement>
</p:properties>
</file>

<file path=customXml/itemProps1.xml><?xml version="1.0" encoding="utf-8"?>
<ds:datastoreItem xmlns:ds="http://schemas.openxmlformats.org/officeDocument/2006/customXml" ds:itemID="{4E00BB36-7D92-4BC2-B0B8-7F8871F71AD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AC8F283-886E-470A-BD8D-27CCE72F9E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1d9445-5ca3-48db-a349-49511c70e687"/>
    <ds:schemaRef ds:uri="1cca48d1-260d-4848-9875-be9a6e4631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3D4C2E9-A2B5-433E-A468-0E6FBEA54C34}">
  <ds:schemaRefs>
    <ds:schemaRef ds:uri="http://schemas.openxmlformats.org/package/2006/metadata/core-properties"/>
    <ds:schemaRef ds:uri="http://www.w3.org/XML/1998/namespace"/>
    <ds:schemaRef ds:uri="http://purl.org/dc/terms/"/>
    <ds:schemaRef ds:uri="8c1d9445-5ca3-48db-a349-49511c70e687"/>
    <ds:schemaRef ds:uri="http://purl.org/dc/elements/1.1/"/>
    <ds:schemaRef ds:uri="http://schemas.microsoft.com/office/2006/documentManagement/types"/>
    <ds:schemaRef ds:uri="1cca48d1-260d-4848-9875-be9a6e463188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Charlène Cornet</cp:lastModifiedBy>
  <dcterms:created xsi:type="dcterms:W3CDTF">2021-02-01T08:22:39Z</dcterms:created>
  <dcterms:modified xsi:type="dcterms:W3CDTF">2025-07-11T09:03:16Z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0x010100D7B4EDD96029174C893F76668C19DF97</vt:lpwstr>
  </property>
  <property fmtid="{D5CDD505-2E9C-101B-9397-08002B2CF9AE}" pid="3" name="MediaServiceImageTags">
    <vt:lpwstr/>
  </property>
</Properties>
</file>