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emili\Documents\Forêt\Atmosylva\Projets forestiers\Coudert\Meymac\Dossier définitif\"/>
    </mc:Choice>
  </mc:AlternateContent>
  <xr:revisionPtr revIDLastSave="0" documentId="8_{D4D48443-F40C-4E0D-860D-D377867B3FAF}" xr6:coauthVersionLast="47" xr6:coauthVersionMax="47" xr10:uidLastSave="{00000000-0000-0000-0000-000000000000}"/>
  <bookViews>
    <workbookView xWindow="1512" yWindow="72" windowWidth="13344" windowHeight="11916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0" i="1" l="1"/>
  <c r="B69" i="1"/>
  <c r="B68" i="1"/>
  <c r="B67" i="1"/>
  <c r="B66" i="1"/>
  <c r="B65" i="1"/>
  <c r="B64" i="1"/>
  <c r="B63" i="1"/>
  <c r="B62" i="1"/>
  <c r="C62" i="6"/>
  <c r="C61" i="6"/>
  <c r="C60" i="6"/>
  <c r="E98" i="6"/>
  <c r="E97" i="6"/>
  <c r="E96" i="6"/>
  <c r="E95" i="6"/>
  <c r="E94" i="6"/>
  <c r="E93" i="6"/>
  <c r="E92" i="6"/>
  <c r="E91" i="6"/>
  <c r="E90" i="6"/>
  <c r="E89" i="6"/>
  <c r="E88" i="6"/>
  <c r="E87" i="6"/>
  <c r="E86" i="6"/>
  <c r="E85" i="6"/>
  <c r="C98" i="6"/>
  <c r="C97" i="6"/>
  <c r="C96" i="6"/>
  <c r="C95" i="6"/>
  <c r="C94" i="6"/>
  <c r="C93" i="6"/>
  <c r="C92" i="6"/>
  <c r="C91" i="6"/>
  <c r="C90" i="6"/>
  <c r="C89" i="6"/>
  <c r="C88" i="6"/>
  <c r="C87" i="6"/>
  <c r="C86" i="6"/>
  <c r="C85" i="6"/>
  <c r="C59" i="6"/>
  <c r="C58" i="6"/>
  <c r="C57" i="6"/>
  <c r="C56" i="6"/>
  <c r="C55" i="6"/>
  <c r="C54" i="6"/>
  <c r="E29" i="6"/>
  <c r="E28" i="6"/>
  <c r="E27" i="6"/>
  <c r="E26" i="6"/>
  <c r="E25" i="6"/>
  <c r="E24" i="6"/>
  <c r="E23" i="6"/>
  <c r="C29" i="6"/>
  <c r="C28" i="6"/>
  <c r="C27" i="6"/>
  <c r="C26" i="6"/>
  <c r="C25" i="6"/>
  <c r="C24" i="6"/>
  <c r="C23" i="6"/>
  <c r="B42" i="1" l="1"/>
  <c r="B41" i="1"/>
  <c r="B40" i="1"/>
  <c r="B39" i="1"/>
  <c r="B38" i="1"/>
  <c r="B37" i="1"/>
  <c r="B36" i="1"/>
  <c r="B101" i="1" l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E55" i="6" s="1"/>
  <c r="D56" i="6"/>
  <c r="E56" i="6" s="1"/>
  <c r="D57" i="6"/>
  <c r="E57" i="6" s="1"/>
  <c r="D58" i="6"/>
  <c r="E58" i="6" s="1"/>
  <c r="D59" i="6"/>
  <c r="E59" i="6" s="1"/>
  <c r="D60" i="6"/>
  <c r="E60" i="6" s="1"/>
  <c r="D61" i="6"/>
  <c r="E61" i="6" s="1"/>
  <c r="D62" i="6"/>
  <c r="E62" i="6" s="1"/>
  <c r="D63" i="6"/>
  <c r="D64" i="6"/>
  <c r="D65" i="6"/>
  <c r="D66" i="6"/>
  <c r="D67" i="6"/>
  <c r="D68" i="6"/>
  <c r="D69" i="6"/>
  <c r="D70" i="6"/>
  <c r="D71" i="6"/>
  <c r="D72" i="6"/>
  <c r="D73" i="6"/>
  <c r="D54" i="6"/>
  <c r="E54" i="6" s="1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EA4" i="2" s="1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FR4" i="2" l="1"/>
  <c r="GL4" i="2"/>
  <c r="BR4" i="2"/>
  <c r="FQ4" i="2"/>
  <c r="BQ4" i="2"/>
  <c r="EC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FO7" i="2"/>
  <c r="FN7" i="2"/>
  <c r="DY7" i="2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B7" i="2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EV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EX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X18" i="2"/>
  <c r="EW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HG20" i="2"/>
  <c r="EV20" i="2"/>
  <c r="EW20" i="2"/>
  <c r="FS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HH21" i="2"/>
  <c r="EB21" i="2"/>
  <c r="EW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W22" i="2" l="1"/>
  <c r="EA22" i="2"/>
  <c r="EB22" i="2"/>
  <c r="EC22" i="2"/>
  <c r="HG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EW24" i="2" l="1"/>
  <c r="HH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X27" i="2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G28" i="2" l="1"/>
  <c r="EB28" i="2"/>
  <c r="EC28" i="2"/>
  <c r="HI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HI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HI30" i="2" l="1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FO33" i="2"/>
  <c r="FN33" i="2"/>
  <c r="GI33" i="2"/>
  <c r="DY33" i="2"/>
  <c r="EB33" i="2" s="1"/>
  <c r="DD33" i="2"/>
  <c r="ET33" i="2"/>
  <c r="CH33" i="2"/>
  <c r="AS33" i="2"/>
  <c r="CI33" i="2"/>
  <c r="BM33" i="2"/>
  <c r="X33" i="2"/>
  <c r="ES33" i="2"/>
  <c r="EV33" i="2" s="1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B37" i="2" s="1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EA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W38" i="2" l="1"/>
  <c r="EA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EV42" i="2" s="1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DG43" i="2"/>
  <c r="EX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EA47" i="2" s="1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G48" i="2"/>
  <c r="HH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G50" i="2"/>
  <c r="EC50" i="2"/>
  <c r="HI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X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EV57" i="2"/>
  <c r="HH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EW60" i="2" s="1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H60" i="2" l="1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EV61" i="2" s="1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A61" i="2" l="1"/>
  <c r="EX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B62" i="2" s="1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H62" i="2" l="1"/>
  <c r="EA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C63" i="2"/>
  <c r="EX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HH64" i="2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FS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G70" i="2" l="1"/>
  <c r="EW70" i="2"/>
  <c r="HI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EX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EA75" i="2" s="1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H75" i="2" l="1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EB77" i="2" s="1"/>
  <c r="X77" i="2"/>
  <c r="DC77" i="2"/>
  <c r="BN77" i="2"/>
  <c r="AR77" i="2"/>
  <c r="DX77" i="2"/>
  <c r="EA77" i="2" s="1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W78" i="2" l="1"/>
  <c r="EC78" i="2"/>
  <c r="HI78" i="2"/>
  <c r="EV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EB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G82" i="2" l="1"/>
  <c r="HH82" i="2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EW85" i="2"/>
  <c r="EV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G87" i="2" l="1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EV100" i="2" s="1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A105" i="2" l="1"/>
  <c r="EV105" i="2"/>
  <c r="FS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B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EA108" i="2" s="1"/>
  <c r="CI108" i="2"/>
  <c r="BM108" i="2"/>
  <c r="FN108" i="2"/>
  <c r="DY108" i="2"/>
  <c r="EB108" i="2" s="1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EB110" i="2" s="1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I110" i="2" l="1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HI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EW113" i="2" s="1"/>
  <c r="CH113" i="2"/>
  <c r="AS113" i="2"/>
  <c r="DY113" i="2"/>
  <c r="EB113" i="2" s="1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X113" i="2" l="1"/>
  <c r="FS113" i="2"/>
  <c r="HI113" i="2"/>
  <c r="HG113" i="2"/>
  <c r="EC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GI114" i="2"/>
  <c r="GJ114" i="2"/>
  <c r="ET114" i="2"/>
  <c r="EW114" i="2" s="1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EV116" i="2" s="1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G117" i="2" l="1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X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G119" i="2" l="1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H120" i="2" l="1"/>
  <c r="EX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EB121" i="2" s="1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FS122" i="2"/>
  <c r="HH122" i="2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G124" i="2" l="1"/>
  <c r="EX124" i="2"/>
  <c r="FS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EV127" i="2"/>
  <c r="HI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DX128" i="2"/>
  <c r="FN128" i="2"/>
  <c r="ET128" i="2"/>
  <c r="DY128" i="2"/>
  <c r="EB128" i="2" s="1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V128" i="2"/>
  <c r="FS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HH130" i="2" s="1"/>
  <c r="GI130" i="2"/>
  <c r="GJ130" i="2"/>
  <c r="ET130" i="2"/>
  <c r="EW130" i="2" s="1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HG130" i="2"/>
  <c r="EB130" i="2"/>
  <c r="EX130" i="2"/>
  <c r="FS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EC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W133" i="2" s="1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EW139" i="2" s="1"/>
  <c r="DY139" i="2"/>
  <c r="EB139" i="2" s="1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HH139" i="2" l="1"/>
  <c r="FS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EB140" i="2" s="1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EX140" i="2" s="1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S140" i="2" l="1"/>
  <c r="EC140" i="2"/>
  <c r="FR140" i="2"/>
  <c r="HH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HH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EA144" i="2" s="1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G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B145" i="2" l="1"/>
  <c r="EA145" i="2"/>
  <c r="FR145" i="2"/>
  <c r="HG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FR146" i="2" s="1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S146" i="2" l="1"/>
  <c r="HG146" i="2"/>
  <c r="EA146" i="2"/>
  <c r="HH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EW147" i="2" s="1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H149" i="2" l="1"/>
  <c r="EX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HH150" i="2" s="1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G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HH154" i="2"/>
  <c r="HG154" i="2"/>
  <c r="EX154" i="2"/>
  <c r="AA154" i="2"/>
  <c r="EV154" i="2"/>
  <c r="EY154" i="2" s="1"/>
  <c r="EC154" i="2"/>
  <c r="EA154" i="2"/>
  <c r="ED154" i="2" s="1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AC154" i="2" l="1"/>
  <c r="HH155" i="2"/>
  <c r="EA155" i="2"/>
  <c r="EW155" i="2"/>
  <c r="HG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EB156" i="2" l="1"/>
  <c r="HH156" i="2"/>
  <c r="AB156" i="2"/>
  <c r="HG156" i="2"/>
  <c r="FS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A157" i="2" l="1"/>
  <c r="EB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V158" i="2" l="1"/>
  <c r="HH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D158" i="2" l="1"/>
  <c r="EA159" i="2"/>
  <c r="HI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DG160" i="2" l="1"/>
  <c r="HG160" i="2"/>
  <c r="HI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EA161" i="2"/>
  <c r="EB161" i="2"/>
  <c r="EX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C162" i="2" l="1"/>
  <c r="EB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I163" i="2" l="1"/>
  <c r="EV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V164" i="2" l="1"/>
  <c r="HG164" i="2"/>
  <c r="EA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HH165" i="2"/>
  <c r="EA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FS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EC167" i="2" s="1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FR167" i="2" l="1"/>
  <c r="HI167" i="2"/>
  <c r="DG167" i="2"/>
  <c r="HH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H168" i="2" l="1"/>
  <c r="HI168" i="2"/>
  <c r="EW168" i="2"/>
  <c r="EV168" i="2"/>
  <c r="EC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X169" i="2" l="1"/>
  <c r="FS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B172" i="2" l="1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HH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H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W175" i="2"/>
  <c r="EA175" i="2"/>
  <c r="HI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A178" i="2" l="1"/>
  <c r="FQ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EA179" i="2" l="1"/>
  <c r="HG179" i="2"/>
  <c r="HI179" i="2"/>
  <c r="EV179" i="2"/>
  <c r="DF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X180" i="2" l="1"/>
  <c r="HI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DG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B183" i="2" l="1"/>
  <c r="EA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V185" i="2" l="1"/>
  <c r="EB185" i="2"/>
  <c r="EW185" i="2"/>
  <c r="HI185" i="2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B186" i="2" l="1"/>
  <c r="FS186" i="2"/>
  <c r="EW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I187" i="2" l="1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HH189" i="2" l="1"/>
  <c r="AA189" i="2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W190" i="2" l="1"/>
  <c r="HH190" i="2"/>
  <c r="EB190" i="2"/>
  <c r="EV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EC191" i="2" l="1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EA192" i="2" s="1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I192" i="2" l="1"/>
  <c r="EW192" i="2"/>
  <c r="EC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A193" i="2" s="1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HI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DY195" i="2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EB195" i="2" l="1"/>
  <c r="AA195" i="2"/>
  <c r="FQ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HH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C197" i="2" l="1"/>
  <c r="EW197" i="2"/>
  <c r="EA197" i="2"/>
  <c r="A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FS199" i="2" l="1"/>
  <c r="EW199" i="2"/>
  <c r="EB199" i="2"/>
  <c r="EA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AH5" i="2" s="1" a="1"/>
  <c r="AH5" i="2" s="1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EI4" i="2" a="1"/>
  <c r="EI4" i="2" s="1"/>
  <c r="EJ4" i="2" s="1"/>
  <c r="AX198" i="2"/>
  <c r="EY200" i="2"/>
  <c r="ED200" i="2"/>
  <c r="DI200" i="2"/>
  <c r="FS201" i="2" l="1"/>
  <c r="EB201" i="2"/>
  <c r="HG201" i="2"/>
  <c r="HH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HI202" i="2" l="1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54" i="2" a="1"/>
  <c r="FY54" i="2" s="1"/>
  <c r="FY57" i="2" a="1"/>
  <c r="FY57" i="2" s="1"/>
  <c r="FY18" i="2" a="1"/>
  <c r="FY18" i="2" s="1"/>
  <c r="FY71" i="2" a="1"/>
  <c r="FY71" i="2" s="1"/>
  <c r="FY120" i="2" a="1"/>
  <c r="FY120" i="2" s="1"/>
  <c r="FY186" i="2" a="1"/>
  <c r="FY186" i="2" s="1"/>
  <c r="FY152" i="2" a="1"/>
  <c r="FY152" i="2" s="1"/>
  <c r="FY73" i="2" a="1"/>
  <c r="FY73" i="2" s="1"/>
  <c r="FY55" i="2" a="1"/>
  <c r="FY55" i="2" s="1"/>
  <c r="FY178" i="2" a="1"/>
  <c r="FY178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42" i="2" a="1"/>
  <c r="EI142" i="2" s="1"/>
  <c r="DN152" i="2" a="1"/>
  <c r="DN152" i="2" s="1"/>
  <c r="DN184" i="2" a="1"/>
  <c r="DN184" i="2" s="1"/>
  <c r="DN66" i="2" a="1"/>
  <c r="DN66" i="2" s="1"/>
  <c r="DN192" i="2" a="1"/>
  <c r="DN192" i="2" s="1"/>
  <c r="CS77" i="2" a="1"/>
  <c r="CS77" i="2" s="1"/>
  <c r="AH90" i="2" a="1"/>
  <c r="AH90" i="2" s="1"/>
  <c r="AH19" i="2" a="1"/>
  <c r="AH19" i="2" s="1"/>
  <c r="AH166" i="2" a="1"/>
  <c r="AH166" i="2" s="1"/>
  <c r="CS38" i="2" a="1"/>
  <c r="CS38" i="2" s="1"/>
  <c r="FY182" i="2" a="1"/>
  <c r="FY182" i="2" s="1"/>
  <c r="FY82" i="2" a="1"/>
  <c r="FY82" i="2" s="1"/>
  <c r="FY196" i="2" a="1"/>
  <c r="FY196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32" i="2" a="1"/>
  <c r="BC32" i="2" s="1"/>
  <c r="BC84" i="2" a="1"/>
  <c r="BC84" i="2" s="1"/>
  <c r="BC185" i="2" a="1"/>
  <c r="BC185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165" i="2" a="1"/>
  <c r="EI165" i="2" s="1"/>
  <c r="DN168" i="2" a="1"/>
  <c r="DN168" i="2" s="1"/>
  <c r="CS185" i="2" a="1"/>
  <c r="CS185" i="2" s="1"/>
  <c r="DN31" i="2" a="1"/>
  <c r="DN31" i="2" s="1"/>
  <c r="DN110" i="2" a="1"/>
  <c r="DN110" i="2" s="1"/>
  <c r="DN6" i="2" a="1"/>
  <c r="DN6" i="2" s="1"/>
  <c r="DO6" i="2" s="1"/>
  <c r="CS24" i="2" a="1"/>
  <c r="CS24" i="2" s="1"/>
  <c r="CS134" i="2" a="1"/>
  <c r="CS134" i="2" s="1"/>
  <c r="FD82" i="2" a="1"/>
  <c r="FD82" i="2" s="1"/>
  <c r="HJ202" i="2"/>
  <c r="EY202" i="2"/>
  <c r="AX200" i="2"/>
  <c r="AH92" i="2" l="1" a="1"/>
  <c r="AH92" i="2" s="1"/>
  <c r="BC38" i="2" a="1"/>
  <c r="BC38" i="2" s="1"/>
  <c r="BC83" i="2" a="1"/>
  <c r="BC83" i="2" s="1"/>
  <c r="BC7" i="2" a="1"/>
  <c r="BC7" i="2" s="1"/>
  <c r="BC18" i="2" a="1"/>
  <c r="BC18" i="2" s="1"/>
  <c r="BC151" i="2" a="1"/>
  <c r="BC151" i="2" s="1"/>
  <c r="BP203" i="2"/>
  <c r="BC181" i="2" a="1"/>
  <c r="BC181" i="2" s="1"/>
  <c r="BC143" i="2" a="1"/>
  <c r="BC143" i="2" s="1"/>
  <c r="BC31" i="2" a="1"/>
  <c r="BC31" i="2" s="1"/>
  <c r="BC164" i="2" a="1"/>
  <c r="BC164" i="2" s="1"/>
  <c r="BC114" i="2" a="1"/>
  <c r="BC114" i="2" s="1"/>
  <c r="BC192" i="2" a="1"/>
  <c r="BC192" i="2" s="1"/>
  <c r="BC82" i="2" a="1"/>
  <c r="BC82" i="2" s="1"/>
  <c r="BC117" i="2" a="1"/>
  <c r="BC117" i="2" s="1"/>
  <c r="BC47" i="2" a="1"/>
  <c r="BC47" i="2" s="1"/>
  <c r="BC65" i="2" a="1"/>
  <c r="BC65" i="2" s="1"/>
  <c r="BC68" i="2" a="1"/>
  <c r="BC68" i="2" s="1"/>
  <c r="BC58" i="2" a="1"/>
  <c r="BC58" i="2" s="1"/>
  <c r="BC126" i="2" a="1"/>
  <c r="BC126" i="2" s="1"/>
  <c r="AH151" i="2" a="1"/>
  <c r="AH151" i="2" s="1"/>
  <c r="DN167" i="2" a="1"/>
  <c r="DN167" i="2" s="1"/>
  <c r="DN188" i="2" a="1"/>
  <c r="DN188" i="2" s="1"/>
  <c r="DN30" i="2" a="1"/>
  <c r="DN30" i="2" s="1"/>
  <c r="FY115" i="2" a="1"/>
  <c r="FY115" i="2" s="1"/>
  <c r="FY133" i="2" a="1"/>
  <c r="FY133" i="2" s="1"/>
  <c r="EI139" i="2" a="1"/>
  <c r="EI139" i="2" s="1"/>
  <c r="EI150" i="2" a="1"/>
  <c r="EI150" i="2" s="1"/>
  <c r="FY188" i="2" a="1"/>
  <c r="FY188" i="2" s="1"/>
  <c r="EI109" i="2" a="1"/>
  <c r="EI109" i="2" s="1"/>
  <c r="EI29" i="2" a="1"/>
  <c r="EI29" i="2" s="1"/>
  <c r="FY47" i="2" a="1"/>
  <c r="FY47" i="2" s="1"/>
  <c r="EI170" i="2" a="1"/>
  <c r="EI170" i="2" s="1"/>
  <c r="DN153" i="2" a="1"/>
  <c r="DN153" i="2" s="1"/>
  <c r="FY24" i="2" a="1"/>
  <c r="FY24" i="2" s="1"/>
  <c r="DN187" i="2" a="1"/>
  <c r="DN187" i="2" s="1"/>
  <c r="DN190" i="2" a="1"/>
  <c r="DN190" i="2" s="1"/>
  <c r="DN135" i="2" a="1"/>
  <c r="DN135" i="2" s="1"/>
  <c r="EI16" i="2" a="1"/>
  <c r="EI16" i="2" s="1"/>
  <c r="FY167" i="2" a="1"/>
  <c r="FY167" i="2" s="1"/>
  <c r="CS105" i="2" a="1"/>
  <c r="CS105" i="2" s="1"/>
  <c r="CS137" i="2" a="1"/>
  <c r="CS137" i="2" s="1"/>
  <c r="DN170" i="2" a="1"/>
  <c r="DN170" i="2" s="1"/>
  <c r="CS129" i="2" a="1"/>
  <c r="CS129" i="2" s="1"/>
  <c r="EI153" i="2" a="1"/>
  <c r="EI153" i="2" s="1"/>
  <c r="FY124" i="2" a="1"/>
  <c r="FY124" i="2" s="1"/>
  <c r="FY174" i="2" a="1"/>
  <c r="FY174" i="2" s="1"/>
  <c r="FY110" i="2" a="1"/>
  <c r="FY110" i="2" s="1"/>
  <c r="FY165" i="2" a="1"/>
  <c r="FY165" i="2" s="1"/>
  <c r="EI145" i="2" a="1"/>
  <c r="EI145" i="2" s="1"/>
  <c r="DN41" i="2" a="1"/>
  <c r="DN41" i="2" s="1"/>
  <c r="FY173" i="2" a="1"/>
  <c r="FY173" i="2" s="1"/>
  <c r="EI87" i="2" a="1"/>
  <c r="EI87" i="2" s="1"/>
  <c r="DN43" i="2" a="1"/>
  <c r="DN43" i="2" s="1"/>
  <c r="FY140" i="2" a="1"/>
  <c r="FY140" i="2" s="1"/>
  <c r="EI67" i="2" a="1"/>
  <c r="EI67" i="2" s="1"/>
  <c r="DN186" i="2" a="1"/>
  <c r="DN186" i="2" s="1"/>
  <c r="FY28" i="2" a="1"/>
  <c r="FY28" i="2" s="1"/>
  <c r="FY121" i="2" a="1"/>
  <c r="FY121" i="2" s="1"/>
  <c r="FY142" i="2" a="1"/>
  <c r="FY142" i="2" s="1"/>
  <c r="CS161" i="2" a="1"/>
  <c r="CS161" i="2" s="1"/>
  <c r="DN123" i="2" a="1"/>
  <c r="DN123" i="2" s="1"/>
  <c r="DN129" i="2" a="1"/>
  <c r="DN129" i="2" s="1"/>
  <c r="CS52" i="2" a="1"/>
  <c r="CS52" i="2" s="1"/>
  <c r="EI166" i="2" a="1"/>
  <c r="EI166" i="2" s="1"/>
  <c r="FY169" i="2" a="1"/>
  <c r="FY169" i="2" s="1"/>
  <c r="FY99" i="2" a="1"/>
  <c r="FY99" i="2" s="1"/>
  <c r="FY153" i="2" a="1"/>
  <c r="FY153" i="2" s="1"/>
  <c r="FY146" i="2" a="1"/>
  <c r="FY146" i="2" s="1"/>
  <c r="EI71" i="2" a="1"/>
  <c r="EI71" i="2" s="1"/>
  <c r="EI57" i="2" a="1"/>
  <c r="EI57" i="2" s="1"/>
  <c r="EI36" i="2" a="1"/>
  <c r="EI36" i="2" s="1"/>
  <c r="DN86" i="2" a="1"/>
  <c r="DN86" i="2" s="1"/>
  <c r="FY34" i="2" a="1"/>
  <c r="FY34" i="2" s="1"/>
  <c r="DN114" i="2" a="1"/>
  <c r="DN114" i="2" s="1"/>
  <c r="FY164" i="2" a="1"/>
  <c r="FY164" i="2" s="1"/>
  <c r="DN115" i="2" a="1"/>
  <c r="DN115" i="2" s="1"/>
  <c r="FY149" i="2" a="1"/>
  <c r="FY149" i="2" s="1"/>
  <c r="EI38" i="2" a="1"/>
  <c r="EI38" i="2" s="1"/>
  <c r="EI106" i="2" a="1"/>
  <c r="EI106" i="2" s="1"/>
  <c r="FY35" i="2" a="1"/>
  <c r="FY35" i="2" s="1"/>
  <c r="DN38" i="2" a="1"/>
  <c r="DN38" i="2" s="1"/>
  <c r="BX107" i="2" a="1"/>
  <c r="BX107" i="2" s="1"/>
  <c r="DN65" i="2" a="1"/>
  <c r="DN65" i="2" s="1"/>
  <c r="CS114" i="2" a="1"/>
  <c r="CS114" i="2" s="1"/>
  <c r="EI128" i="2" a="1"/>
  <c r="EI128" i="2" s="1"/>
  <c r="CS120" i="2" a="1"/>
  <c r="CS120" i="2" s="1"/>
  <c r="FY80" i="2" a="1"/>
  <c r="FY80" i="2" s="1"/>
  <c r="AH163" i="2" a="1"/>
  <c r="AH163" i="2" s="1"/>
  <c r="EI195" i="2" a="1"/>
  <c r="EI195" i="2" s="1"/>
  <c r="DN50" i="2" a="1"/>
  <c r="DN50" i="2" s="1"/>
  <c r="DN124" i="2" a="1"/>
  <c r="DN124" i="2" s="1"/>
  <c r="EI198" i="2" a="1"/>
  <c r="EI198" i="2" s="1"/>
  <c r="FY62" i="2" a="1"/>
  <c r="FY62" i="2" s="1"/>
  <c r="FY116" i="2" a="1"/>
  <c r="FY116" i="2" s="1"/>
  <c r="FY102" i="2" a="1"/>
  <c r="FY102" i="2" s="1"/>
  <c r="FY32" i="2" a="1"/>
  <c r="FY32" i="2" s="1"/>
  <c r="FS203" i="2"/>
  <c r="EI178" i="2" a="1"/>
  <c r="EI178" i="2" s="1"/>
  <c r="DN132" i="2" a="1"/>
  <c r="DN132" i="2" s="1"/>
  <c r="EI35" i="2" a="1"/>
  <c r="EI35" i="2" s="1"/>
  <c r="EI162" i="2" a="1"/>
  <c r="EI162" i="2" s="1"/>
  <c r="FY126" i="2" a="1"/>
  <c r="FY126" i="2" s="1"/>
  <c r="DN46" i="2" a="1"/>
  <c r="DN46" i="2" s="1"/>
  <c r="FY86" i="2" a="1"/>
  <c r="FY86" i="2" s="1"/>
  <c r="FY159" i="2" a="1"/>
  <c r="FY159" i="2" s="1"/>
  <c r="DN49" i="2" a="1"/>
  <c r="DN49" i="2" s="1"/>
  <c r="FY58" i="2" a="1"/>
  <c r="FY58" i="2" s="1"/>
  <c r="FY143" i="2" a="1"/>
  <c r="FY143" i="2" s="1"/>
  <c r="DN176" i="2" a="1"/>
  <c r="DN176" i="2" s="1"/>
  <c r="DN137" i="2" a="1"/>
  <c r="DN137" i="2" s="1"/>
  <c r="FY78" i="2" a="1"/>
  <c r="FY78" i="2" s="1"/>
  <c r="FY191" i="2" a="1"/>
  <c r="FY191" i="2" s="1"/>
  <c r="EI113" i="2" a="1"/>
  <c r="EI113" i="2" s="1"/>
  <c r="DN70" i="2" a="1"/>
  <c r="DN70" i="2" s="1"/>
  <c r="CS56" i="2" a="1"/>
  <c r="CS56" i="2" s="1"/>
  <c r="EI20" i="2" a="1"/>
  <c r="EI20" i="2" s="1"/>
  <c r="DN63" i="2" a="1"/>
  <c r="DN63" i="2" s="1"/>
  <c r="FY30" i="2" a="1"/>
  <c r="FY30" i="2" s="1"/>
  <c r="AH62" i="2" a="1"/>
  <c r="AH62" i="2" s="1"/>
  <c r="CS116" i="2" a="1"/>
  <c r="CS116" i="2" s="1"/>
  <c r="DN113" i="2" a="1"/>
  <c r="DN113" i="2" s="1"/>
  <c r="CS66" i="2" a="1"/>
  <c r="CS66" i="2" s="1"/>
  <c r="FY190" i="2" a="1"/>
  <c r="FY190" i="2" s="1"/>
  <c r="FY92" i="2" a="1"/>
  <c r="FY92" i="2" s="1"/>
  <c r="FY69" i="2" a="1"/>
  <c r="FY69" i="2" s="1"/>
  <c r="FY22" i="2" a="1"/>
  <c r="FY22" i="2" s="1"/>
  <c r="EI37" i="2" a="1"/>
  <c r="EI37" i="2" s="1"/>
  <c r="DN29" i="2" a="1"/>
  <c r="DN29" i="2" s="1"/>
  <c r="DN16" i="2" a="1"/>
  <c r="DN16" i="2" s="1"/>
  <c r="FY109" i="2" a="1"/>
  <c r="FY109" i="2" s="1"/>
  <c r="DN162" i="2" a="1"/>
  <c r="DN162" i="2" s="1"/>
  <c r="DN177" i="2" a="1"/>
  <c r="DN177" i="2" s="1"/>
  <c r="FY79" i="2" a="1"/>
  <c r="FY79" i="2" s="1"/>
  <c r="DN103" i="2" a="1"/>
  <c r="DN103" i="2" s="1"/>
  <c r="FY29" i="2" a="1"/>
  <c r="FY29" i="2" s="1"/>
  <c r="DN164" i="2" a="1"/>
  <c r="DN164" i="2" s="1"/>
  <c r="DN133" i="2" a="1"/>
  <c r="DN133" i="2" s="1"/>
  <c r="CS72" i="2" a="1"/>
  <c r="CS72" i="2" s="1"/>
  <c r="DN45" i="2" a="1"/>
  <c r="DN45" i="2" s="1"/>
  <c r="DN55" i="2" a="1"/>
  <c r="DN55" i="2" s="1"/>
  <c r="DN80" i="2" a="1"/>
  <c r="DN80" i="2" s="1"/>
  <c r="EI34" i="2" a="1"/>
  <c r="EI34" i="2" s="1"/>
  <c r="FY42" i="2" a="1"/>
  <c r="FY42" i="2" s="1"/>
  <c r="AH199" i="2" a="1"/>
  <c r="AH199" i="2" s="1"/>
  <c r="DN150" i="2" a="1"/>
  <c r="DN150" i="2" s="1"/>
  <c r="DN25" i="2" a="1"/>
  <c r="DN25" i="2" s="1"/>
  <c r="DN155" i="2" a="1"/>
  <c r="DN155" i="2" s="1"/>
  <c r="DN56" i="2" a="1"/>
  <c r="DN56" i="2" s="1"/>
  <c r="FY72" i="2" a="1"/>
  <c r="FY72" i="2" s="1"/>
  <c r="FY111" i="2" a="1"/>
  <c r="FY111" i="2" s="1"/>
  <c r="FY66" i="2" a="1"/>
  <c r="FY66" i="2" s="1"/>
  <c r="FY90" i="2" a="1"/>
  <c r="FY90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Z8" i="2" s="1"/>
  <c r="FZ9" i="2" s="1"/>
  <c r="FZ10" i="2" s="1"/>
  <c r="FZ11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2" i="2" l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<sst xmlns="http://schemas.openxmlformats.org/spreadsheetml/2006/main" count="1172" uniqueCount="324">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</sst>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2.1945334830750061</c:v>
                </c:pt>
                <c:pt idx="2">
                  <c:v>2.9812462923042502</c:v>
                </c:pt>
                <c:pt idx="3">
                  <c:v>4.0511760336466676</c:v>
                </c:pt>
                <c:pt idx="4">
                  <c:v>5.5066843169009383</c:v>
                </c:pt>
                <c:pt idx="5">
                  <c:v>7.487264918960034</c:v>
                </c:pt>
                <c:pt idx="6">
                  <c:v>10.183059425173994</c:v>
                </c:pt>
                <c:pt idx="7">
                  <c:v>13.853307723771346</c:v>
                </c:pt>
                <c:pt idx="8">
                  <c:v>18.851540292087645</c:v>
                </c:pt>
                <c:pt idx="9">
                  <c:v>25.65998254227685</c:v>
                </c:pt>
                <c:pt idx="10">
                  <c:v>34.936548896823318</c:v>
                </c:pt>
                <c:pt idx="11">
                  <c:v>47.579045735139395</c:v>
                </c:pt>
                <c:pt idx="12">
                  <c:v>64.812901130910745</c:v>
                </c:pt>
                <c:pt idx="13">
                  <c:v>88.311064170224938</c:v>
                </c:pt>
                <c:pt idx="14">
                  <c:v>120.35789879229338</c:v>
                </c:pt>
                <c:pt idx="15">
                  <c:v>164.07325323089393</c:v>
                </c:pt>
                <c:pt idx="16">
                  <c:v>155.48549620735272</c:v>
                </c:pt>
                <c:pt idx="17">
                  <c:v>175.35684862651081</c:v>
                </c:pt>
                <c:pt idx="18">
                  <c:v>195.17530334919044</c:v>
                </c:pt>
                <c:pt idx="19">
                  <c:v>181.21750358375527</c:v>
                </c:pt>
                <c:pt idx="20">
                  <c:v>201.02156505287567</c:v>
                </c:pt>
                <c:pt idx="21">
                  <c:v>220.78041772031702</c:v>
                </c:pt>
                <c:pt idx="22">
                  <c:v>200.34719992602609</c:v>
                </c:pt>
                <c:pt idx="23">
                  <c:v>220.33181945347039</c:v>
                </c:pt>
                <c:pt idx="24">
                  <c:v>240.27481916657874</c:v>
                </c:pt>
                <c:pt idx="25">
                  <c:v>260.18013918731202</c:v>
                </c:pt>
                <c:pt idx="26">
                  <c:v>280.05106716152363</c:v>
                </c:pt>
                <c:pt idx="27">
                  <c:v>299.89038593700792</c:v>
                </c:pt>
                <c:pt idx="28">
                  <c:v>250.56744586737625</c:v>
                </c:pt>
                <c:pt idx="29">
                  <c:v>269.56153594682706</c:v>
                </c:pt>
                <c:pt idx="30">
                  <c:v>288.52550750272945</c:v>
                </c:pt>
                <c:pt idx="31">
                  <c:v>307.46161813662519</c:v>
                </c:pt>
                <c:pt idx="32">
                  <c:v>326.37182464400212</c:v>
                </c:pt>
                <c:pt idx="33">
                  <c:v>345.25783856692897</c:v>
                </c:pt>
                <c:pt idx="34">
                  <c:v>278.04312704494652</c:v>
                </c:pt>
                <c:pt idx="35">
                  <c:v>294.9890901383942</c:v>
                </c:pt>
                <c:pt idx="36">
                  <c:v>311.91334190386976</c:v>
                </c:pt>
                <c:pt idx="37">
                  <c:v>328.81722600135237</c:v>
                </c:pt>
                <c:pt idx="38">
                  <c:v>345.70193666455344</c:v>
                </c:pt>
                <c:pt idx="39">
                  <c:v>362.56854195764782</c:v>
                </c:pt>
                <c:pt idx="40">
                  <c:v>287.85667749117101</c:v>
                </c:pt>
                <c:pt idx="41">
                  <c:v>302.56306586704613</c:v>
                </c:pt>
                <c:pt idx="42">
                  <c:v>317.25355162035771</c:v>
                </c:pt>
                <c:pt idx="43">
                  <c:v>331.92897484605152</c:v>
                </c:pt>
                <c:pt idx="44">
                  <c:v>346.59009528166479</c:v>
                </c:pt>
                <c:pt idx="45">
                  <c:v>361.2376031393249</c:v>
                </c:pt>
                <c:pt idx="46">
                  <c:v>271.79410793232597</c:v>
                </c:pt>
                <c:pt idx="47">
                  <c:v>271.79410793232597</c:v>
                </c:pt>
                <c:pt idx="48">
                  <c:v>271.79410793232597</c:v>
                </c:pt>
                <c:pt idx="49">
                  <c:v>271.79410793232597</c:v>
                </c:pt>
                <c:pt idx="50">
                  <c:v>271.79410793232597</c:v>
                </c:pt>
                <c:pt idx="51">
                  <c:v>271.79410793232597</c:v>
                </c:pt>
                <c:pt idx="52">
                  <c:v>271.79410793232597</c:v>
                </c:pt>
                <c:pt idx="53">
                  <c:v>271.79410793232597</c:v>
                </c:pt>
                <c:pt idx="54">
                  <c:v>271.79410793232597</c:v>
                </c:pt>
                <c:pt idx="55">
                  <c:v>271.79410793232597</c:v>
                </c:pt>
                <c:pt idx="56">
                  <c:v>271.79410793232597</c:v>
                </c:pt>
                <c:pt idx="57">
                  <c:v>271.79410793232597</c:v>
                </c:pt>
                <c:pt idx="58">
                  <c:v>271.79410793232597</c:v>
                </c:pt>
                <c:pt idx="59">
                  <c:v>271.79410793232597</c:v>
                </c:pt>
                <c:pt idx="60">
                  <c:v>271.79410793232597</c:v>
                </c:pt>
                <c:pt idx="61">
                  <c:v>271.79410793232597</c:v>
                </c:pt>
                <c:pt idx="62">
                  <c:v>271.79410793232597</c:v>
                </c:pt>
                <c:pt idx="63">
                  <c:v>271.79410793232597</c:v>
                </c:pt>
                <c:pt idx="64">
                  <c:v>271.79410793232597</c:v>
                </c:pt>
                <c:pt idx="65">
                  <c:v>271.79410793232597</c:v>
                </c:pt>
                <c:pt idx="66">
                  <c:v>271.79410793232597</c:v>
                </c:pt>
                <c:pt idx="67">
                  <c:v>271.79410793232597</c:v>
                </c:pt>
                <c:pt idx="68">
                  <c:v>271.79410793232597</c:v>
                </c:pt>
                <c:pt idx="69">
                  <c:v>271.79410793232597</c:v>
                </c:pt>
                <c:pt idx="70">
                  <c:v>271.79410793232597</c:v>
                </c:pt>
                <c:pt idx="71">
                  <c:v>271.79410793232597</c:v>
                </c:pt>
                <c:pt idx="72">
                  <c:v>271.79410793232597</c:v>
                </c:pt>
                <c:pt idx="73">
                  <c:v>271.79410793232597</c:v>
                </c:pt>
                <c:pt idx="74">
                  <c:v>271.79410793232597</c:v>
                </c:pt>
                <c:pt idx="75">
                  <c:v>271.79410793232597</c:v>
                </c:pt>
                <c:pt idx="76">
                  <c:v>271.79410793232597</c:v>
                </c:pt>
                <c:pt idx="77">
                  <c:v>271.79410793232597</c:v>
                </c:pt>
                <c:pt idx="78">
                  <c:v>271.79410793232597</c:v>
                </c:pt>
                <c:pt idx="79">
                  <c:v>271.79410793232597</c:v>
                </c:pt>
                <c:pt idx="80">
                  <c:v>271.79410793232597</c:v>
                </c:pt>
                <c:pt idx="81">
                  <c:v>271.79410793232597</c:v>
                </c:pt>
                <c:pt idx="82">
                  <c:v>271.79410793232597</c:v>
                </c:pt>
                <c:pt idx="83">
                  <c:v>271.79410793232597</c:v>
                </c:pt>
                <c:pt idx="84">
                  <c:v>271.79410793232597</c:v>
                </c:pt>
                <c:pt idx="85">
                  <c:v>271.79410793232597</c:v>
                </c:pt>
                <c:pt idx="86">
                  <c:v>271.79410793232597</c:v>
                </c:pt>
                <c:pt idx="87">
                  <c:v>271.79410793232597</c:v>
                </c:pt>
                <c:pt idx="88">
                  <c:v>271.79410793232597</c:v>
                </c:pt>
                <c:pt idx="89">
                  <c:v>271.79410793232597</c:v>
                </c:pt>
                <c:pt idx="90">
                  <c:v>271.79410793232597</c:v>
                </c:pt>
                <c:pt idx="91">
                  <c:v>271.79410793232597</c:v>
                </c:pt>
                <c:pt idx="92">
                  <c:v>271.79410793232597</c:v>
                </c:pt>
                <c:pt idx="93">
                  <c:v>271.79410793232597</c:v>
                </c:pt>
                <c:pt idx="94">
                  <c:v>271.79410793232597</c:v>
                </c:pt>
                <c:pt idx="95">
                  <c:v>271.79410793232597</c:v>
                </c:pt>
                <c:pt idx="96">
                  <c:v>271.79410793232597</c:v>
                </c:pt>
                <c:pt idx="97">
                  <c:v>271.79410793232597</c:v>
                </c:pt>
                <c:pt idx="98">
                  <c:v>271.79410793232597</c:v>
                </c:pt>
                <c:pt idx="99">
                  <c:v>271.79410793232597</c:v>
                </c:pt>
                <c:pt idx="100">
                  <c:v>271.79410793232597</c:v>
                </c:pt>
                <c:pt idx="101">
                  <c:v>271.79410793232597</c:v>
                </c:pt>
                <c:pt idx="102">
                  <c:v>271.79410793232597</c:v>
                </c:pt>
                <c:pt idx="103">
                  <c:v>271.79410793232597</c:v>
                </c:pt>
                <c:pt idx="104">
                  <c:v>271.79410793232597</c:v>
                </c:pt>
                <c:pt idx="105">
                  <c:v>271.79410793232597</c:v>
                </c:pt>
                <c:pt idx="106">
                  <c:v>271.79410793232597</c:v>
                </c:pt>
                <c:pt idx="107">
                  <c:v>271.79410793232597</c:v>
                </c:pt>
                <c:pt idx="108">
                  <c:v>271.79410793232597</c:v>
                </c:pt>
                <c:pt idx="109">
                  <c:v>271.79410793232597</c:v>
                </c:pt>
                <c:pt idx="110">
                  <c:v>271.79410793232597</c:v>
                </c:pt>
                <c:pt idx="111">
                  <c:v>271.79410793232597</c:v>
                </c:pt>
                <c:pt idx="112">
                  <c:v>271.79410793232597</c:v>
                </c:pt>
                <c:pt idx="113">
                  <c:v>271.79410793232597</c:v>
                </c:pt>
                <c:pt idx="114">
                  <c:v>271.79410793232597</c:v>
                </c:pt>
                <c:pt idx="115">
                  <c:v>271.79410793232597</c:v>
                </c:pt>
                <c:pt idx="116">
                  <c:v>271.79410793232597</c:v>
                </c:pt>
                <c:pt idx="117">
                  <c:v>271.79410793232597</c:v>
                </c:pt>
                <c:pt idx="118">
                  <c:v>271.79410793232597</c:v>
                </c:pt>
                <c:pt idx="119">
                  <c:v>271.79410793232597</c:v>
                </c:pt>
                <c:pt idx="120">
                  <c:v>271.79410793232597</c:v>
                </c:pt>
                <c:pt idx="121">
                  <c:v>271.79410793232597</c:v>
                </c:pt>
                <c:pt idx="122">
                  <c:v>271.79410793232597</c:v>
                </c:pt>
                <c:pt idx="123">
                  <c:v>271.79410793232597</c:v>
                </c:pt>
                <c:pt idx="124">
                  <c:v>271.79410793232597</c:v>
                </c:pt>
                <c:pt idx="125">
                  <c:v>271.79410793232597</c:v>
                </c:pt>
                <c:pt idx="126">
                  <c:v>271.79410793232597</c:v>
                </c:pt>
                <c:pt idx="127">
                  <c:v>271.79410793232597</c:v>
                </c:pt>
                <c:pt idx="128">
                  <c:v>271.79410793232597</c:v>
                </c:pt>
                <c:pt idx="129">
                  <c:v>271.79410793232597</c:v>
                </c:pt>
                <c:pt idx="130">
                  <c:v>271.79410793232597</c:v>
                </c:pt>
                <c:pt idx="131">
                  <c:v>271.79410793232597</c:v>
                </c:pt>
                <c:pt idx="132">
                  <c:v>271.79410793232597</c:v>
                </c:pt>
                <c:pt idx="133">
                  <c:v>271.79410793232597</c:v>
                </c:pt>
                <c:pt idx="134">
                  <c:v>271.79410793232597</c:v>
                </c:pt>
                <c:pt idx="135">
                  <c:v>271.79410793232597</c:v>
                </c:pt>
                <c:pt idx="136">
                  <c:v>271.79410793232597</c:v>
                </c:pt>
                <c:pt idx="137">
                  <c:v>271.79410793232597</c:v>
                </c:pt>
                <c:pt idx="138">
                  <c:v>271.79410793232597</c:v>
                </c:pt>
                <c:pt idx="139">
                  <c:v>271.79410793232597</c:v>
                </c:pt>
                <c:pt idx="140">
                  <c:v>271.79410793232597</c:v>
                </c:pt>
                <c:pt idx="141">
                  <c:v>271.79410793232597</c:v>
                </c:pt>
                <c:pt idx="142">
                  <c:v>271.79410793232597</c:v>
                </c:pt>
                <c:pt idx="143">
                  <c:v>271.79410793232597</c:v>
                </c:pt>
                <c:pt idx="144">
                  <c:v>271.79410793232597</c:v>
                </c:pt>
                <c:pt idx="145">
                  <c:v>271.79410793232597</c:v>
                </c:pt>
                <c:pt idx="146">
                  <c:v>271.79410793232597</c:v>
                </c:pt>
                <c:pt idx="147">
                  <c:v>271.79410793232597</c:v>
                </c:pt>
                <c:pt idx="148">
                  <c:v>271.79410793232597</c:v>
                </c:pt>
                <c:pt idx="149">
                  <c:v>271.79410793232597</c:v>
                </c:pt>
                <c:pt idx="150">
                  <c:v>271.79410793232597</c:v>
                </c:pt>
                <c:pt idx="151">
                  <c:v>271.79410793232597</c:v>
                </c:pt>
                <c:pt idx="152">
                  <c:v>271.79410793232597</c:v>
                </c:pt>
                <c:pt idx="153">
                  <c:v>271.79410793232597</c:v>
                </c:pt>
                <c:pt idx="154">
                  <c:v>271.79410793232597</c:v>
                </c:pt>
                <c:pt idx="155">
                  <c:v>271.79410793232597</c:v>
                </c:pt>
                <c:pt idx="156">
                  <c:v>271.79410793232597</c:v>
                </c:pt>
                <c:pt idx="157">
                  <c:v>271.79410793232597</c:v>
                </c:pt>
                <c:pt idx="158">
                  <c:v>271.79410793232597</c:v>
                </c:pt>
                <c:pt idx="159">
                  <c:v>271.79410793232597</c:v>
                </c:pt>
                <c:pt idx="160">
                  <c:v>271.79410793232597</c:v>
                </c:pt>
                <c:pt idx="161">
                  <c:v>271.79410793232597</c:v>
                </c:pt>
                <c:pt idx="162">
                  <c:v>271.79410793232597</c:v>
                </c:pt>
                <c:pt idx="163">
                  <c:v>271.79410793232597</c:v>
                </c:pt>
                <c:pt idx="164">
                  <c:v>271.79410793232597</c:v>
                </c:pt>
                <c:pt idx="165">
                  <c:v>271.79410793232597</c:v>
                </c:pt>
                <c:pt idx="166">
                  <c:v>271.79410793232597</c:v>
                </c:pt>
                <c:pt idx="167">
                  <c:v>271.79410793232597</c:v>
                </c:pt>
                <c:pt idx="168">
                  <c:v>271.79410793232597</c:v>
                </c:pt>
                <c:pt idx="169">
                  <c:v>271.79410793232597</c:v>
                </c:pt>
                <c:pt idx="170">
                  <c:v>271.79410793232597</c:v>
                </c:pt>
                <c:pt idx="171">
                  <c:v>271.79410793232597</c:v>
                </c:pt>
                <c:pt idx="172">
                  <c:v>271.79410793232597</c:v>
                </c:pt>
                <c:pt idx="173">
                  <c:v>271.79410793232597</c:v>
                </c:pt>
                <c:pt idx="174">
                  <c:v>271.79410793232597</c:v>
                </c:pt>
                <c:pt idx="175">
                  <c:v>271.79410793232597</c:v>
                </c:pt>
                <c:pt idx="176">
                  <c:v>271.79410793232597</c:v>
                </c:pt>
                <c:pt idx="177">
                  <c:v>271.79410793232597</c:v>
                </c:pt>
                <c:pt idx="178">
                  <c:v>271.79410793232597</c:v>
                </c:pt>
                <c:pt idx="179">
                  <c:v>271.79410793232597</c:v>
                </c:pt>
                <c:pt idx="180">
                  <c:v>271.79410793232597</c:v>
                </c:pt>
                <c:pt idx="181">
                  <c:v>271.79410793232597</c:v>
                </c:pt>
                <c:pt idx="182">
                  <c:v>271.79410793232597</c:v>
                </c:pt>
                <c:pt idx="183">
                  <c:v>271.79410793232597</c:v>
                </c:pt>
                <c:pt idx="184">
                  <c:v>271.79410793232597</c:v>
                </c:pt>
                <c:pt idx="185">
                  <c:v>271.79410793232597</c:v>
                </c:pt>
                <c:pt idx="186">
                  <c:v>271.79410793232597</c:v>
                </c:pt>
                <c:pt idx="187">
                  <c:v>271.79410793232597</c:v>
                </c:pt>
                <c:pt idx="188">
                  <c:v>271.79410793232597</c:v>
                </c:pt>
                <c:pt idx="189">
                  <c:v>271.79410793232597</c:v>
                </c:pt>
                <c:pt idx="190">
                  <c:v>271.79410793232597</c:v>
                </c:pt>
                <c:pt idx="191">
                  <c:v>271.79410793232597</c:v>
                </c:pt>
                <c:pt idx="192">
                  <c:v>271.79410793232597</c:v>
                </c:pt>
                <c:pt idx="193">
                  <c:v>271.79410793232597</c:v>
                </c:pt>
                <c:pt idx="194">
                  <c:v>271.79410793232597</c:v>
                </c:pt>
                <c:pt idx="195">
                  <c:v>271.79410793232597</c:v>
                </c:pt>
                <c:pt idx="196">
                  <c:v>271.79410793232597</c:v>
                </c:pt>
                <c:pt idx="197">
                  <c:v>271.79410793232597</c:v>
                </c:pt>
                <c:pt idx="198">
                  <c:v>271.79410793232597</c:v>
                </c:pt>
                <c:pt idx="199">
                  <c:v>271.79410793232597</c:v>
                </c:pt>
                <c:pt idx="200">
                  <c:v>271.79410793232597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1.9751469543703284</c:v>
                </c:pt>
                <c:pt idx="2">
                  <c:v>2.5156007982095305</c:v>
                </c:pt>
                <c:pt idx="3">
                  <c:v>3.2045293307604297</c:v>
                </c:pt>
                <c:pt idx="4">
                  <c:v>4.082875345875836</c:v>
                </c:pt>
                <c:pt idx="5">
                  <c:v>5.2029115112692326</c:v>
                </c:pt>
                <c:pt idx="6">
                  <c:v>6.6313858262305061</c:v>
                </c:pt>
                <c:pt idx="7">
                  <c:v>8.4535429542945408</c:v>
                </c:pt>
                <c:pt idx="8">
                  <c:v>10.77826599335063</c:v>
                </c:pt>
                <c:pt idx="9">
                  <c:v>13.744651703083976</c:v>
                </c:pt>
                <c:pt idx="10">
                  <c:v>17.530419872819859</c:v>
                </c:pt>
                <c:pt idx="11">
                  <c:v>22.362669780975192</c:v>
                </c:pt>
                <c:pt idx="12">
                  <c:v>28.531640490201386</c:v>
                </c:pt>
                <c:pt idx="13">
                  <c:v>36.408315909288063</c:v>
                </c:pt>
                <c:pt idx="14">
                  <c:v>46.466951503072629</c:v>
                </c:pt>
                <c:pt idx="15">
                  <c:v>59.313901819384263</c:v>
                </c:pt>
                <c:pt idx="16">
                  <c:v>75.724515312270583</c:v>
                </c:pt>
                <c:pt idx="17">
                  <c:v>96.690359229624207</c:v>
                </c:pt>
                <c:pt idx="18">
                  <c:v>123.4796733177774</c:v>
                </c:pt>
                <c:pt idx="19">
                  <c:v>157.71476616396276</c:v>
                </c:pt>
                <c:pt idx="20">
                  <c:v>201.47111266072736</c:v>
                </c:pt>
                <c:pt idx="21">
                  <c:v>170.13474046014434</c:v>
                </c:pt>
                <c:pt idx="22">
                  <c:v>193.19565270231035</c:v>
                </c:pt>
                <c:pt idx="23">
                  <c:v>216.1925044980878</c:v>
                </c:pt>
                <c:pt idx="24">
                  <c:v>239.13306994162625</c:v>
                </c:pt>
                <c:pt idx="25">
                  <c:v>262.02350754857287</c:v>
                </c:pt>
                <c:pt idx="26">
                  <c:v>223.157640218274</c:v>
                </c:pt>
                <c:pt idx="27">
                  <c:v>247.36882925179316</c:v>
                </c:pt>
                <c:pt idx="28">
                  <c:v>271.52622115220441</c:v>
                </c:pt>
                <c:pt idx="29">
                  <c:v>295.6352733311474</c:v>
                </c:pt>
                <c:pt idx="30">
                  <c:v>319.7004800513119</c:v>
                </c:pt>
                <c:pt idx="31">
                  <c:v>281.27798254904388</c:v>
                </c:pt>
                <c:pt idx="32">
                  <c:v>305.62486594574449</c:v>
                </c:pt>
                <c:pt idx="33">
                  <c:v>329.92863915898096</c:v>
                </c:pt>
                <c:pt idx="34">
                  <c:v>354.19292214702432</c:v>
                </c:pt>
                <c:pt idx="35">
                  <c:v>378.42079852394386</c:v>
                </c:pt>
                <c:pt idx="36">
                  <c:v>339.63890781505705</c:v>
                </c:pt>
                <c:pt idx="37">
                  <c:v>363.3781441249842</c:v>
                </c:pt>
                <c:pt idx="38">
                  <c:v>387.08350012671559</c:v>
                </c:pt>
                <c:pt idx="39">
                  <c:v>410.75734075793372</c:v>
                </c:pt>
                <c:pt idx="40">
                  <c:v>434.40173626523733</c:v>
                </c:pt>
                <c:pt idx="41">
                  <c:v>394.72356117692362</c:v>
                </c:pt>
                <c:pt idx="42">
                  <c:v>417.37048455983546</c:v>
                </c:pt>
                <c:pt idx="43">
                  <c:v>439.99093116362383</c:v>
                </c:pt>
                <c:pt idx="44">
                  <c:v>462.58645250591309</c:v>
                </c:pt>
                <c:pt idx="45">
                  <c:v>485.15843628013289</c:v>
                </c:pt>
                <c:pt idx="46">
                  <c:v>443.8008717585447</c:v>
                </c:pt>
                <c:pt idx="47">
                  <c:v>464.61633817298008</c:v>
                </c:pt>
                <c:pt idx="48">
                  <c:v>485.41192522927469</c:v>
                </c:pt>
                <c:pt idx="49">
                  <c:v>506.18860374788687</c:v>
                </c:pt>
                <c:pt idx="50">
                  <c:v>526.94725841435593</c:v>
                </c:pt>
                <c:pt idx="51">
                  <c:v>489.21392307779769</c:v>
                </c:pt>
                <c:pt idx="52">
                  <c:v>508.46785799243236</c:v>
                </c:pt>
                <c:pt idx="53">
                  <c:v>527.70639025693515</c:v>
                </c:pt>
                <c:pt idx="54">
                  <c:v>546.93016002956938</c:v>
                </c:pt>
                <c:pt idx="55">
                  <c:v>566.13975883115916</c:v>
                </c:pt>
                <c:pt idx="56">
                  <c:v>535.29645007879719</c:v>
                </c:pt>
                <c:pt idx="57">
                  <c:v>552.49226569260554</c:v>
                </c:pt>
                <c:pt idx="58">
                  <c:v>569.67686766286602</c:v>
                </c:pt>
                <c:pt idx="59">
                  <c:v>586.85064166689392</c:v>
                </c:pt>
                <c:pt idx="60">
                  <c:v>604.01394898353101</c:v>
                </c:pt>
                <c:pt idx="61">
                  <c:v>562.349486419757</c:v>
                </c:pt>
                <c:pt idx="62">
                  <c:v>562.349486419757</c:v>
                </c:pt>
                <c:pt idx="63">
                  <c:v>562.349486419757</c:v>
                </c:pt>
                <c:pt idx="64">
                  <c:v>562.349486419757</c:v>
                </c:pt>
                <c:pt idx="65">
                  <c:v>562.349486419757</c:v>
                </c:pt>
                <c:pt idx="66">
                  <c:v>562.349486419757</c:v>
                </c:pt>
                <c:pt idx="67">
                  <c:v>562.349486419757</c:v>
                </c:pt>
                <c:pt idx="68">
                  <c:v>562.349486419757</c:v>
                </c:pt>
                <c:pt idx="69">
                  <c:v>562.349486419757</c:v>
                </c:pt>
                <c:pt idx="70">
                  <c:v>562.349486419757</c:v>
                </c:pt>
                <c:pt idx="71">
                  <c:v>562.349486419757</c:v>
                </c:pt>
                <c:pt idx="72">
                  <c:v>562.349486419757</c:v>
                </c:pt>
                <c:pt idx="73">
                  <c:v>562.349486419757</c:v>
                </c:pt>
                <c:pt idx="74">
                  <c:v>562.349486419757</c:v>
                </c:pt>
                <c:pt idx="75">
                  <c:v>562.349486419757</c:v>
                </c:pt>
                <c:pt idx="76">
                  <c:v>562.349486419757</c:v>
                </c:pt>
                <c:pt idx="77">
                  <c:v>562.349486419757</c:v>
                </c:pt>
                <c:pt idx="78">
                  <c:v>562.349486419757</c:v>
                </c:pt>
                <c:pt idx="79">
                  <c:v>562.349486419757</c:v>
                </c:pt>
                <c:pt idx="80">
                  <c:v>562.349486419757</c:v>
                </c:pt>
                <c:pt idx="81">
                  <c:v>562.349486419757</c:v>
                </c:pt>
                <c:pt idx="82">
                  <c:v>562.349486419757</c:v>
                </c:pt>
                <c:pt idx="83">
                  <c:v>562.349486419757</c:v>
                </c:pt>
                <c:pt idx="84">
                  <c:v>562.349486419757</c:v>
                </c:pt>
                <c:pt idx="85">
                  <c:v>562.349486419757</c:v>
                </c:pt>
                <c:pt idx="86">
                  <c:v>562.349486419757</c:v>
                </c:pt>
                <c:pt idx="87">
                  <c:v>562.349486419757</c:v>
                </c:pt>
                <c:pt idx="88">
                  <c:v>562.349486419757</c:v>
                </c:pt>
                <c:pt idx="89">
                  <c:v>562.349486419757</c:v>
                </c:pt>
                <c:pt idx="90">
                  <c:v>562.349486419757</c:v>
                </c:pt>
                <c:pt idx="91">
                  <c:v>562.349486419757</c:v>
                </c:pt>
                <c:pt idx="92">
                  <c:v>562.349486419757</c:v>
                </c:pt>
                <c:pt idx="93">
                  <c:v>562.349486419757</c:v>
                </c:pt>
                <c:pt idx="94">
                  <c:v>562.349486419757</c:v>
                </c:pt>
                <c:pt idx="95">
                  <c:v>562.349486419757</c:v>
                </c:pt>
                <c:pt idx="96">
                  <c:v>562.349486419757</c:v>
                </c:pt>
                <c:pt idx="97">
                  <c:v>562.349486419757</c:v>
                </c:pt>
                <c:pt idx="98">
                  <c:v>562.349486419757</c:v>
                </c:pt>
                <c:pt idx="99">
                  <c:v>562.349486419757</c:v>
                </c:pt>
                <c:pt idx="100">
                  <c:v>562.349486419757</c:v>
                </c:pt>
                <c:pt idx="101">
                  <c:v>562.349486419757</c:v>
                </c:pt>
                <c:pt idx="102">
                  <c:v>562.349486419757</c:v>
                </c:pt>
                <c:pt idx="103">
                  <c:v>562.349486419757</c:v>
                </c:pt>
                <c:pt idx="104">
                  <c:v>562.349486419757</c:v>
                </c:pt>
                <c:pt idx="105">
                  <c:v>562.349486419757</c:v>
                </c:pt>
                <c:pt idx="106">
                  <c:v>562.349486419757</c:v>
                </c:pt>
                <c:pt idx="107">
                  <c:v>562.349486419757</c:v>
                </c:pt>
                <c:pt idx="108">
                  <c:v>562.349486419757</c:v>
                </c:pt>
                <c:pt idx="109">
                  <c:v>562.349486419757</c:v>
                </c:pt>
                <c:pt idx="110">
                  <c:v>562.349486419757</c:v>
                </c:pt>
                <c:pt idx="111">
                  <c:v>562.349486419757</c:v>
                </c:pt>
                <c:pt idx="112">
                  <c:v>562.349486419757</c:v>
                </c:pt>
                <c:pt idx="113">
                  <c:v>562.349486419757</c:v>
                </c:pt>
                <c:pt idx="114">
                  <c:v>562.349486419757</c:v>
                </c:pt>
                <c:pt idx="115">
                  <c:v>562.349486419757</c:v>
                </c:pt>
                <c:pt idx="116">
                  <c:v>562.349486419757</c:v>
                </c:pt>
                <c:pt idx="117">
                  <c:v>562.349486419757</c:v>
                </c:pt>
                <c:pt idx="118">
                  <c:v>562.349486419757</c:v>
                </c:pt>
                <c:pt idx="119">
                  <c:v>562.349486419757</c:v>
                </c:pt>
                <c:pt idx="120">
                  <c:v>562.349486419757</c:v>
                </c:pt>
                <c:pt idx="121">
                  <c:v>562.349486419757</c:v>
                </c:pt>
                <c:pt idx="122">
                  <c:v>562.349486419757</c:v>
                </c:pt>
                <c:pt idx="123">
                  <c:v>562.349486419757</c:v>
                </c:pt>
                <c:pt idx="124">
                  <c:v>562.349486419757</c:v>
                </c:pt>
                <c:pt idx="125">
                  <c:v>562.349486419757</c:v>
                </c:pt>
                <c:pt idx="126">
                  <c:v>562.349486419757</c:v>
                </c:pt>
                <c:pt idx="127">
                  <c:v>562.349486419757</c:v>
                </c:pt>
                <c:pt idx="128">
                  <c:v>562.349486419757</c:v>
                </c:pt>
                <c:pt idx="129">
                  <c:v>562.349486419757</c:v>
                </c:pt>
                <c:pt idx="130">
                  <c:v>562.349486419757</c:v>
                </c:pt>
                <c:pt idx="131">
                  <c:v>562.349486419757</c:v>
                </c:pt>
                <c:pt idx="132">
                  <c:v>562.349486419757</c:v>
                </c:pt>
                <c:pt idx="133">
                  <c:v>562.349486419757</c:v>
                </c:pt>
                <c:pt idx="134">
                  <c:v>562.349486419757</c:v>
                </c:pt>
                <c:pt idx="135">
                  <c:v>562.349486419757</c:v>
                </c:pt>
                <c:pt idx="136">
                  <c:v>562.349486419757</c:v>
                </c:pt>
                <c:pt idx="137">
                  <c:v>562.349486419757</c:v>
                </c:pt>
                <c:pt idx="138">
                  <c:v>562.349486419757</c:v>
                </c:pt>
                <c:pt idx="139">
                  <c:v>562.349486419757</c:v>
                </c:pt>
                <c:pt idx="140">
                  <c:v>562.349486419757</c:v>
                </c:pt>
                <c:pt idx="141">
                  <c:v>562.349486419757</c:v>
                </c:pt>
                <c:pt idx="142">
                  <c:v>562.349486419757</c:v>
                </c:pt>
                <c:pt idx="143">
                  <c:v>562.349486419757</c:v>
                </c:pt>
                <c:pt idx="144">
                  <c:v>562.349486419757</c:v>
                </c:pt>
                <c:pt idx="145">
                  <c:v>562.349486419757</c:v>
                </c:pt>
                <c:pt idx="146">
                  <c:v>562.349486419757</c:v>
                </c:pt>
                <c:pt idx="147">
                  <c:v>562.349486419757</c:v>
                </c:pt>
                <c:pt idx="148">
                  <c:v>562.349486419757</c:v>
                </c:pt>
                <c:pt idx="149">
                  <c:v>562.349486419757</c:v>
                </c:pt>
                <c:pt idx="150">
                  <c:v>562.349486419757</c:v>
                </c:pt>
                <c:pt idx="151">
                  <c:v>562.349486419757</c:v>
                </c:pt>
                <c:pt idx="152">
                  <c:v>562.349486419757</c:v>
                </c:pt>
                <c:pt idx="153">
                  <c:v>562.349486419757</c:v>
                </c:pt>
                <c:pt idx="154">
                  <c:v>562.349486419757</c:v>
                </c:pt>
                <c:pt idx="155">
                  <c:v>562.349486419757</c:v>
                </c:pt>
                <c:pt idx="156">
                  <c:v>562.349486419757</c:v>
                </c:pt>
                <c:pt idx="157">
                  <c:v>562.349486419757</c:v>
                </c:pt>
                <c:pt idx="158">
                  <c:v>562.349486419757</c:v>
                </c:pt>
                <c:pt idx="159">
                  <c:v>562.349486419757</c:v>
                </c:pt>
                <c:pt idx="160">
                  <c:v>562.349486419757</c:v>
                </c:pt>
                <c:pt idx="161">
                  <c:v>562.349486419757</c:v>
                </c:pt>
                <c:pt idx="162">
                  <c:v>562.349486419757</c:v>
                </c:pt>
                <c:pt idx="163">
                  <c:v>562.349486419757</c:v>
                </c:pt>
                <c:pt idx="164">
                  <c:v>562.349486419757</c:v>
                </c:pt>
                <c:pt idx="165">
                  <c:v>562.349486419757</c:v>
                </c:pt>
                <c:pt idx="166">
                  <c:v>562.349486419757</c:v>
                </c:pt>
                <c:pt idx="167">
                  <c:v>562.349486419757</c:v>
                </c:pt>
                <c:pt idx="168">
                  <c:v>562.349486419757</c:v>
                </c:pt>
                <c:pt idx="169">
                  <c:v>562.349486419757</c:v>
                </c:pt>
                <c:pt idx="170">
                  <c:v>562.349486419757</c:v>
                </c:pt>
                <c:pt idx="171">
                  <c:v>562.349486419757</c:v>
                </c:pt>
                <c:pt idx="172">
                  <c:v>562.349486419757</c:v>
                </c:pt>
                <c:pt idx="173">
                  <c:v>562.349486419757</c:v>
                </c:pt>
                <c:pt idx="174">
                  <c:v>562.349486419757</c:v>
                </c:pt>
                <c:pt idx="175">
                  <c:v>562.349486419757</c:v>
                </c:pt>
                <c:pt idx="176">
                  <c:v>562.349486419757</c:v>
                </c:pt>
                <c:pt idx="177">
                  <c:v>562.349486419757</c:v>
                </c:pt>
                <c:pt idx="178">
                  <c:v>562.349486419757</c:v>
                </c:pt>
                <c:pt idx="179">
                  <c:v>562.349486419757</c:v>
                </c:pt>
                <c:pt idx="180">
                  <c:v>562.349486419757</c:v>
                </c:pt>
                <c:pt idx="181">
                  <c:v>562.349486419757</c:v>
                </c:pt>
                <c:pt idx="182">
                  <c:v>562.349486419757</c:v>
                </c:pt>
                <c:pt idx="183">
                  <c:v>562.349486419757</c:v>
                </c:pt>
                <c:pt idx="184">
                  <c:v>562.349486419757</c:v>
                </c:pt>
                <c:pt idx="185">
                  <c:v>562.349486419757</c:v>
                </c:pt>
                <c:pt idx="186">
                  <c:v>562.349486419757</c:v>
                </c:pt>
                <c:pt idx="187">
                  <c:v>562.349486419757</c:v>
                </c:pt>
                <c:pt idx="188">
                  <c:v>562.349486419757</c:v>
                </c:pt>
                <c:pt idx="189">
                  <c:v>562.349486419757</c:v>
                </c:pt>
                <c:pt idx="190">
                  <c:v>562.349486419757</c:v>
                </c:pt>
                <c:pt idx="191">
                  <c:v>562.349486419757</c:v>
                </c:pt>
                <c:pt idx="192">
                  <c:v>562.349486419757</c:v>
                </c:pt>
                <c:pt idx="193">
                  <c:v>562.349486419757</c:v>
                </c:pt>
                <c:pt idx="194">
                  <c:v>562.349486419757</c:v>
                </c:pt>
                <c:pt idx="195">
                  <c:v>562.349486419757</c:v>
                </c:pt>
                <c:pt idx="196">
                  <c:v>562.349486419757</c:v>
                </c:pt>
                <c:pt idx="197">
                  <c:v>562.349486419757</c:v>
                </c:pt>
                <c:pt idx="198">
                  <c:v>562.349486419757</c:v>
                </c:pt>
                <c:pt idx="199">
                  <c:v>562.349486419757</c:v>
                </c:pt>
                <c:pt idx="200">
                  <c:v>562.349486419757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2.6689104183509347</c:v>
                </c:pt>
                <c:pt idx="2">
                  <c:v>3.4899830590683352</c:v>
                </c:pt>
                <c:pt idx="3">
                  <c:v>4.5646726825905164</c:v>
                </c:pt>
                <c:pt idx="4">
                  <c:v>5.9716141615574472</c:v>
                </c:pt>
                <c:pt idx="5">
                  <c:v>7.8139092335961218</c:v>
                </c:pt>
                <c:pt idx="6">
                  <c:v>10.226764012784757</c:v>
                </c:pt>
                <c:pt idx="7">
                  <c:v>13.387517725469587</c:v>
                </c:pt>
                <c:pt idx="8">
                  <c:v>17.528813377583827</c:v>
                </c:pt>
                <c:pt idx="9">
                  <c:v>22.955897322390214</c:v>
                </c:pt>
                <c:pt idx="10">
                  <c:v>30.069345481461834</c:v>
                </c:pt>
                <c:pt idx="11">
                  <c:v>39.394922830832961</c:v>
                </c:pt>
                <c:pt idx="12">
                  <c:v>51.622820709160315</c:v>
                </c:pt>
                <c:pt idx="13">
                  <c:v>67.659224368464649</c:v>
                </c:pt>
                <c:pt idx="14">
                  <c:v>88.69409474214649</c:v>
                </c:pt>
                <c:pt idx="15">
                  <c:v>116.29027446560372</c:v>
                </c:pt>
                <c:pt idx="16">
                  <c:v>84.464894871217254</c:v>
                </c:pt>
                <c:pt idx="17">
                  <c:v>108.61858799751566</c:v>
                </c:pt>
                <c:pt idx="18">
                  <c:v>132.63945069450935</c:v>
                </c:pt>
                <c:pt idx="19">
                  <c:v>156.55504701114111</c:v>
                </c:pt>
                <c:pt idx="20">
                  <c:v>180.38376185573739</c:v>
                </c:pt>
                <c:pt idx="21">
                  <c:v>145.47552012532864</c:v>
                </c:pt>
                <c:pt idx="22">
                  <c:v>171.06890310603498</c:v>
                </c:pt>
                <c:pt idx="23">
                  <c:v>196.57202562416424</c:v>
                </c:pt>
                <c:pt idx="24">
                  <c:v>221.99825658782561</c:v>
                </c:pt>
                <c:pt idx="25">
                  <c:v>247.35764363735257</c:v>
                </c:pt>
                <c:pt idx="26">
                  <c:v>211.69888943572892</c:v>
                </c:pt>
                <c:pt idx="27">
                  <c:v>236.05644310479681</c:v>
                </c:pt>
                <c:pt idx="28">
                  <c:v>260.35666841385739</c:v>
                </c:pt>
                <c:pt idx="29">
                  <c:v>284.60566685788712</c:v>
                </c:pt>
                <c:pt idx="30">
                  <c:v>308.80841467664561</c:v>
                </c:pt>
                <c:pt idx="31">
                  <c:v>270.95024442791083</c:v>
                </c:pt>
                <c:pt idx="32">
                  <c:v>292.7918305088869</c:v>
                </c:pt>
                <c:pt idx="33">
                  <c:v>314.59704855401981</c:v>
                </c:pt>
                <c:pt idx="34">
                  <c:v>336.3687724940782</c:v>
                </c:pt>
                <c:pt idx="35">
                  <c:v>358.10947390735419</c:v>
                </c:pt>
                <c:pt idx="36">
                  <c:v>318.00102122537896</c:v>
                </c:pt>
                <c:pt idx="37">
                  <c:v>337.38854301296448</c:v>
                </c:pt>
                <c:pt idx="38">
                  <c:v>356.75154686672863</c:v>
                </c:pt>
                <c:pt idx="39">
                  <c:v>376.09155014049156</c:v>
                </c:pt>
                <c:pt idx="40">
                  <c:v>395.40990144559368</c:v>
                </c:pt>
                <c:pt idx="41">
                  <c:v>351.99790751820501</c:v>
                </c:pt>
                <c:pt idx="42">
                  <c:v>367.95110424042531</c:v>
                </c:pt>
                <c:pt idx="43">
                  <c:v>383.88920919164849</c:v>
                </c:pt>
                <c:pt idx="44">
                  <c:v>399.81293702596389</c:v>
                </c:pt>
                <c:pt idx="45">
                  <c:v>415.72294083711472</c:v>
                </c:pt>
                <c:pt idx="46">
                  <c:v>390.32815400232903</c:v>
                </c:pt>
                <c:pt idx="47">
                  <c:v>405.56917103469476</c:v>
                </c:pt>
                <c:pt idx="48">
                  <c:v>420.79781154308063</c:v>
                </c:pt>
                <c:pt idx="49">
                  <c:v>436.01458640999027</c:v>
                </c:pt>
                <c:pt idx="50">
                  <c:v>451.21996795767319</c:v>
                </c:pt>
                <c:pt idx="51">
                  <c:v>431.61981966331086</c:v>
                </c:pt>
                <c:pt idx="52">
                  <c:v>444.12551245998549</c:v>
                </c:pt>
                <c:pt idx="53">
                  <c:v>456.62366402503341</c:v>
                </c:pt>
                <c:pt idx="54">
                  <c:v>469.11450984619819</c:v>
                </c:pt>
                <c:pt idx="55">
                  <c:v>481.5982718486552</c:v>
                </c:pt>
                <c:pt idx="56">
                  <c:v>465.06421135415462</c:v>
                </c:pt>
                <c:pt idx="57">
                  <c:v>475.52596168445672</c:v>
                </c:pt>
                <c:pt idx="58">
                  <c:v>485.98281613568884</c:v>
                </c:pt>
                <c:pt idx="59">
                  <c:v>496.43489491327199</c:v>
                </c:pt>
                <c:pt idx="60">
                  <c:v>506.88231274768867</c:v>
                </c:pt>
                <c:pt idx="61">
                  <c:v>492.05233905304038</c:v>
                </c:pt>
                <c:pt idx="62">
                  <c:v>500.81663116885534</c:v>
                </c:pt>
                <c:pt idx="63">
                  <c:v>509.57767746501696</c:v>
                </c:pt>
                <c:pt idx="64">
                  <c:v>518.33554162748908</c:v>
                </c:pt>
                <c:pt idx="65">
                  <c:v>527.09028501417163</c:v>
                </c:pt>
                <c:pt idx="66">
                  <c:v>512.94645994076348</c:v>
                </c:pt>
                <c:pt idx="67">
                  <c:v>520.69289242265415</c:v>
                </c:pt>
                <c:pt idx="68">
                  <c:v>528.43689541833783</c:v>
                </c:pt>
                <c:pt idx="69">
                  <c:v>536.17850956190932</c:v>
                </c:pt>
                <c:pt idx="70">
                  <c:v>543.91777421805489</c:v>
                </c:pt>
                <c:pt idx="71">
                  <c:v>529.11017351371675</c:v>
                </c:pt>
                <c:pt idx="72">
                  <c:v>536.17850956190932</c:v>
                </c:pt>
                <c:pt idx="73">
                  <c:v>543.24488697768527</c:v>
                </c:pt>
                <c:pt idx="74">
                  <c:v>550.30933483971364</c:v>
                </c:pt>
                <c:pt idx="75">
                  <c:v>557.37188141896695</c:v>
                </c:pt>
                <c:pt idx="76">
                  <c:v>543.24488697768527</c:v>
                </c:pt>
                <c:pt idx="77">
                  <c:v>549.30024505818949</c:v>
                </c:pt>
                <c:pt idx="78">
                  <c:v>555.35420335873357</c:v>
                </c:pt>
                <c:pt idx="79">
                  <c:v>561.40677929677724</c:v>
                </c:pt>
                <c:pt idx="80">
                  <c:v>567.45798988344666</c:v>
                </c:pt>
                <c:pt idx="81">
                  <c:v>548.9638731613054</c:v>
                </c:pt>
                <c:pt idx="82">
                  <c:v>548.9638731613054</c:v>
                </c:pt>
                <c:pt idx="83">
                  <c:v>548.9638731613054</c:v>
                </c:pt>
                <c:pt idx="84">
                  <c:v>548.9638731613054</c:v>
                </c:pt>
                <c:pt idx="85">
                  <c:v>548.9638731613054</c:v>
                </c:pt>
                <c:pt idx="86">
                  <c:v>548.9638731613054</c:v>
                </c:pt>
                <c:pt idx="87">
                  <c:v>548.9638731613054</c:v>
                </c:pt>
                <c:pt idx="88">
                  <c:v>548.9638731613054</c:v>
                </c:pt>
                <c:pt idx="89">
                  <c:v>548.9638731613054</c:v>
                </c:pt>
                <c:pt idx="90">
                  <c:v>548.9638731613054</c:v>
                </c:pt>
                <c:pt idx="91">
                  <c:v>548.9638731613054</c:v>
                </c:pt>
                <c:pt idx="92">
                  <c:v>548.9638731613054</c:v>
                </c:pt>
                <c:pt idx="93">
                  <c:v>548.9638731613054</c:v>
                </c:pt>
                <c:pt idx="94">
                  <c:v>548.9638731613054</c:v>
                </c:pt>
                <c:pt idx="95">
                  <c:v>548.9638731613054</c:v>
                </c:pt>
                <c:pt idx="96">
                  <c:v>548.9638731613054</c:v>
                </c:pt>
                <c:pt idx="97">
                  <c:v>548.9638731613054</c:v>
                </c:pt>
                <c:pt idx="98">
                  <c:v>548.9638731613054</c:v>
                </c:pt>
                <c:pt idx="99">
                  <c:v>548.9638731613054</c:v>
                </c:pt>
                <c:pt idx="100">
                  <c:v>548.9638731613054</c:v>
                </c:pt>
                <c:pt idx="101">
                  <c:v>548.9638731613054</c:v>
                </c:pt>
                <c:pt idx="102">
                  <c:v>548.9638731613054</c:v>
                </c:pt>
                <c:pt idx="103">
                  <c:v>548.9638731613054</c:v>
                </c:pt>
                <c:pt idx="104">
                  <c:v>548.9638731613054</c:v>
                </c:pt>
                <c:pt idx="105">
                  <c:v>548.9638731613054</c:v>
                </c:pt>
                <c:pt idx="106">
                  <c:v>548.9638731613054</c:v>
                </c:pt>
                <c:pt idx="107">
                  <c:v>548.9638731613054</c:v>
                </c:pt>
                <c:pt idx="108">
                  <c:v>548.9638731613054</c:v>
                </c:pt>
                <c:pt idx="109">
                  <c:v>548.9638731613054</c:v>
                </c:pt>
                <c:pt idx="110">
                  <c:v>548.9638731613054</c:v>
                </c:pt>
                <c:pt idx="111">
                  <c:v>548.9638731613054</c:v>
                </c:pt>
                <c:pt idx="112">
                  <c:v>548.9638731613054</c:v>
                </c:pt>
                <c:pt idx="113">
                  <c:v>548.9638731613054</c:v>
                </c:pt>
                <c:pt idx="114">
                  <c:v>548.9638731613054</c:v>
                </c:pt>
                <c:pt idx="115">
                  <c:v>548.9638731613054</c:v>
                </c:pt>
                <c:pt idx="116">
                  <c:v>548.9638731613054</c:v>
                </c:pt>
                <c:pt idx="117">
                  <c:v>548.9638731613054</c:v>
                </c:pt>
                <c:pt idx="118">
                  <c:v>548.9638731613054</c:v>
                </c:pt>
                <c:pt idx="119">
                  <c:v>548.9638731613054</c:v>
                </c:pt>
                <c:pt idx="120">
                  <c:v>548.9638731613054</c:v>
                </c:pt>
                <c:pt idx="121">
                  <c:v>548.9638731613054</c:v>
                </c:pt>
                <c:pt idx="122">
                  <c:v>548.9638731613054</c:v>
                </c:pt>
                <c:pt idx="123">
                  <c:v>548.9638731613054</c:v>
                </c:pt>
                <c:pt idx="124">
                  <c:v>548.9638731613054</c:v>
                </c:pt>
                <c:pt idx="125">
                  <c:v>548.9638731613054</c:v>
                </c:pt>
                <c:pt idx="126">
                  <c:v>548.9638731613054</c:v>
                </c:pt>
                <c:pt idx="127">
                  <c:v>548.9638731613054</c:v>
                </c:pt>
                <c:pt idx="128">
                  <c:v>548.9638731613054</c:v>
                </c:pt>
                <c:pt idx="129">
                  <c:v>548.9638731613054</c:v>
                </c:pt>
                <c:pt idx="130">
                  <c:v>548.9638731613054</c:v>
                </c:pt>
                <c:pt idx="131">
                  <c:v>548.9638731613054</c:v>
                </c:pt>
                <c:pt idx="132">
                  <c:v>548.9638731613054</c:v>
                </c:pt>
                <c:pt idx="133">
                  <c:v>548.9638731613054</c:v>
                </c:pt>
                <c:pt idx="134">
                  <c:v>548.9638731613054</c:v>
                </c:pt>
                <c:pt idx="135">
                  <c:v>548.9638731613054</c:v>
                </c:pt>
                <c:pt idx="136">
                  <c:v>548.9638731613054</c:v>
                </c:pt>
                <c:pt idx="137">
                  <c:v>548.9638731613054</c:v>
                </c:pt>
                <c:pt idx="138">
                  <c:v>548.9638731613054</c:v>
                </c:pt>
                <c:pt idx="139">
                  <c:v>548.9638731613054</c:v>
                </c:pt>
                <c:pt idx="140">
                  <c:v>548.9638731613054</c:v>
                </c:pt>
                <c:pt idx="141">
                  <c:v>548.9638731613054</c:v>
                </c:pt>
                <c:pt idx="142">
                  <c:v>548.9638731613054</c:v>
                </c:pt>
                <c:pt idx="143">
                  <c:v>548.9638731613054</c:v>
                </c:pt>
                <c:pt idx="144">
                  <c:v>548.9638731613054</c:v>
                </c:pt>
                <c:pt idx="145">
                  <c:v>548.9638731613054</c:v>
                </c:pt>
                <c:pt idx="146">
                  <c:v>548.9638731613054</c:v>
                </c:pt>
                <c:pt idx="147">
                  <c:v>548.9638731613054</c:v>
                </c:pt>
                <c:pt idx="148">
                  <c:v>548.9638731613054</c:v>
                </c:pt>
                <c:pt idx="149">
                  <c:v>548.9638731613054</c:v>
                </c:pt>
                <c:pt idx="150">
                  <c:v>548.9638731613054</c:v>
                </c:pt>
                <c:pt idx="151">
                  <c:v>548.9638731613054</c:v>
                </c:pt>
                <c:pt idx="152">
                  <c:v>548.9638731613054</c:v>
                </c:pt>
                <c:pt idx="153">
                  <c:v>548.9638731613054</c:v>
                </c:pt>
                <c:pt idx="154">
                  <c:v>548.9638731613054</c:v>
                </c:pt>
                <c:pt idx="155">
                  <c:v>548.9638731613054</c:v>
                </c:pt>
                <c:pt idx="156">
                  <c:v>548.9638731613054</c:v>
                </c:pt>
                <c:pt idx="157">
                  <c:v>548.9638731613054</c:v>
                </c:pt>
                <c:pt idx="158">
                  <c:v>548.9638731613054</c:v>
                </c:pt>
                <c:pt idx="159">
                  <c:v>548.9638731613054</c:v>
                </c:pt>
                <c:pt idx="160">
                  <c:v>548.9638731613054</c:v>
                </c:pt>
                <c:pt idx="161">
                  <c:v>548.9638731613054</c:v>
                </c:pt>
                <c:pt idx="162">
                  <c:v>548.9638731613054</c:v>
                </c:pt>
                <c:pt idx="163">
                  <c:v>548.9638731613054</c:v>
                </c:pt>
                <c:pt idx="164">
                  <c:v>548.9638731613054</c:v>
                </c:pt>
                <c:pt idx="165">
                  <c:v>548.9638731613054</c:v>
                </c:pt>
                <c:pt idx="166">
                  <c:v>548.9638731613054</c:v>
                </c:pt>
                <c:pt idx="167">
                  <c:v>548.9638731613054</c:v>
                </c:pt>
                <c:pt idx="168">
                  <c:v>548.9638731613054</c:v>
                </c:pt>
                <c:pt idx="169">
                  <c:v>548.9638731613054</c:v>
                </c:pt>
                <c:pt idx="170">
                  <c:v>548.9638731613054</c:v>
                </c:pt>
                <c:pt idx="171">
                  <c:v>548.9638731613054</c:v>
                </c:pt>
                <c:pt idx="172">
                  <c:v>548.9638731613054</c:v>
                </c:pt>
                <c:pt idx="173">
                  <c:v>548.9638731613054</c:v>
                </c:pt>
                <c:pt idx="174">
                  <c:v>548.9638731613054</c:v>
                </c:pt>
                <c:pt idx="175">
                  <c:v>548.9638731613054</c:v>
                </c:pt>
                <c:pt idx="176">
                  <c:v>548.9638731613054</c:v>
                </c:pt>
                <c:pt idx="177">
                  <c:v>548.9638731613054</c:v>
                </c:pt>
                <c:pt idx="178">
                  <c:v>548.9638731613054</c:v>
                </c:pt>
                <c:pt idx="179">
                  <c:v>548.9638731613054</c:v>
                </c:pt>
                <c:pt idx="180">
                  <c:v>548.9638731613054</c:v>
                </c:pt>
                <c:pt idx="181">
                  <c:v>548.9638731613054</c:v>
                </c:pt>
                <c:pt idx="182">
                  <c:v>548.9638731613054</c:v>
                </c:pt>
                <c:pt idx="183">
                  <c:v>548.9638731613054</c:v>
                </c:pt>
                <c:pt idx="184">
                  <c:v>548.9638731613054</c:v>
                </c:pt>
                <c:pt idx="185">
                  <c:v>548.9638731613054</c:v>
                </c:pt>
                <c:pt idx="186">
                  <c:v>548.9638731613054</c:v>
                </c:pt>
                <c:pt idx="187">
                  <c:v>548.9638731613054</c:v>
                </c:pt>
                <c:pt idx="188">
                  <c:v>548.9638731613054</c:v>
                </c:pt>
                <c:pt idx="189">
                  <c:v>548.9638731613054</c:v>
                </c:pt>
                <c:pt idx="190">
                  <c:v>548.9638731613054</c:v>
                </c:pt>
                <c:pt idx="191">
                  <c:v>548.9638731613054</c:v>
                </c:pt>
                <c:pt idx="192">
                  <c:v>548.9638731613054</c:v>
                </c:pt>
                <c:pt idx="193">
                  <c:v>548.9638731613054</c:v>
                </c:pt>
                <c:pt idx="194">
                  <c:v>548.9638731613054</c:v>
                </c:pt>
                <c:pt idx="195">
                  <c:v>548.9638731613054</c:v>
                </c:pt>
                <c:pt idx="196">
                  <c:v>548.9638731613054</c:v>
                </c:pt>
                <c:pt idx="197">
                  <c:v>548.9638731613054</c:v>
                </c:pt>
                <c:pt idx="198">
                  <c:v>548.9638731613054</c:v>
                </c:pt>
                <c:pt idx="199">
                  <c:v>548.9638731613054</c:v>
                </c:pt>
                <c:pt idx="200">
                  <c:v>548.9638731613054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53" zoomScale="80" zoomScaleNormal="80" workbookViewId="0">
      <selection activeCell="G69" sqref="G69:G70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88671875" style="23" bestFit="1" customWidth="1"/>
    <col min="4" max="4" width="16.44140625" style="23" customWidth="1"/>
    <col min="5" max="5" width="23.33203125" style="23" customWidth="1"/>
    <col min="6" max="6" width="28.88671875" style="23" bestFit="1" customWidth="1"/>
    <col min="7" max="8" width="14.6640625" style="23" customWidth="1"/>
    <col min="9" max="9" width="17" style="23" customWidth="1"/>
    <col min="10" max="10" width="13.88671875" style="23" customWidth="1"/>
    <col min="11" max="16384" width="11.44140625" style="23"/>
  </cols>
  <sheetData>
    <row r="1" spans="1:38" x14ac:dyDescent="0.3">
      <c r="A1" s="4"/>
      <c r="B1" s="4"/>
      <c r="C1" s="258" t="s">
        <v>190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68" t="s">
        <v>231</v>
      </c>
      <c r="B5" s="268"/>
      <c r="C5" s="24">
        <v>4.72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31" t="s">
        <v>27</v>
      </c>
      <c r="C9" s="32">
        <v>0.55000000000000004</v>
      </c>
      <c r="D9" s="33">
        <f t="shared" ref="D9:D18" si="0">C9*$C$5</f>
        <v>2.5960000000000001</v>
      </c>
      <c r="E9" s="34">
        <v>45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31" t="s">
        <v>35</v>
      </c>
      <c r="C10" s="32">
        <v>0.3</v>
      </c>
      <c r="D10" s="33">
        <f t="shared" si="0"/>
        <v>1.4159999999999999</v>
      </c>
      <c r="E10" s="34">
        <v>60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31" t="s">
        <v>23</v>
      </c>
      <c r="C11" s="32">
        <v>0.15</v>
      </c>
      <c r="D11" s="33">
        <f t="shared" si="0"/>
        <v>0.70799999999999996</v>
      </c>
      <c r="E11" s="34">
        <v>80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8"/>
      <c r="B19" s="36" t="s">
        <v>175</v>
      </c>
      <c r="C19" s="37">
        <f>SUM(C9:C18)</f>
        <v>1</v>
      </c>
      <c r="D19" s="38">
        <f>SUM(D9:D18)</f>
        <v>4.7200000000000006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Mélèze d'Europe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50">
        <v>15</v>
      </c>
      <c r="B36" s="60">
        <f>118</f>
        <v>118</v>
      </c>
      <c r="C36" s="60">
        <v>1</v>
      </c>
      <c r="D36" s="60">
        <v>21</v>
      </c>
      <c r="E36" s="51"/>
      <c r="F36" s="51">
        <v>0.6</v>
      </c>
      <c r="G36" s="51">
        <v>0.4</v>
      </c>
      <c r="H36" s="51"/>
      <c r="I36" s="49">
        <f>IFERROR(B36/A36,"")</f>
        <v>7.8666666666666663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50">
        <v>18</v>
      </c>
      <c r="B37" s="60">
        <f>141</f>
        <v>141</v>
      </c>
      <c r="C37" s="60">
        <v>2</v>
      </c>
      <c r="D37" s="60">
        <v>25</v>
      </c>
      <c r="E37" s="51"/>
      <c r="F37" s="51">
        <v>0.6</v>
      </c>
      <c r="G37" s="51">
        <v>0.4</v>
      </c>
      <c r="H37" s="51"/>
      <c r="I37" s="53">
        <f t="shared" ref="I37:I55" si="1">IF(A37&lt;&gt;0,(B37-(B36-D36))/(A37-A36),"")</f>
        <v>14.666666666666666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50">
        <v>21</v>
      </c>
      <c r="B38" s="60">
        <f>160</f>
        <v>160</v>
      </c>
      <c r="C38" s="60">
        <v>3</v>
      </c>
      <c r="D38" s="60">
        <v>30</v>
      </c>
      <c r="E38" s="51"/>
      <c r="F38" s="51">
        <v>0.6</v>
      </c>
      <c r="G38" s="51">
        <v>0.4</v>
      </c>
      <c r="H38" s="51"/>
      <c r="I38" s="53">
        <f t="shared" si="1"/>
        <v>14.666666666666666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50">
        <v>27</v>
      </c>
      <c r="B39" s="60">
        <f>219</f>
        <v>219</v>
      </c>
      <c r="C39" s="60">
        <v>4</v>
      </c>
      <c r="D39" s="60">
        <v>51</v>
      </c>
      <c r="E39" s="51">
        <v>0.1</v>
      </c>
      <c r="F39" s="51">
        <v>0.5</v>
      </c>
      <c r="G39" s="51">
        <v>0.4</v>
      </c>
      <c r="H39" s="51"/>
      <c r="I39" s="49">
        <f t="shared" si="1"/>
        <v>14.833333333333334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50">
        <v>33</v>
      </c>
      <c r="B40" s="60">
        <f>253</f>
        <v>253</v>
      </c>
      <c r="C40" s="60">
        <v>5</v>
      </c>
      <c r="D40" s="60">
        <v>63</v>
      </c>
      <c r="E40" s="51">
        <v>0.3</v>
      </c>
      <c r="F40" s="51">
        <v>0.5</v>
      </c>
      <c r="G40" s="51">
        <v>0.2</v>
      </c>
      <c r="H40" s="51"/>
      <c r="I40" s="49">
        <f t="shared" si="1"/>
        <v>14.166666666666666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50">
        <v>39</v>
      </c>
      <c r="B41" s="60">
        <f>266</f>
        <v>266</v>
      </c>
      <c r="C41" s="60">
        <v>6</v>
      </c>
      <c r="D41" s="60">
        <v>67</v>
      </c>
      <c r="E41" s="51">
        <v>0.4</v>
      </c>
      <c r="F41" s="51">
        <v>0.4</v>
      </c>
      <c r="G41" s="51">
        <v>0.2</v>
      </c>
      <c r="H41" s="51"/>
      <c r="I41" s="53">
        <f t="shared" si="1"/>
        <v>12.666666666666666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50">
        <v>45</v>
      </c>
      <c r="B42" s="60">
        <f>265</f>
        <v>265</v>
      </c>
      <c r="C42" s="60">
        <v>7</v>
      </c>
      <c r="D42" s="60">
        <v>67</v>
      </c>
      <c r="E42" s="51">
        <v>0.5</v>
      </c>
      <c r="F42" s="51">
        <v>0.3</v>
      </c>
      <c r="G42" s="51">
        <v>0.2</v>
      </c>
      <c r="H42" s="51"/>
      <c r="I42" s="53">
        <f t="shared" si="1"/>
        <v>11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50"/>
      <c r="B43" s="60"/>
      <c r="C43" s="60"/>
      <c r="D43" s="60"/>
      <c r="E43" s="51"/>
      <c r="F43" s="51"/>
      <c r="G43" s="51"/>
      <c r="H43" s="51"/>
      <c r="I43" s="49" t="str">
        <f t="shared" si="1"/>
        <v/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Pin laricio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>
        <v>20</v>
      </c>
      <c r="B62" s="60">
        <f>110+D62</f>
        <v>152</v>
      </c>
      <c r="C62" s="60">
        <v>1</v>
      </c>
      <c r="D62" s="60">
        <v>42</v>
      </c>
      <c r="E62" s="51"/>
      <c r="F62" s="51">
        <v>0.6</v>
      </c>
      <c r="G62" s="51">
        <v>0.4</v>
      </c>
      <c r="H62" s="51"/>
      <c r="I62" s="53">
        <f>IFERROR(B62/A62,"")</f>
        <v>7.6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>
        <v>25</v>
      </c>
      <c r="B63" s="60">
        <f>150+D63</f>
        <v>199</v>
      </c>
      <c r="C63" s="60">
        <v>2</v>
      </c>
      <c r="D63" s="60">
        <v>49</v>
      </c>
      <c r="E63" s="51">
        <v>0.1</v>
      </c>
      <c r="F63" s="51">
        <v>0.55000000000000004</v>
      </c>
      <c r="G63" s="51">
        <v>0.35</v>
      </c>
      <c r="H63" s="51"/>
      <c r="I63" s="49">
        <f>IF(A63&lt;&gt;0,(B63-(B62-D62))/(A63-A62),"")</f>
        <v>17.8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>
        <v>30</v>
      </c>
      <c r="B64" s="60">
        <f>195+D64</f>
        <v>244</v>
      </c>
      <c r="C64" s="60">
        <v>3</v>
      </c>
      <c r="D64" s="60">
        <v>49</v>
      </c>
      <c r="E64" s="51">
        <v>0.2</v>
      </c>
      <c r="F64" s="51">
        <v>0.5</v>
      </c>
      <c r="G64" s="51">
        <v>0.3</v>
      </c>
      <c r="H64" s="51"/>
      <c r="I64" s="49">
        <f>IF(A64&lt;&gt;0,(B64-(B63-D63))/(A64-A63),"")</f>
        <v>18.8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>
        <v>35</v>
      </c>
      <c r="B65" s="60">
        <f>241+D65</f>
        <v>290</v>
      </c>
      <c r="C65" s="60">
        <v>4</v>
      </c>
      <c r="D65" s="60">
        <v>49</v>
      </c>
      <c r="E65" s="51">
        <v>0.3</v>
      </c>
      <c r="F65" s="51">
        <v>0.4</v>
      </c>
      <c r="G65" s="51">
        <v>0.3</v>
      </c>
      <c r="H65" s="51"/>
      <c r="I65" s="49">
        <f>IF(A65&lt;&gt;0,(B65-(B64-D64))/(A65-A64),"")</f>
        <v>19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>
        <v>40</v>
      </c>
      <c r="B66" s="60">
        <f>285+D66</f>
        <v>334</v>
      </c>
      <c r="C66" s="60">
        <v>5</v>
      </c>
      <c r="D66" s="60">
        <v>49</v>
      </c>
      <c r="E66" s="51">
        <v>0.4</v>
      </c>
      <c r="F66" s="51">
        <v>0.4</v>
      </c>
      <c r="G66" s="51">
        <v>0.2</v>
      </c>
      <c r="H66" s="51"/>
      <c r="I66" s="49">
        <f t="shared" ref="I66:I81" si="2">IF(A66&lt;&gt;0,(B66-(B65-D65))/(A66-A65),"")</f>
        <v>18.600000000000001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>
        <v>45</v>
      </c>
      <c r="B67" s="60">
        <f>325+D67</f>
        <v>374</v>
      </c>
      <c r="C67" s="60">
        <v>6</v>
      </c>
      <c r="D67" s="60">
        <v>49</v>
      </c>
      <c r="E67" s="51">
        <v>0.5</v>
      </c>
      <c r="F67" s="51">
        <v>0.3</v>
      </c>
      <c r="G67" s="51">
        <v>0.2</v>
      </c>
      <c r="H67" s="51"/>
      <c r="I67" s="49">
        <f t="shared" si="2"/>
        <v>17.8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>
        <v>50</v>
      </c>
      <c r="B68" s="60">
        <f>362+D68</f>
        <v>407</v>
      </c>
      <c r="C68" s="60">
        <v>7</v>
      </c>
      <c r="D68" s="60">
        <v>45</v>
      </c>
      <c r="E68" s="51">
        <v>0.5</v>
      </c>
      <c r="F68" s="51">
        <v>0.3</v>
      </c>
      <c r="G68" s="51">
        <v>0.2</v>
      </c>
      <c r="H68" s="51"/>
      <c r="I68" s="49">
        <f t="shared" si="2"/>
        <v>16.399999999999999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>
        <v>55</v>
      </c>
      <c r="B69" s="50">
        <f>400+D69</f>
        <v>438</v>
      </c>
      <c r="C69" s="50">
        <v>8</v>
      </c>
      <c r="D69" s="50">
        <v>38</v>
      </c>
      <c r="E69" s="51">
        <v>0.5</v>
      </c>
      <c r="F69" s="51">
        <v>0.3</v>
      </c>
      <c r="G69" s="51">
        <v>0.2</v>
      </c>
      <c r="H69" s="51"/>
      <c r="I69" s="49">
        <f t="shared" si="2"/>
        <v>15.2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>
        <v>60</v>
      </c>
      <c r="B70" s="50">
        <f>435+D70</f>
        <v>468</v>
      </c>
      <c r="C70" s="50">
        <v>9</v>
      </c>
      <c r="D70" s="50">
        <v>33</v>
      </c>
      <c r="E70" s="51">
        <v>0.5</v>
      </c>
      <c r="F70" s="51">
        <v>0.3</v>
      </c>
      <c r="G70" s="51">
        <v>0.2</v>
      </c>
      <c r="H70" s="51"/>
      <c r="I70" s="49">
        <f t="shared" si="2"/>
        <v>13.6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Erable sycomore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50">
        <v>15</v>
      </c>
      <c r="B88" s="60">
        <f>33+D88</f>
        <v>65</v>
      </c>
      <c r="C88" s="60">
        <v>1</v>
      </c>
      <c r="D88" s="60">
        <v>32</v>
      </c>
      <c r="E88" s="51"/>
      <c r="F88" s="51"/>
      <c r="G88" s="51"/>
      <c r="H88" s="87">
        <v>1</v>
      </c>
      <c r="I88" s="53">
        <f>IFERROR(B88/A88,"")</f>
        <v>4.333333333333333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50">
        <v>20</v>
      </c>
      <c r="B89" s="60">
        <f>67+D89</f>
        <v>102</v>
      </c>
      <c r="C89" s="60">
        <v>2</v>
      </c>
      <c r="D89" s="60">
        <v>35</v>
      </c>
      <c r="E89" s="51"/>
      <c r="F89" s="51"/>
      <c r="G89" s="51"/>
      <c r="H89" s="87">
        <v>1</v>
      </c>
      <c r="I89" s="53">
        <f t="shared" ref="I89:I107" si="3">IF(A89&lt;&gt;0,(B89-(B88-D88))/(A89-A88),"")</f>
        <v>13.8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50">
        <v>25</v>
      </c>
      <c r="B90" s="60">
        <f>106+D90</f>
        <v>141</v>
      </c>
      <c r="C90" s="60">
        <v>3</v>
      </c>
      <c r="D90" s="60">
        <v>35</v>
      </c>
      <c r="E90" s="87">
        <v>0.4</v>
      </c>
      <c r="F90" s="87">
        <v>0.08</v>
      </c>
      <c r="G90" s="87">
        <v>0.12</v>
      </c>
      <c r="H90" s="87">
        <v>0.4</v>
      </c>
      <c r="I90" s="53">
        <f t="shared" si="3"/>
        <v>14.8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50">
        <v>30</v>
      </c>
      <c r="B91" s="60">
        <f>142+D91</f>
        <v>177</v>
      </c>
      <c r="C91" s="60">
        <v>4</v>
      </c>
      <c r="D91" s="60">
        <v>35</v>
      </c>
      <c r="E91" s="87">
        <v>0.4</v>
      </c>
      <c r="F91" s="87">
        <v>0.08</v>
      </c>
      <c r="G91" s="87">
        <v>0.12</v>
      </c>
      <c r="H91" s="87">
        <v>0.4</v>
      </c>
      <c r="I91" s="53">
        <f t="shared" si="3"/>
        <v>14.2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50">
        <v>35</v>
      </c>
      <c r="B92" s="60">
        <f>171+D92</f>
        <v>206</v>
      </c>
      <c r="C92" s="60">
        <v>5</v>
      </c>
      <c r="D92" s="60">
        <v>35</v>
      </c>
      <c r="E92" s="87">
        <v>0.4</v>
      </c>
      <c r="F92" s="87">
        <v>0.08</v>
      </c>
      <c r="G92" s="87">
        <v>0.12</v>
      </c>
      <c r="H92" s="87">
        <v>0.4</v>
      </c>
      <c r="I92" s="53">
        <f t="shared" si="3"/>
        <v>12.8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50">
        <v>40</v>
      </c>
      <c r="B93" s="60">
        <f>193+D93</f>
        <v>228</v>
      </c>
      <c r="C93" s="60">
        <v>6</v>
      </c>
      <c r="D93" s="60">
        <v>35</v>
      </c>
      <c r="E93" s="87">
        <v>0.6</v>
      </c>
      <c r="F93" s="87">
        <v>0.04</v>
      </c>
      <c r="G93" s="87">
        <v>0.06</v>
      </c>
      <c r="H93" s="87">
        <v>0.3</v>
      </c>
      <c r="I93" s="53">
        <f t="shared" si="3"/>
        <v>11.4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50">
        <v>45</v>
      </c>
      <c r="B94" s="60">
        <f>216+D94</f>
        <v>240</v>
      </c>
      <c r="C94" s="60">
        <v>7</v>
      </c>
      <c r="D94" s="60">
        <v>24</v>
      </c>
      <c r="E94" s="87">
        <v>0.6</v>
      </c>
      <c r="F94" s="87">
        <v>0.04</v>
      </c>
      <c r="G94" s="87">
        <v>0.06</v>
      </c>
      <c r="H94" s="87">
        <v>0.3</v>
      </c>
      <c r="I94" s="53">
        <f t="shared" si="3"/>
        <v>9.4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60">
        <v>50</v>
      </c>
      <c r="B95" s="60">
        <f>242+D95</f>
        <v>261</v>
      </c>
      <c r="C95" s="60">
        <v>8</v>
      </c>
      <c r="D95" s="60">
        <v>19</v>
      </c>
      <c r="E95" s="87">
        <v>0.6</v>
      </c>
      <c r="F95" s="87">
        <v>0.04</v>
      </c>
      <c r="G95" s="87">
        <v>0.06</v>
      </c>
      <c r="H95" s="87">
        <v>0.3</v>
      </c>
      <c r="I95" s="53">
        <f t="shared" si="3"/>
        <v>9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60">
        <v>55</v>
      </c>
      <c r="B96" s="60">
        <f>263+D96</f>
        <v>279</v>
      </c>
      <c r="C96" s="60">
        <v>9</v>
      </c>
      <c r="D96" s="60">
        <v>16</v>
      </c>
      <c r="E96" s="87">
        <v>0.8</v>
      </c>
      <c r="F96" s="87">
        <v>0.04</v>
      </c>
      <c r="G96" s="87">
        <v>0.06</v>
      </c>
      <c r="H96" s="87">
        <v>0.1</v>
      </c>
      <c r="I96" s="53">
        <f t="shared" si="3"/>
        <v>7.4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60">
        <v>60</v>
      </c>
      <c r="B97" s="60">
        <f>280+D97</f>
        <v>294</v>
      </c>
      <c r="C97" s="60">
        <v>10</v>
      </c>
      <c r="D97" s="60">
        <v>14</v>
      </c>
      <c r="E97" s="87">
        <v>0.8</v>
      </c>
      <c r="F97" s="87">
        <v>0.04</v>
      </c>
      <c r="G97" s="87">
        <v>0.06</v>
      </c>
      <c r="H97" s="87">
        <v>0.1</v>
      </c>
      <c r="I97" s="53">
        <f t="shared" si="3"/>
        <v>6.2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60">
        <v>65</v>
      </c>
      <c r="B98" s="60">
        <f>293+D98</f>
        <v>306</v>
      </c>
      <c r="C98" s="60">
        <v>11</v>
      </c>
      <c r="D98" s="60">
        <v>13</v>
      </c>
      <c r="E98" s="87">
        <v>0.8</v>
      </c>
      <c r="F98" s="87">
        <v>0.04</v>
      </c>
      <c r="G98" s="87">
        <v>0.06</v>
      </c>
      <c r="H98" s="87">
        <v>0.1</v>
      </c>
      <c r="I98" s="53">
        <f t="shared" si="3"/>
        <v>5.2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60">
        <v>70</v>
      </c>
      <c r="B99" s="60">
        <f>303+D99</f>
        <v>316</v>
      </c>
      <c r="C99" s="60">
        <v>12</v>
      </c>
      <c r="D99" s="60">
        <v>13</v>
      </c>
      <c r="E99" s="87">
        <v>0.8</v>
      </c>
      <c r="F99" s="87">
        <v>0.04</v>
      </c>
      <c r="G99" s="87">
        <v>0.06</v>
      </c>
      <c r="H99" s="87">
        <v>0.1</v>
      </c>
      <c r="I99" s="53">
        <f t="shared" si="3"/>
        <v>4.5999999999999996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60">
        <v>75</v>
      </c>
      <c r="B100" s="60">
        <f>312+D100</f>
        <v>324</v>
      </c>
      <c r="C100" s="60">
        <v>13</v>
      </c>
      <c r="D100" s="60">
        <v>12</v>
      </c>
      <c r="E100" s="65">
        <v>0.8</v>
      </c>
      <c r="F100" s="65">
        <v>0.04</v>
      </c>
      <c r="G100" s="65">
        <v>0.06</v>
      </c>
      <c r="H100" s="65">
        <v>0.1</v>
      </c>
      <c r="I100" s="53">
        <f t="shared" si="3"/>
        <v>4.2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60">
        <v>80</v>
      </c>
      <c r="B101" s="60">
        <f>319+D101</f>
        <v>330</v>
      </c>
      <c r="C101" s="60">
        <v>14</v>
      </c>
      <c r="D101" s="60">
        <v>11</v>
      </c>
      <c r="E101" s="65">
        <v>0.8</v>
      </c>
      <c r="F101" s="65">
        <v>0.04</v>
      </c>
      <c r="G101" s="65">
        <v>0.06</v>
      </c>
      <c r="H101" s="65">
        <v>0.1</v>
      </c>
      <c r="I101" s="53">
        <f t="shared" si="3"/>
        <v>3.6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J11" sqref="J11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4" bestFit="1" customWidth="1"/>
    <col min="2" max="4" width="11.44140625" style="4"/>
    <col min="5" max="5" width="9.5546875" style="4" customWidth="1"/>
    <col min="6" max="7" width="11.44140625" style="4"/>
    <col min="8" max="8" width="10.6640625" style="4" customWidth="1"/>
    <col min="9" max="9" width="9.44140625" style="4" customWidth="1"/>
    <col min="10" max="11" width="10.554687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554687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5546875" style="4" bestFit="1" customWidth="1"/>
    <col min="36" max="36" width="9.44140625" style="4" bestFit="1" customWidth="1"/>
    <col min="37" max="38" width="10.5546875" style="4" bestFit="1" customWidth="1"/>
    <col min="39" max="41" width="10.5546875" style="4" customWidth="1"/>
    <col min="42" max="42" width="9" style="4" bestFit="1" customWidth="1"/>
    <col min="43" max="43" width="10.554687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5546875" style="4" bestFit="1" customWidth="1"/>
    <col min="54" max="54" width="14.33203125" style="4" customWidth="1"/>
    <col min="55" max="55" width="14" style="4" customWidth="1"/>
    <col min="56" max="56" width="10.5546875" style="4" bestFit="1" customWidth="1"/>
    <col min="57" max="57" width="9.44140625" style="4" bestFit="1" customWidth="1"/>
    <col min="58" max="59" width="10.5546875" style="4" bestFit="1" customWidth="1"/>
    <col min="60" max="62" width="10.5546875" style="4" customWidth="1"/>
    <col min="63" max="63" width="9" style="4" bestFit="1" customWidth="1"/>
    <col min="64" max="64" width="10.554687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5546875" style="4" bestFit="1" customWidth="1"/>
    <col min="75" max="75" width="14" style="4" bestFit="1" customWidth="1"/>
    <col min="76" max="76" width="13.88671875" style="4" customWidth="1"/>
    <col min="77" max="77" width="10.5546875" style="4" bestFit="1" customWidth="1"/>
    <col min="78" max="78" width="9.44140625" style="4" bestFit="1" customWidth="1"/>
    <col min="79" max="80" width="10.5546875" style="4" bestFit="1" customWidth="1"/>
    <col min="81" max="83" width="10.5546875" style="4" customWidth="1"/>
    <col min="84" max="84" width="11.44140625" style="4"/>
    <col min="85" max="85" width="10.554687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5546875" style="4" bestFit="1" customWidth="1"/>
    <col min="99" max="99" width="9.44140625" style="4" bestFit="1" customWidth="1"/>
    <col min="100" max="101" width="10.5546875" style="4" bestFit="1" customWidth="1"/>
    <col min="102" max="104" width="10.5546875" style="4" customWidth="1"/>
    <col min="105" max="105" width="9" style="4" bestFit="1" customWidth="1"/>
    <col min="106" max="106" width="10.554687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5546875" style="4" bestFit="1" customWidth="1"/>
    <col min="117" max="117" width="14.33203125" style="4" customWidth="1"/>
    <col min="118" max="118" width="14" style="4" bestFit="1" customWidth="1"/>
    <col min="119" max="119" width="10.5546875" style="4" bestFit="1" customWidth="1"/>
    <col min="120" max="120" width="9.44140625" style="4" bestFit="1" customWidth="1"/>
    <col min="121" max="122" width="10.5546875" style="4" bestFit="1" customWidth="1"/>
    <col min="123" max="125" width="10.5546875" style="4" customWidth="1"/>
    <col min="126" max="126" width="9" style="4" bestFit="1" customWidth="1"/>
    <col min="127" max="127" width="10.554687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5546875" style="4" bestFit="1" customWidth="1"/>
    <col min="138" max="139" width="14" style="4" customWidth="1"/>
    <col min="140" max="140" width="10.5546875" style="4" bestFit="1" customWidth="1"/>
    <col min="141" max="141" width="9.44140625" style="4" bestFit="1" customWidth="1"/>
    <col min="142" max="143" width="10.5546875" style="4" bestFit="1" customWidth="1"/>
    <col min="144" max="146" width="10.5546875" style="4" customWidth="1"/>
    <col min="147" max="147" width="9" style="4" bestFit="1" customWidth="1"/>
    <col min="148" max="148" width="10.554687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5546875" style="4" bestFit="1" customWidth="1"/>
    <col min="162" max="162" width="9.44140625" style="4" bestFit="1" customWidth="1"/>
    <col min="163" max="164" width="10.5546875" style="4" bestFit="1" customWidth="1"/>
    <col min="165" max="167" width="10.5546875" style="4" customWidth="1"/>
    <col min="168" max="168" width="9" style="4" bestFit="1" customWidth="1"/>
    <col min="169" max="169" width="10.554687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5546875" style="4" bestFit="1" customWidth="1"/>
    <col min="180" max="181" width="14" style="4" bestFit="1" customWidth="1"/>
    <col min="182" max="182" width="10.5546875" style="4" bestFit="1" customWidth="1"/>
    <col min="183" max="183" width="9.44140625" style="4" bestFit="1" customWidth="1"/>
    <col min="184" max="185" width="10.5546875" style="4" bestFit="1" customWidth="1"/>
    <col min="186" max="188" width="10.5546875" style="4" customWidth="1"/>
    <col min="189" max="189" width="9" style="4" bestFit="1" customWidth="1"/>
    <col min="190" max="190" width="10.554687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5546875" style="4" bestFit="1" customWidth="1"/>
    <col min="201" max="201" width="14" style="4" customWidth="1"/>
    <col min="202" max="202" width="14.33203125" style="4" customWidth="1"/>
    <col min="203" max="203" width="10.5546875" style="4" bestFit="1" customWidth="1"/>
    <col min="204" max="204" width="9.44140625" style="4" bestFit="1" customWidth="1"/>
    <col min="205" max="206" width="10.5546875" style="4" bestFit="1" customWidth="1"/>
    <col min="207" max="209" width="10.5546875" style="4" customWidth="1"/>
    <col min="210" max="210" width="9" style="4" bestFit="1" customWidth="1"/>
    <col min="211" max="211" width="10.554687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Mélèze d'Europe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Pin laricio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Erable sycomore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/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2" thickBot="1" x14ac:dyDescent="0.3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168.81286953191102</v>
      </c>
      <c r="T3" s="59">
        <f>IF('Données projet'!E9&gt;30,$R$33-$H$33,LOOKUP('Données projet'!$E$9,$A$3:$A$203,R3:R203)-LOOKUP('Données projet'!$E$9,$A$3:$A$203,$H$3:$H$203))</f>
        <v>255.78677933103666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247.08914525784144</v>
      </c>
      <c r="AO3" s="59">
        <f>IF('Données projet'!E10&gt;30,$AM$33-$H$33,LOOKUP('Données projet'!$E$10,$A$3:$A$203,AM3:AM203)-LOOKUP('Données projet'!$E$10,$A$3:$A$203,$H$3:$H$203))</f>
        <v>286.9617518796191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280.45463274302153</v>
      </c>
      <c r="BJ3" s="59">
        <f>IF('Données projet'!E11&gt;30,$BH$33-$H$33,LOOKUP('Données projet'!$E$11,$A$3:$A$203,BH3:BH203)-LOOKUP('Données projet'!$E$11,$A$3:$A$203,$H$3:$H$203))</f>
        <v>276.06968650495287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0.46799999999999997</v>
      </c>
      <c r="D4" s="11">
        <f>IFERROR(EXP(-1.0587+0.8836*LN(C4)+0.284),0)</f>
        <v>0.23560326283967137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5.431323432446586</v>
      </c>
      <c r="H4" s="67">
        <f t="shared" ref="H4:H67" si="1">(B4+E4+F4)*44/12+(C4+D4)*0.475*44/12</f>
        <v>294.55877568277907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7.8666666666666663</v>
      </c>
      <c r="N4" s="13">
        <f>IF('Données projet'!$A$36&gt;35,N3+M4-V3,IF(A4&lt;'Données projet'!$A$36,$K$205^A4,IF(A4='Données projet'!$A$36,'Données projet'!$B$36,N3+M4-V3)))</f>
        <v>1.3744389914333357</v>
      </c>
      <c r="O4" s="13">
        <f>N4*VLOOKUP('Données projet'!$B$9,Paramètres!$A$1:$I$89,3,0)*VLOOKUP('Données projet'!$B$9,Paramètres!$A$1:$I$89,5,0)</f>
        <v>0.85764993065440154</v>
      </c>
      <c r="P4" s="13">
        <f>EXP(-1.0587+0.8836*LN(O4)+0.284)</f>
        <v>0.40236929407765937</v>
      </c>
      <c r="Q4" s="20">
        <f t="shared" ref="Q4:Q34" si="2">(O4+P4)*0.475*44/12</f>
        <v>2.1945334830750061</v>
      </c>
      <c r="R4" s="59">
        <f t="shared" si="0"/>
        <v>295.52786681640833</v>
      </c>
      <c r="S4" s="59">
        <f ca="1">AVERAGE(OFFSET($R$3,0,0,'Données projet'!$E$9+1,1))-AVERAGE(OFFSET($H$3,0,0,'Données projet'!$E$9+1,1))</f>
        <v>168.81286953191102</v>
      </c>
      <c r="T4" s="59">
        <f>$T$3</f>
        <v>255.78677933103666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7.6</v>
      </c>
      <c r="AI4" s="13">
        <f>IF('Données projet'!$A$62&gt;35,AI3+AH4-AQ3,IF(A4&lt;'Données projet'!$A$62,$AF$205^A4,IF(A4='Données projet'!$A$62,'Données projet'!$B$62,AI3+AH4-AQ3)))</f>
        <v>1.2855594921550282</v>
      </c>
      <c r="AJ4" s="13">
        <f>AI4*VLOOKUP('Données projet'!$B$10,Paramètres!$A$1:$I$89,3,0)*VLOOKUP('Données projet'!$B$10,Paramètres!$A$1:$I$89,5,0)</f>
        <v>0.76876457630870687</v>
      </c>
      <c r="AK4" s="13">
        <f>EXP(-1.0587+0.8836*LN(AJ4)+0.284)</f>
        <v>0.36529109127234299</v>
      </c>
      <c r="AL4" s="20">
        <f t="shared" ref="AL4:AL67" si="4">(AJ4+AK4)*0.475*44/12</f>
        <v>1.9751469543703284</v>
      </c>
      <c r="AM4" s="59">
        <f t="shared" ref="AM4:AM67" si="5">AL4+(AD4+AE4)*44/12</f>
        <v>295.30848028770362</v>
      </c>
      <c r="AN4" s="59">
        <f ca="1">AVERAGE(OFFSET($AM$3,0,0,'Données projet'!$E$10+1,1))-AVERAGE(OFFSET($H$3,0,0,'Données projet'!$E$10+1,1))</f>
        <v>247.08914525784144</v>
      </c>
      <c r="AO4" s="59">
        <f>$AO$3</f>
        <v>286.9617518796191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4.333333333333333</v>
      </c>
      <c r="BD4" s="12">
        <f>IF('Données projet'!$A$88&gt;35,BD3+BC4-BL3,IF(A4&lt;'Données projet'!$A$88,$BA$205^A4,IF(A4='Données projet'!$A$88,'Données projet'!$B$88,BD3+BC4-BL3)))</f>
        <v>1.3208724756526424</v>
      </c>
      <c r="BE4" s="13">
        <f>BD4*VLOOKUP('Données projet'!$B$11,Paramètres!$A$1:$I$89,3,0)*VLOOKUP('Données projet'!$B$11,Paramètres!$A$1:$I$89,5,0)</f>
        <v>1.0508861416292423</v>
      </c>
      <c r="BF4" s="13">
        <f>EXP(-1.0587+0.8836*LN(BE4)+0.284)</f>
        <v>0.48150261531866312</v>
      </c>
      <c r="BG4" s="20">
        <f t="shared" ref="BG4:BG67" si="7">(BE4+BF4)*0.475*44/12</f>
        <v>2.6689104183509347</v>
      </c>
      <c r="BH4" s="59">
        <f t="shared" ref="BH4:BH67" si="8">BG4+(AY4+AZ4)*44/12</f>
        <v>296.00224375168426</v>
      </c>
      <c r="BI4" s="59">
        <f ca="1">AVERAGE(OFFSET($BH$3,0,0,'Données projet'!$E$11+1,1))-AVERAGE(OFFSET($H$3,0,0,'Données projet'!$E$11+1,1))</f>
        <v>280.45463274302153</v>
      </c>
      <c r="BJ4" s="59">
        <f>$BJ$3</f>
        <v>276.06968650495287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0.93599999999999994</v>
      </c>
      <c r="D5" s="11">
        <f t="shared" ref="D5:D68" si="32">IFERROR(EXP(-1.0587+0.8836*LN(C5)+0.284),0)</f>
        <v>0.43468174797979486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10.58070121247561</v>
      </c>
      <c r="H5" s="67">
        <f t="shared" si="1"/>
        <v>295.7206040443981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7.8666666666666663</v>
      </c>
      <c r="N5" s="13">
        <f>IF('Données projet'!$A$36&gt;35,N4+M5-V4,IF(A5&lt;'Données projet'!$A$36,$K$205^A5,IF(A5='Données projet'!$A$36,'Données projet'!$B$36,N4+M5-V4)))</f>
        <v>1.8890825411722851</v>
      </c>
      <c r="O5" s="13">
        <f>N5*VLOOKUP('Données projet'!$B$9,Paramètres!$A$1:$I$89,3,0)*VLOOKUP('Données projet'!$B$9,Paramètres!$A$1:$I$89,5,0)</f>
        <v>1.1787875056915058</v>
      </c>
      <c r="P5" s="13">
        <f t="shared" ref="P5:P68" si="33">EXP(-1.0587+0.8836*LN(O5)+0.284)</f>
        <v>0.53293285352624531</v>
      </c>
      <c r="Q5" s="20">
        <f t="shared" si="2"/>
        <v>2.9812462923042502</v>
      </c>
      <c r="R5" s="59">
        <f t="shared" si="0"/>
        <v>296.31457962563758</v>
      </c>
      <c r="S5" s="59">
        <f ca="1">AVERAGE(OFFSET($R$3,0,0,'Données projet'!$E$9+1,1))-AVERAGE(OFFSET($H$3,0,0,'Données projet'!$E$9+1,1))</f>
        <v>168.81286953191102</v>
      </c>
      <c r="T5" s="59">
        <f t="shared" ref="T5:T68" si="34">$T$3</f>
        <v>255.78677933103666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7.6</v>
      </c>
      <c r="AI5" s="13">
        <f>IF('Données projet'!$A$62&gt;35,AI4+AH5-AQ4,IF(A5&lt;'Données projet'!$A$62,$AF$205^A5,IF(A5='Données projet'!$A$62,'Données projet'!$B$62,AI4+AH5-AQ4)))</f>
        <v>1.652663207869894</v>
      </c>
      <c r="AJ5" s="13">
        <f>AI5*VLOOKUP('Données projet'!$B$10,Paramètres!$A$1:$I$89,3,0)*VLOOKUP('Données projet'!$B$10,Paramètres!$A$1:$I$89,5,0)</f>
        <v>0.98829259830619676</v>
      </c>
      <c r="AK5" s="13">
        <f t="shared" ref="AK5:AK68" si="35">EXP(-1.0587+0.8836*LN(AJ5)+0.284)</f>
        <v>0.45607149635956251</v>
      </c>
      <c r="AL5" s="20">
        <f t="shared" si="4"/>
        <v>2.5156007982095305</v>
      </c>
      <c r="AM5" s="59">
        <f t="shared" si="5"/>
        <v>295.84893413154282</v>
      </c>
      <c r="AN5" s="59">
        <f ca="1">AVERAGE(OFFSET($AM$3,0,0,'Données projet'!$E$10+1,1))-AVERAGE(OFFSET($H$3,0,0,'Données projet'!$E$10+1,1))</f>
        <v>247.08914525784144</v>
      </c>
      <c r="AO5" s="59">
        <f t="shared" ref="AO5:AO68" si="36">$AO$3</f>
        <v>286.9617518796191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4.333333333333333</v>
      </c>
      <c r="BD5" s="12">
        <f>IF('Données projet'!$A$88&gt;35,BD4+BC5-BL4,IF(A5&lt;'Données projet'!$A$88,$BA$205^A5,IF(A5='Données projet'!$A$88,'Données projet'!$B$88,BD4+BC5-BL4)))</f>
        <v>1.7447040969367404</v>
      </c>
      <c r="BE5" s="13">
        <f>BD5*VLOOKUP('Données projet'!$B$11,Paramètres!$A$1:$I$89,3,0)*VLOOKUP('Données projet'!$B$11,Paramètres!$A$1:$I$89,5,0)</f>
        <v>1.3880865795228707</v>
      </c>
      <c r="BF5" s="13">
        <f t="shared" ref="BF5:BF68" si="37">EXP(-1.0587+0.8836*LN(BE5)+0.284)</f>
        <v>0.61573144482258502</v>
      </c>
      <c r="BG5" s="20">
        <f t="shared" si="7"/>
        <v>3.4899830590683352</v>
      </c>
      <c r="BH5" s="59">
        <f t="shared" si="8"/>
        <v>296.82331639240164</v>
      </c>
      <c r="BI5" s="59">
        <f ca="1">AVERAGE(OFFSET($BH$3,0,0,'Données projet'!$E$11+1,1))-AVERAGE(OFFSET($H$3,0,0,'Données projet'!$E$11+1,1))</f>
        <v>280.45463274302153</v>
      </c>
      <c r="BJ5" s="59">
        <f t="shared" ref="BJ5:BJ68" si="38">$BJ$3</f>
        <v>276.06968650495287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1.4039999999999999</v>
      </c>
      <c r="D6" s="11">
        <f t="shared" si="32"/>
        <v>0.62196456335211292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15.639024699560167</v>
      </c>
      <c r="H6" s="67">
        <f t="shared" si="1"/>
        <v>296.86188828117156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7.8666666666666663</v>
      </c>
      <c r="N6" s="13">
        <f>IF('Données projet'!$A$36&gt;35,N5+M6-V5,IF(A6&lt;'Données projet'!$A$36,$K$205^A6,IF(A6='Données projet'!$A$36,'Données projet'!$B$36,N5+M6-V5)))</f>
        <v>2.5964287026231583</v>
      </c>
      <c r="O6" s="13">
        <f>N6*VLOOKUP('Données projet'!$B$9,Paramètres!$A$1:$I$89,3,0)*VLOOKUP('Données projet'!$B$9,Paramètres!$A$1:$I$89,5,0)</f>
        <v>1.6201715104368506</v>
      </c>
      <c r="P6" s="13">
        <f t="shared" si="33"/>
        <v>0.70586257586745593</v>
      </c>
      <c r="Q6" s="20">
        <f t="shared" si="2"/>
        <v>4.0511760336466676</v>
      </c>
      <c r="R6" s="59">
        <f t="shared" si="0"/>
        <v>297.38450936697996</v>
      </c>
      <c r="S6" s="59">
        <f ca="1">AVERAGE(OFFSET($R$3,0,0,'Données projet'!$E$9+1,1))-AVERAGE(OFFSET($H$3,0,0,'Données projet'!$E$9+1,1))</f>
        <v>168.81286953191102</v>
      </c>
      <c r="T6" s="59">
        <f t="shared" si="34"/>
        <v>255.78677933103666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7.6</v>
      </c>
      <c r="AI6" s="13">
        <f>IF('Données projet'!$A$62&gt;35,AI5+AH6-AQ5,IF(A6&lt;'Données projet'!$A$62,$AF$205^A6,IF(A6='Données projet'!$A$62,'Données projet'!$B$62,AI5+AH6-AQ5)))</f>
        <v>2.1245968742125205</v>
      </c>
      <c r="AJ6" s="13">
        <f>AI6*VLOOKUP('Données projet'!$B$10,Paramètres!$A$1:$I$89,3,0)*VLOOKUP('Données projet'!$B$10,Paramètres!$A$1:$I$89,5,0)</f>
        <v>1.2705089307790873</v>
      </c>
      <c r="AK6" s="13">
        <f t="shared" si="35"/>
        <v>0.56941221606900616</v>
      </c>
      <c r="AL6" s="20">
        <f t="shared" si="4"/>
        <v>3.2045293307604297</v>
      </c>
      <c r="AM6" s="59">
        <f t="shared" si="5"/>
        <v>296.53786266409372</v>
      </c>
      <c r="AN6" s="59">
        <f ca="1">AVERAGE(OFFSET($AM$3,0,0,'Données projet'!$E$10+1,1))-AVERAGE(OFFSET($H$3,0,0,'Données projet'!$E$10+1,1))</f>
        <v>247.08914525784144</v>
      </c>
      <c r="AO6" s="59">
        <f t="shared" si="36"/>
        <v>286.9617518796191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4.333333333333333</v>
      </c>
      <c r="BD6" s="12">
        <f>IF('Données projet'!$A$88&gt;35,BD5+BC6-BL5,IF(A6&lt;'Données projet'!$A$88,$BA$205^A6,IF(A6='Données projet'!$A$88,'Données projet'!$B$88,BD5+BC6-BL5)))</f>
        <v>2.3045316198021402</v>
      </c>
      <c r="BE6" s="13">
        <f>BD6*VLOOKUP('Données projet'!$B$11,Paramètres!$A$1:$I$89,3,0)*VLOOKUP('Données projet'!$B$11,Paramètres!$A$1:$I$89,5,0)</f>
        <v>1.833485356714583</v>
      </c>
      <c r="BF6" s="13">
        <f t="shared" si="37"/>
        <v>0.78737934142351296</v>
      </c>
      <c r="BG6" s="20">
        <f t="shared" si="7"/>
        <v>4.5646726825905164</v>
      </c>
      <c r="BH6" s="59">
        <f t="shared" si="8"/>
        <v>297.89800601592384</v>
      </c>
      <c r="BI6" s="59">
        <f ca="1">AVERAGE(OFFSET($BH$3,0,0,'Données projet'!$E$11+1,1))-AVERAGE(OFFSET($H$3,0,0,'Données projet'!$E$11+1,1))</f>
        <v>280.45463274302153</v>
      </c>
      <c r="BJ6" s="59">
        <f t="shared" si="38"/>
        <v>276.06968650495287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1.8719999999999999</v>
      </c>
      <c r="D7" s="11">
        <f t="shared" si="32"/>
        <v>0.80197625342459555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20.641220201874074</v>
      </c>
      <c r="H7" s="67">
        <f t="shared" si="1"/>
        <v>297.99050864138115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7.8666666666666663</v>
      </c>
      <c r="N7" s="13">
        <f>IF('Données projet'!$A$36&gt;35,N6+M7-V6,IF(A7&lt;'Données projet'!$A$36,$K$205^A7,IF(A7='Données projet'!$A$36,'Données projet'!$B$36,N6+M7-V6)))</f>
        <v>3.5686328473619384</v>
      </c>
      <c r="O7" s="13">
        <f>N7*VLOOKUP('Données projet'!$B$9,Paramètres!$A$1:$I$89,3,0)*VLOOKUP('Données projet'!$B$9,Paramètres!$A$1:$I$89,5,0)</f>
        <v>2.2268268967538494</v>
      </c>
      <c r="P7" s="13">
        <f t="shared" si="33"/>
        <v>0.93490572539023076</v>
      </c>
      <c r="Q7" s="20">
        <f t="shared" si="2"/>
        <v>5.5066843169009383</v>
      </c>
      <c r="R7" s="59">
        <f t="shared" si="0"/>
        <v>298.84001765023424</v>
      </c>
      <c r="S7" s="59">
        <f ca="1">AVERAGE(OFFSET($R$3,0,0,'Données projet'!$E$9+1,1))-AVERAGE(OFFSET($H$3,0,0,'Données projet'!$E$9+1,1))</f>
        <v>168.81286953191102</v>
      </c>
      <c r="T7" s="59">
        <f t="shared" si="34"/>
        <v>255.78677933103666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7.6</v>
      </c>
      <c r="AI7" s="13">
        <f>IF('Données projet'!$A$62&gt;35,AI6+AH7-AQ6,IF(A7&lt;'Données projet'!$A$62,$AF$205^A7,IF(A7='Données projet'!$A$62,'Données projet'!$B$62,AI6+AH7-AQ6)))</f>
        <v>2.7312956786468083</v>
      </c>
      <c r="AJ7" s="13">
        <f>AI7*VLOOKUP('Données projet'!$B$10,Paramètres!$A$1:$I$89,3,0)*VLOOKUP('Données projet'!$B$10,Paramètres!$A$1:$I$89,5,0)</f>
        <v>1.6333148158307915</v>
      </c>
      <c r="AK7" s="13">
        <f t="shared" si="35"/>
        <v>0.71091983251897084</v>
      </c>
      <c r="AL7" s="20">
        <f t="shared" si="4"/>
        <v>4.082875345875836</v>
      </c>
      <c r="AM7" s="59">
        <f t="shared" si="5"/>
        <v>297.41620867920915</v>
      </c>
      <c r="AN7" s="59">
        <f ca="1">AVERAGE(OFFSET($AM$3,0,0,'Données projet'!$E$10+1,1))-AVERAGE(OFFSET($H$3,0,0,'Données projet'!$E$10+1,1))</f>
        <v>247.08914525784144</v>
      </c>
      <c r="AO7" s="59">
        <f t="shared" si="36"/>
        <v>286.9617518796191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4.333333333333333</v>
      </c>
      <c r="BD7" s="12">
        <f>IF('Données projet'!$A$88&gt;35,BD6+BC7-BL6,IF(A7&lt;'Données projet'!$A$88,$BA$205^A7,IF(A7='Données projet'!$A$88,'Données projet'!$B$88,BD6+BC7-BL6)))</f>
        <v>3.0439923858678468</v>
      </c>
      <c r="BE7" s="13">
        <f>BD7*VLOOKUP('Données projet'!$B$11,Paramètres!$A$1:$I$89,3,0)*VLOOKUP('Données projet'!$B$11,Paramètres!$A$1:$I$89,5,0)</f>
        <v>2.4218003421964593</v>
      </c>
      <c r="BF7" s="13">
        <f t="shared" si="37"/>
        <v>1.0068776453006392</v>
      </c>
      <c r="BG7" s="20">
        <f t="shared" si="7"/>
        <v>5.9716141615574472</v>
      </c>
      <c r="BH7" s="59">
        <f t="shared" si="8"/>
        <v>299.30494749489077</v>
      </c>
      <c r="BI7" s="59">
        <f ca="1">AVERAGE(OFFSET($BH$3,0,0,'Données projet'!$E$11+1,1))-AVERAGE(OFFSET($H$3,0,0,'Données projet'!$E$11+1,1))</f>
        <v>280.45463274302153</v>
      </c>
      <c r="BJ7" s="59">
        <f t="shared" si="38"/>
        <v>276.06968650495287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2.34</v>
      </c>
      <c r="D8" s="11">
        <f t="shared" si="32"/>
        <v>0.97676749007450259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25.603117467241773</v>
      </c>
      <c r="H8" s="67">
        <f t="shared" si="1"/>
        <v>299.11003671187973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7.8666666666666663</v>
      </c>
      <c r="N8" s="13">
        <f>IF('Données projet'!$A$36&gt;35,N7+M8-V7,IF(A8&lt;'Données projet'!$A$36,$K$205^A8,IF(A8='Données projet'!$A$36,'Données projet'!$B$36,N7+M8-V7)))</f>
        <v>4.9048681315240152</v>
      </c>
      <c r="O8" s="13">
        <f>N8*VLOOKUP('Données projet'!$B$9,Paramètres!$A$1:$I$89,3,0)*VLOOKUP('Données projet'!$B$9,Paramètres!$A$1:$I$89,5,0)</f>
        <v>3.0606377140709853</v>
      </c>
      <c r="P8" s="13">
        <f t="shared" si="33"/>
        <v>1.2382703733701828</v>
      </c>
      <c r="Q8" s="20">
        <f t="shared" si="2"/>
        <v>7.487264918960034</v>
      </c>
      <c r="R8" s="59">
        <f t="shared" si="0"/>
        <v>300.82059825229334</v>
      </c>
      <c r="S8" s="59">
        <f ca="1">AVERAGE(OFFSET($R$3,0,0,'Données projet'!$E$9+1,1))-AVERAGE(OFFSET($H$3,0,0,'Données projet'!$E$9+1,1))</f>
        <v>168.81286953191102</v>
      </c>
      <c r="T8" s="59">
        <f t="shared" si="34"/>
        <v>255.78677933103666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7.6</v>
      </c>
      <c r="AI8" s="13">
        <f>IF('Données projet'!$A$62&gt;35,AI7+AH8-AQ7,IF(A8&lt;'Données projet'!$A$62,$AF$205^A8,IF(A8='Données projet'!$A$62,'Données projet'!$B$62,AI7+AH8-AQ7)))</f>
        <v>3.5112430855664138</v>
      </c>
      <c r="AJ8" s="13">
        <f>AI8*VLOOKUP('Données projet'!$B$10,Paramètres!$A$1:$I$89,3,0)*VLOOKUP('Données projet'!$B$10,Paramètres!$A$1:$I$89,5,0)</f>
        <v>2.0997233651687157</v>
      </c>
      <c r="AK8" s="13">
        <f t="shared" si="35"/>
        <v>0.88759424895715988</v>
      </c>
      <c r="AL8" s="20">
        <f t="shared" si="4"/>
        <v>5.2029115112692326</v>
      </c>
      <c r="AM8" s="59">
        <f t="shared" si="5"/>
        <v>298.53624484460255</v>
      </c>
      <c r="AN8" s="59">
        <f ca="1">AVERAGE(OFFSET($AM$3,0,0,'Données projet'!$E$10+1,1))-AVERAGE(OFFSET($H$3,0,0,'Données projet'!$E$10+1,1))</f>
        <v>247.08914525784144</v>
      </c>
      <c r="AO8" s="59">
        <f t="shared" si="36"/>
        <v>286.9617518796191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4.333333333333333</v>
      </c>
      <c r="BD8" s="12">
        <f>IF('Données projet'!$A$88&gt;35,BD7+BC8-BL7,IF(A8&lt;'Données projet'!$A$88,$BA$205^A8,IF(A8='Données projet'!$A$88,'Données projet'!$B$88,BD7+BC8-BL7)))</f>
        <v>4.0207257585890561</v>
      </c>
      <c r="BE8" s="13">
        <f>BD8*VLOOKUP('Données projet'!$B$11,Paramètres!$A$1:$I$89,3,0)*VLOOKUP('Données projet'!$B$11,Paramètres!$A$1:$I$89,5,0)</f>
        <v>3.1988894135334531</v>
      </c>
      <c r="BF8" s="13">
        <f t="shared" si="37"/>
        <v>1.2875656488183871</v>
      </c>
      <c r="BG8" s="20">
        <f t="shared" si="7"/>
        <v>7.8139092335961218</v>
      </c>
      <c r="BH8" s="59">
        <f t="shared" si="8"/>
        <v>301.14724256692944</v>
      </c>
      <c r="BI8" s="59">
        <f ca="1">AVERAGE(OFFSET($BH$3,0,0,'Données projet'!$E$11+1,1))-AVERAGE(OFFSET($H$3,0,0,'Données projet'!$E$11+1,1))</f>
        <v>280.45463274302153</v>
      </c>
      <c r="BJ8" s="59">
        <f t="shared" si="38"/>
        <v>276.06968650495287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2.8079999999999998</v>
      </c>
      <c r="D9" s="11">
        <f t="shared" si="32"/>
        <v>1.1475080621585647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30.533746444732781</v>
      </c>
      <c r="H9" s="67">
        <f t="shared" si="1"/>
        <v>300.22250987492617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7.8666666666666663</v>
      </c>
      <c r="N9" s="13">
        <f>IF('Données projet'!$A$36&gt;35,N8+M9-V8,IF(A9&lt;'Données projet'!$A$36,$K$205^A9,IF(A9='Données projet'!$A$36,'Données projet'!$B$36,N8+M9-V8)))</f>
        <v>6.7414420078053778</v>
      </c>
      <c r="O9" s="13">
        <f>N9*VLOOKUP('Données projet'!$B$9,Paramètres!$A$1:$I$89,3,0)*VLOOKUP('Données projet'!$B$9,Paramètres!$A$1:$I$89,5,0)</f>
        <v>4.2066598128705559</v>
      </c>
      <c r="P9" s="13">
        <f t="shared" si="33"/>
        <v>1.6400728714398716</v>
      </c>
      <c r="Q9" s="20">
        <f t="shared" si="2"/>
        <v>10.183059425173994</v>
      </c>
      <c r="R9" s="59">
        <f t="shared" si="0"/>
        <v>303.51639275850732</v>
      </c>
      <c r="S9" s="59">
        <f ca="1">AVERAGE(OFFSET($R$3,0,0,'Données projet'!$E$9+1,1))-AVERAGE(OFFSET($H$3,0,0,'Données projet'!$E$9+1,1))</f>
        <v>168.81286953191102</v>
      </c>
      <c r="T9" s="59">
        <f t="shared" si="34"/>
        <v>255.78677933103666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7.6</v>
      </c>
      <c r="AI9" s="13">
        <f>IF('Données projet'!$A$62&gt;35,AI8+AH9-AQ8,IF(A9&lt;'Données projet'!$A$62,$AF$205^A9,IF(A9='Données projet'!$A$62,'Données projet'!$B$62,AI8+AH9-AQ8)))</f>
        <v>4.5139118779136131</v>
      </c>
      <c r="AJ9" s="13">
        <f>AI9*VLOOKUP('Données projet'!$B$10,Paramètres!$A$1:$I$89,3,0)*VLOOKUP('Données projet'!$B$10,Paramètres!$A$1:$I$89,5,0)</f>
        <v>2.699319302992341</v>
      </c>
      <c r="AK9" s="13">
        <f t="shared" si="35"/>
        <v>1.1081749513026866</v>
      </c>
      <c r="AL9" s="20">
        <f t="shared" si="4"/>
        <v>6.6313858262305061</v>
      </c>
      <c r="AM9" s="59">
        <f t="shared" si="5"/>
        <v>299.9647191595638</v>
      </c>
      <c r="AN9" s="59">
        <f ca="1">AVERAGE(OFFSET($AM$3,0,0,'Données projet'!$E$10+1,1))-AVERAGE(OFFSET($H$3,0,0,'Données projet'!$E$10+1,1))</f>
        <v>247.08914525784144</v>
      </c>
      <c r="AO9" s="59">
        <f t="shared" si="36"/>
        <v>286.9617518796191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4.333333333333333</v>
      </c>
      <c r="BD9" s="12">
        <f>IF('Données projet'!$A$88&gt;35,BD8+BC9-BL8,IF(A9&lt;'Données projet'!$A$88,$BA$205^A9,IF(A9='Données projet'!$A$88,'Données projet'!$B$88,BD8+BC9-BL8)))</f>
        <v>5.310865986667876</v>
      </c>
      <c r="BE9" s="13">
        <f>BD9*VLOOKUP('Données projet'!$B$11,Paramètres!$A$1:$I$89,3,0)*VLOOKUP('Données projet'!$B$11,Paramètres!$A$1:$I$89,5,0)</f>
        <v>4.2253249789929628</v>
      </c>
      <c r="BF9" s="13">
        <f t="shared" si="37"/>
        <v>1.6465012484432624</v>
      </c>
      <c r="BG9" s="20">
        <f t="shared" si="7"/>
        <v>10.226764012784757</v>
      </c>
      <c r="BH9" s="59">
        <f t="shared" si="8"/>
        <v>303.56009734611808</v>
      </c>
      <c r="BI9" s="59">
        <f ca="1">AVERAGE(OFFSET($BH$3,0,0,'Données projet'!$E$11+1,1))-AVERAGE(OFFSET($H$3,0,0,'Données projet'!$E$11+1,1))</f>
        <v>280.45463274302153</v>
      </c>
      <c r="BJ9" s="59">
        <f t="shared" si="38"/>
        <v>276.06968650495287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3.2759999999999998</v>
      </c>
      <c r="D10" s="11">
        <f t="shared" si="32"/>
        <v>1.3149520873221709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35.438928393364129</v>
      </c>
      <c r="H10" s="67">
        <f t="shared" si="1"/>
        <v>301.3292415520861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7.8666666666666663</v>
      </c>
      <c r="N10" s="13">
        <f>IF('Données projet'!$A$36&gt;35,N9+M10-V9,IF(A10&lt;'Données projet'!$A$36,$K$205^A10,IF(A10='Données projet'!$A$36,'Données projet'!$B$36,N9+M10-V9)))</f>
        <v>9.265700754014345</v>
      </c>
      <c r="O10" s="13">
        <f>N10*VLOOKUP('Données projet'!$B$9,Paramètres!$A$1:$I$89,3,0)*VLOOKUP('Données projet'!$B$9,Paramètres!$A$1:$I$89,5,0)</f>
        <v>5.781797270504951</v>
      </c>
      <c r="P10" s="13">
        <f t="shared" si="33"/>
        <v>2.1722550110862531</v>
      </c>
      <c r="Q10" s="20">
        <f t="shared" si="2"/>
        <v>13.853307723771346</v>
      </c>
      <c r="R10" s="59">
        <f t="shared" si="0"/>
        <v>307.18664105710468</v>
      </c>
      <c r="S10" s="59">
        <f ca="1">AVERAGE(OFFSET($R$3,0,0,'Données projet'!$E$9+1,1))-AVERAGE(OFFSET($H$3,0,0,'Données projet'!$E$9+1,1))</f>
        <v>168.81286953191102</v>
      </c>
      <c r="T10" s="59">
        <f t="shared" si="34"/>
        <v>255.78677933103666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7.6</v>
      </c>
      <c r="AI10" s="13">
        <f>IF('Données projet'!$A$62&gt;35,AI9+AH10-AQ9,IF(A10&lt;'Données projet'!$A$62,$AF$205^A10,IF(A10='Données projet'!$A$62,'Données projet'!$B$62,AI9+AH10-AQ9)))</f>
        <v>5.8029022614031742</v>
      </c>
      <c r="AJ10" s="13">
        <f>AI10*VLOOKUP('Données projet'!$B$10,Paramètres!$A$1:$I$89,3,0)*VLOOKUP('Données projet'!$B$10,Paramètres!$A$1:$I$89,5,0)</f>
        <v>3.4701355523190984</v>
      </c>
      <c r="AK10" s="13">
        <f t="shared" si="35"/>
        <v>1.3835733209600647</v>
      </c>
      <c r="AL10" s="20">
        <f t="shared" si="4"/>
        <v>8.4535429542945408</v>
      </c>
      <c r="AM10" s="59">
        <f t="shared" si="5"/>
        <v>301.78687628762788</v>
      </c>
      <c r="AN10" s="59">
        <f ca="1">AVERAGE(OFFSET($AM$3,0,0,'Données projet'!$E$10+1,1))-AVERAGE(OFFSET($H$3,0,0,'Données projet'!$E$10+1,1))</f>
        <v>247.08914525784144</v>
      </c>
      <c r="AO10" s="59">
        <f t="shared" si="36"/>
        <v>286.9617518796191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4.333333333333333</v>
      </c>
      <c r="BD10" s="12">
        <f>IF('Données projet'!$A$88&gt;35,BD9+BC10-BL9,IF(A10&lt;'Données projet'!$A$88,$BA$205^A10,IF(A10='Données projet'!$A$88,'Données projet'!$B$88,BD9+BC10-BL9)))</f>
        <v>7.0149767036694106</v>
      </c>
      <c r="BE10" s="13">
        <f>BD10*VLOOKUP('Données projet'!$B$11,Paramètres!$A$1:$I$89,3,0)*VLOOKUP('Données projet'!$B$11,Paramètres!$A$1:$I$89,5,0)</f>
        <v>5.5811154654393826</v>
      </c>
      <c r="BF10" s="13">
        <f t="shared" si="37"/>
        <v>2.1054975826771263</v>
      </c>
      <c r="BG10" s="20">
        <f t="shared" si="7"/>
        <v>13.387517725469587</v>
      </c>
      <c r="BH10" s="59">
        <f t="shared" si="8"/>
        <v>306.72085105880291</v>
      </c>
      <c r="BI10" s="59">
        <f ca="1">AVERAGE(OFFSET($BH$3,0,0,'Données projet'!$E$11+1,1))-AVERAGE(OFFSET($H$3,0,0,'Données projet'!$E$11+1,1))</f>
        <v>280.45463274302153</v>
      </c>
      <c r="BJ10" s="59">
        <f t="shared" si="38"/>
        <v>276.06968650495287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3.7439999999999998</v>
      </c>
      <c r="D11" s="11">
        <f t="shared" si="32"/>
        <v>1.4796248382778823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40.322718049864356</v>
      </c>
      <c r="H11" s="67">
        <f t="shared" si="1"/>
        <v>302.43114659333395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7.8666666666666663</v>
      </c>
      <c r="N11" s="13">
        <f>IF('Données projet'!$A$36&gt;35,N10+M11-V10,IF(A11&lt;'Données projet'!$A$36,$K$205^A11,IF(A11='Données projet'!$A$36,'Données projet'!$B$36,N10+M11-V10)))</f>
        <v>12.735140399270577</v>
      </c>
      <c r="O11" s="13">
        <f>N11*VLOOKUP('Données projet'!$B$9,Paramètres!$A$1:$I$89,3,0)*VLOOKUP('Données projet'!$B$9,Paramètres!$A$1:$I$89,5,0)</f>
        <v>7.9467276091448396</v>
      </c>
      <c r="P11" s="13">
        <f t="shared" si="33"/>
        <v>2.8771232762643337</v>
      </c>
      <c r="Q11" s="20">
        <f t="shared" si="2"/>
        <v>18.851540292087645</v>
      </c>
      <c r="R11" s="59">
        <f t="shared" si="0"/>
        <v>312.18487362542095</v>
      </c>
      <c r="S11" s="59">
        <f ca="1">AVERAGE(OFFSET($R$3,0,0,'Données projet'!$E$9+1,1))-AVERAGE(OFFSET($H$3,0,0,'Données projet'!$E$9+1,1))</f>
        <v>168.81286953191102</v>
      </c>
      <c r="T11" s="59">
        <f t="shared" si="34"/>
        <v>255.78677933103666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7.6</v>
      </c>
      <c r="AI11" s="13">
        <f>IF('Données projet'!$A$62&gt;35,AI10+AH11-AQ10,IF(A11&lt;'Données projet'!$A$62,$AF$205^A11,IF(A11='Données projet'!$A$62,'Données projet'!$B$62,AI10+AH11-AQ10)))</f>
        <v>7.4599760841947296</v>
      </c>
      <c r="AJ11" s="13">
        <f>AI11*VLOOKUP('Données projet'!$B$10,Paramètres!$A$1:$I$89,3,0)*VLOOKUP('Données projet'!$B$10,Paramètres!$A$1:$I$89,5,0)</f>
        <v>4.461065698348448</v>
      </c>
      <c r="AK11" s="13">
        <f t="shared" si="35"/>
        <v>1.7274123839581328</v>
      </c>
      <c r="AL11" s="20">
        <f t="shared" si="4"/>
        <v>10.77826599335063</v>
      </c>
      <c r="AM11" s="59">
        <f t="shared" si="5"/>
        <v>304.11159932668397</v>
      </c>
      <c r="AN11" s="59">
        <f ca="1">AVERAGE(OFFSET($AM$3,0,0,'Données projet'!$E$10+1,1))-AVERAGE(OFFSET($H$3,0,0,'Données projet'!$E$10+1,1))</f>
        <v>247.08914525784144</v>
      </c>
      <c r="AO11" s="59">
        <f t="shared" si="36"/>
        <v>286.9617518796191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4.333333333333333</v>
      </c>
      <c r="BD11" s="12">
        <f>IF('Données projet'!$A$88&gt;35,BD10+BC11-BL10,IF(A11&lt;'Données projet'!$A$88,$BA$205^A11,IF(A11='Données projet'!$A$88,'Données projet'!$B$88,BD10+BC11-BL10)))</f>
        <v>9.2658896452214261</v>
      </c>
      <c r="BE11" s="13">
        <f>BD11*VLOOKUP('Données projet'!$B$11,Paramètres!$A$1:$I$89,3,0)*VLOOKUP('Données projet'!$B$11,Paramètres!$A$1:$I$89,5,0)</f>
        <v>7.3719418017381662</v>
      </c>
      <c r="BF11" s="13">
        <f t="shared" si="37"/>
        <v>2.6924486542908248</v>
      </c>
      <c r="BG11" s="20">
        <f t="shared" si="7"/>
        <v>17.528813377583827</v>
      </c>
      <c r="BH11" s="59">
        <f t="shared" si="8"/>
        <v>310.86214671091716</v>
      </c>
      <c r="BI11" s="59">
        <f ca="1">AVERAGE(OFFSET($BH$3,0,0,'Données projet'!$E$11+1,1))-AVERAGE(OFFSET($H$3,0,0,'Données projet'!$E$11+1,1))</f>
        <v>280.45463274302153</v>
      </c>
      <c r="BJ11" s="59">
        <f t="shared" si="38"/>
        <v>276.06968650495287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4.2119999999999997</v>
      </c>
      <c r="D12" s="11">
        <f t="shared" si="32"/>
        <v>1.6419123971514347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45.188095697309329</v>
      </c>
      <c r="H12" s="67">
        <f t="shared" si="1"/>
        <v>303.52889742503874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7.8666666666666663</v>
      </c>
      <c r="N12" s="13">
        <f>IF('Données projet'!$A$36&gt;35,N11+M12-V11,IF(A12&lt;'Données projet'!$A$36,$K$205^A12,IF(A12='Données projet'!$A$36,'Données projet'!$B$36,N11+M12-V11)))</f>
        <v>17.50367352613538</v>
      </c>
      <c r="O12" s="13">
        <f>N12*VLOOKUP('Données projet'!$B$9,Paramètres!$A$1:$I$89,3,0)*VLOOKUP('Données projet'!$B$9,Paramètres!$A$1:$I$89,5,0)</f>
        <v>10.922292280308477</v>
      </c>
      <c r="P12" s="13">
        <f t="shared" si="33"/>
        <v>3.8107120501854066</v>
      </c>
      <c r="Q12" s="20">
        <f t="shared" si="2"/>
        <v>25.65998254227685</v>
      </c>
      <c r="R12" s="59">
        <f t="shared" si="0"/>
        <v>318.99331587561016</v>
      </c>
      <c r="S12" s="59">
        <f ca="1">AVERAGE(OFFSET($R$3,0,0,'Données projet'!$E$9+1,1))-AVERAGE(OFFSET($H$3,0,0,'Données projet'!$E$9+1,1))</f>
        <v>168.81286953191102</v>
      </c>
      <c r="T12" s="59">
        <f t="shared" si="34"/>
        <v>255.78677933103666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7.6</v>
      </c>
      <c r="AI12" s="13">
        <f>IF('Données projet'!$A$62&gt;35,AI11+AH12-AQ11,IF(A12&lt;'Données projet'!$A$62,$AF$205^A12,IF(A12='Données projet'!$A$62,'Données projet'!$B$62,AI11+AH12-AQ11)))</f>
        <v>9.5902430662860318</v>
      </c>
      <c r="AJ12" s="13">
        <f>AI12*VLOOKUP('Données projet'!$B$10,Paramètres!$A$1:$I$89,3,0)*VLOOKUP('Données projet'!$B$10,Paramètres!$A$1:$I$89,5,0)</f>
        <v>5.7349653536390477</v>
      </c>
      <c r="AK12" s="13">
        <f t="shared" si="35"/>
        <v>2.1567006959785462</v>
      </c>
      <c r="AL12" s="20">
        <f t="shared" si="4"/>
        <v>13.744651703083976</v>
      </c>
      <c r="AM12" s="59">
        <f t="shared" si="5"/>
        <v>307.07798503641732</v>
      </c>
      <c r="AN12" s="59">
        <f ca="1">AVERAGE(OFFSET($AM$3,0,0,'Données projet'!$E$10+1,1))-AVERAGE(OFFSET($H$3,0,0,'Données projet'!$E$10+1,1))</f>
        <v>247.08914525784144</v>
      </c>
      <c r="AO12" s="59">
        <f t="shared" si="36"/>
        <v>286.9617518796191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4.333333333333333</v>
      </c>
      <c r="BD12" s="12">
        <f>IF('Données projet'!$A$88&gt;35,BD11+BC12-BL11,IF(A12&lt;'Données projet'!$A$88,$BA$205^A12,IF(A12='Données projet'!$A$88,'Données projet'!$B$88,BD11+BC12-BL11)))</f>
        <v>12.23905859480781</v>
      </c>
      <c r="BE12" s="13">
        <f>BD12*VLOOKUP('Données projet'!$B$11,Paramètres!$A$1:$I$89,3,0)*VLOOKUP('Données projet'!$B$11,Paramètres!$A$1:$I$89,5,0)</f>
        <v>9.737395018029094</v>
      </c>
      <c r="BF12" s="13">
        <f t="shared" si="37"/>
        <v>3.4430244972188757</v>
      </c>
      <c r="BG12" s="20">
        <f t="shared" si="7"/>
        <v>22.955897322390214</v>
      </c>
      <c r="BH12" s="59">
        <f t="shared" si="8"/>
        <v>316.28923065572354</v>
      </c>
      <c r="BI12" s="59">
        <f ca="1">AVERAGE(OFFSET($BH$3,0,0,'Données projet'!$E$11+1,1))-AVERAGE(OFFSET($H$3,0,0,'Données projet'!$E$11+1,1))</f>
        <v>280.45463274302153</v>
      </c>
      <c r="BJ12" s="59">
        <f t="shared" si="38"/>
        <v>276.06968650495287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4.68</v>
      </c>
      <c r="D13" s="11">
        <f t="shared" si="32"/>
        <v>1.8021100168054613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50.037340480603554</v>
      </c>
      <c r="H13" s="67">
        <f t="shared" si="1"/>
        <v>304.62300827926947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7.8666666666666663</v>
      </c>
      <c r="N13" s="13">
        <f>IF('Données projet'!$A$36&gt;35,N12+M13-V12,IF(A13&lt;'Données projet'!$A$36,$K$205^A13,IF(A13='Données projet'!$A$36,'Données projet'!$B$36,N12+M13-V12)))</f>
        <v>24.05773138763989</v>
      </c>
      <c r="O13" s="13">
        <f>N13*VLOOKUP('Données projet'!$B$9,Paramètres!$A$1:$I$89,3,0)*VLOOKUP('Données projet'!$B$9,Paramètres!$A$1:$I$89,5,0)</f>
        <v>15.012024385887292</v>
      </c>
      <c r="P13" s="13">
        <f t="shared" si="33"/>
        <v>5.0472381386045626</v>
      </c>
      <c r="Q13" s="20">
        <f t="shared" si="2"/>
        <v>34.936548896823318</v>
      </c>
      <c r="R13" s="59">
        <f t="shared" si="0"/>
        <v>328.26988223015661</v>
      </c>
      <c r="S13" s="59">
        <f ca="1">AVERAGE(OFFSET($R$3,0,0,'Données projet'!$E$9+1,1))-AVERAGE(OFFSET($H$3,0,0,'Données projet'!$E$9+1,1))</f>
        <v>168.81286953191102</v>
      </c>
      <c r="T13" s="59">
        <f t="shared" si="34"/>
        <v>255.78677933103666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7.6</v>
      </c>
      <c r="AI13" s="13">
        <f>IF('Données projet'!$A$62&gt;35,AI12+AH13-AQ12,IF(A13&lt;'Données projet'!$A$62,$AF$205^A13,IF(A13='Données projet'!$A$62,'Données projet'!$B$62,AI12+AH13-AQ12)))</f>
        <v>12.328828005937952</v>
      </c>
      <c r="AJ13" s="13">
        <f>AI13*VLOOKUP('Données projet'!$B$10,Paramètres!$A$1:$I$89,3,0)*VLOOKUP('Données projet'!$B$10,Paramètres!$A$1:$I$89,5,0)</f>
        <v>7.3726391475508954</v>
      </c>
      <c r="AK13" s="13">
        <f t="shared" si="35"/>
        <v>2.6926736980873009</v>
      </c>
      <c r="AL13" s="20">
        <f t="shared" si="4"/>
        <v>17.530419872819859</v>
      </c>
      <c r="AM13" s="59">
        <f t="shared" si="5"/>
        <v>310.86375320615315</v>
      </c>
      <c r="AN13" s="59">
        <f ca="1">AVERAGE(OFFSET($AM$3,0,0,'Données projet'!$E$10+1,1))-AVERAGE(OFFSET($H$3,0,0,'Données projet'!$E$10+1,1))</f>
        <v>247.08914525784144</v>
      </c>
      <c r="AO13" s="59">
        <f t="shared" si="36"/>
        <v>286.9617518796191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4.333333333333333</v>
      </c>
      <c r="BD13" s="12">
        <f>IF('Données projet'!$A$88&gt;35,BD12+BC13-BL12,IF(A13&lt;'Données projet'!$A$88,$BA$205^A13,IF(A13='Données projet'!$A$88,'Données projet'!$B$88,BD12+BC13-BL12)))</f>
        <v>16.166235625781542</v>
      </c>
      <c r="BE13" s="13">
        <f>BD13*VLOOKUP('Données projet'!$B$11,Paramètres!$A$1:$I$89,3,0)*VLOOKUP('Données projet'!$B$11,Paramètres!$A$1:$I$89,5,0)</f>
        <v>12.861857063871796</v>
      </c>
      <c r="BF13" s="13">
        <f t="shared" si="37"/>
        <v>4.4028389063455258</v>
      </c>
      <c r="BG13" s="20">
        <f t="shared" si="7"/>
        <v>30.069345481461834</v>
      </c>
      <c r="BH13" s="59">
        <f t="shared" si="8"/>
        <v>323.40267881479514</v>
      </c>
      <c r="BI13" s="59">
        <f ca="1">AVERAGE(OFFSET($BH$3,0,0,'Données projet'!$E$11+1,1))-AVERAGE(OFFSET($H$3,0,0,'Données projet'!$E$11+1,1))</f>
        <v>280.45463274302153</v>
      </c>
      <c r="BJ13" s="59">
        <f t="shared" si="38"/>
        <v>276.06968650495287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5.1479999999999997</v>
      </c>
      <c r="D14" s="11">
        <f t="shared" si="32"/>
        <v>1.9604504824312583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54.872249338065849</v>
      </c>
      <c r="H14" s="67">
        <f t="shared" si="1"/>
        <v>305.71388459023444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7.8666666666666663</v>
      </c>
      <c r="N14" s="13">
        <f>IF('Données projet'!$A$36&gt;35,N13+M14-V13,IF(A14&lt;'Données projet'!$A$36,$K$205^A14,IF(A14='Données projet'!$A$36,'Données projet'!$B$36,N13+M14-V13)))</f>
        <v>33.065884064601875</v>
      </c>
      <c r="O14" s="13">
        <f>N14*VLOOKUP('Données projet'!$B$9,Paramètres!$A$1:$I$89,3,0)*VLOOKUP('Données projet'!$B$9,Paramètres!$A$1:$I$89,5,0)</f>
        <v>20.63311165631157</v>
      </c>
      <c r="P14" s="13">
        <f t="shared" si="33"/>
        <v>6.6850007275005234</v>
      </c>
      <c r="Q14" s="20">
        <f t="shared" si="2"/>
        <v>47.579045735139395</v>
      </c>
      <c r="R14" s="59">
        <f t="shared" si="0"/>
        <v>340.91237906847272</v>
      </c>
      <c r="S14" s="59">
        <f ca="1">AVERAGE(OFFSET($R$3,0,0,'Données projet'!$E$9+1,1))-AVERAGE(OFFSET($H$3,0,0,'Données projet'!$E$9+1,1))</f>
        <v>168.81286953191102</v>
      </c>
      <c r="T14" s="59">
        <f t="shared" si="34"/>
        <v>255.78677933103666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7.6</v>
      </c>
      <c r="AI14" s="13">
        <f>IF('Données projet'!$A$62&gt;35,AI13+AH14-AQ13,IF(A14&lt;'Données projet'!$A$62,$AF$205^A14,IF(A14='Données projet'!$A$62,'Données projet'!$B$62,AI13+AH14-AQ13)))</f>
        <v>15.849441870180282</v>
      </c>
      <c r="AJ14" s="13">
        <f>AI14*VLOOKUP('Données projet'!$B$10,Paramètres!$A$1:$I$89,3,0)*VLOOKUP('Données projet'!$B$10,Paramètres!$A$1:$I$89,5,0)</f>
        <v>9.4779662383678094</v>
      </c>
      <c r="AK14" s="13">
        <f t="shared" si="35"/>
        <v>3.3618441621921122</v>
      </c>
      <c r="AL14" s="20">
        <f t="shared" si="4"/>
        <v>22.362669780975192</v>
      </c>
      <c r="AM14" s="59">
        <f t="shared" si="5"/>
        <v>315.6960031143085</v>
      </c>
      <c r="AN14" s="59">
        <f ca="1">AVERAGE(OFFSET($AM$3,0,0,'Données projet'!$E$10+1,1))-AVERAGE(OFFSET($H$3,0,0,'Données projet'!$E$10+1,1))</f>
        <v>247.08914525784144</v>
      </c>
      <c r="AO14" s="59">
        <f t="shared" si="36"/>
        <v>286.9617518796191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4.333333333333333</v>
      </c>
      <c r="BD14" s="12">
        <f>IF('Données projet'!$A$88&gt;35,BD13+BC14-BL13,IF(A14&lt;'Données projet'!$A$88,$BA$205^A14,IF(A14='Données projet'!$A$88,'Données projet'!$B$88,BD13+BC14-BL13)))</f>
        <v>21.353535673010011</v>
      </c>
      <c r="BE14" s="13">
        <f>BD14*VLOOKUP('Données projet'!$B$11,Paramètres!$A$1:$I$89,3,0)*VLOOKUP('Données projet'!$B$11,Paramètres!$A$1:$I$89,5,0)</f>
        <v>16.988872981446764</v>
      </c>
      <c r="BF14" s="13">
        <f t="shared" si="37"/>
        <v>5.6302214668783828</v>
      </c>
      <c r="BG14" s="20">
        <f t="shared" si="7"/>
        <v>39.394922830832961</v>
      </c>
      <c r="BH14" s="59">
        <f t="shared" si="8"/>
        <v>332.72825616416628</v>
      </c>
      <c r="BI14" s="59">
        <f ca="1">AVERAGE(OFFSET($BH$3,0,0,'Données projet'!$E$11+1,1))-AVERAGE(OFFSET($H$3,0,0,'Données projet'!$E$11+1,1))</f>
        <v>280.45463274302153</v>
      </c>
      <c r="BJ14" s="59">
        <f t="shared" si="38"/>
        <v>276.06968650495287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5.6159999999999997</v>
      </c>
      <c r="D15" s="11">
        <f t="shared" si="32"/>
        <v>2.1171218270411956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59.694273752598697</v>
      </c>
      <c r="H15" s="67">
        <f t="shared" si="1"/>
        <v>306.80185384876341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7.8666666666666663</v>
      </c>
      <c r="N15" s="13">
        <f>IF('Données projet'!$A$36&gt;35,N14+M15-V14,IF(A15&lt;'Données projet'!$A$36,$K$205^A15,IF(A15='Données projet'!$A$36,'Données projet'!$B$36,N14+M15-V14)))</f>
        <v>45.44704034460301</v>
      </c>
      <c r="O15" s="13">
        <f>N15*VLOOKUP('Données projet'!$B$9,Paramètres!$A$1:$I$89,3,0)*VLOOKUP('Données projet'!$B$9,Paramètres!$A$1:$I$89,5,0)</f>
        <v>28.358953175032276</v>
      </c>
      <c r="P15" s="13">
        <f t="shared" si="33"/>
        <v>8.8541957996533149</v>
      </c>
      <c r="Q15" s="20">
        <f t="shared" si="2"/>
        <v>64.812901130910745</v>
      </c>
      <c r="R15" s="59">
        <f t="shared" si="0"/>
        <v>358.14623446424406</v>
      </c>
      <c r="S15" s="59">
        <f ca="1">AVERAGE(OFFSET($R$3,0,0,'Données projet'!$E$9+1,1))-AVERAGE(OFFSET($H$3,0,0,'Données projet'!$E$9+1,1))</f>
        <v>168.81286953191102</v>
      </c>
      <c r="T15" s="59">
        <f t="shared" si="34"/>
        <v>255.78677933103666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7.6</v>
      </c>
      <c r="AI15" s="13">
        <f>IF('Données projet'!$A$62&gt;35,AI14+AH15-AQ14,IF(A15&lt;'Données projet'!$A$62,$AF$205^A15,IF(A15='Données projet'!$A$62,'Données projet'!$B$62,AI14+AH15-AQ14)))</f>
        <v>20.375400441569603</v>
      </c>
      <c r="AJ15" s="13">
        <f>AI15*VLOOKUP('Données projet'!$B$10,Paramètres!$A$1:$I$89,3,0)*VLOOKUP('Données projet'!$B$10,Paramètres!$A$1:$I$89,5,0)</f>
        <v>12.184489464058624</v>
      </c>
      <c r="AK15" s="13">
        <f t="shared" si="35"/>
        <v>4.1973136882101167</v>
      </c>
      <c r="AL15" s="20">
        <f t="shared" si="4"/>
        <v>28.531640490201386</v>
      </c>
      <c r="AM15" s="59">
        <f t="shared" si="5"/>
        <v>321.86497382353468</v>
      </c>
      <c r="AN15" s="59">
        <f ca="1">AVERAGE(OFFSET($AM$3,0,0,'Données projet'!$E$10+1,1))-AVERAGE(OFFSET($H$3,0,0,'Données projet'!$E$10+1,1))</f>
        <v>247.08914525784144</v>
      </c>
      <c r="AO15" s="59">
        <f t="shared" si="36"/>
        <v>286.9617518796191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4.333333333333333</v>
      </c>
      <c r="BD15" s="12">
        <f>IF('Données projet'!$A$88&gt;35,BD14+BC15-BL14,IF(A15&lt;'Données projet'!$A$88,$BA$205^A15,IF(A15='Données projet'!$A$88,'Données projet'!$B$88,BD14+BC15-BL14)))</f>
        <v>28.205297528345746</v>
      </c>
      <c r="BE15" s="13">
        <f>BD15*VLOOKUP('Données projet'!$B$11,Paramètres!$A$1:$I$89,3,0)*VLOOKUP('Données projet'!$B$11,Paramètres!$A$1:$I$89,5,0)</f>
        <v>22.440134713551878</v>
      </c>
      <c r="BF15" s="13">
        <f t="shared" si="37"/>
        <v>7.1997623443392129</v>
      </c>
      <c r="BG15" s="20">
        <f t="shared" si="7"/>
        <v>51.622820709160315</v>
      </c>
      <c r="BH15" s="59">
        <f t="shared" si="8"/>
        <v>344.95615404249361</v>
      </c>
      <c r="BI15" s="59">
        <f ca="1">AVERAGE(OFFSET($BH$3,0,0,'Données projet'!$E$11+1,1))-AVERAGE(OFFSET($H$3,0,0,'Données projet'!$E$11+1,1))</f>
        <v>280.45463274302153</v>
      </c>
      <c r="BJ15" s="59">
        <f t="shared" si="38"/>
        <v>276.06968650495287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6.0839999999999996</v>
      </c>
      <c r="D16" s="11">
        <f t="shared" si="32"/>
        <v>2.2722789577396263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64.504609498340969</v>
      </c>
      <c r="H16" s="67">
        <f t="shared" si="1"/>
        <v>307.88718585139651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7.8666666666666663</v>
      </c>
      <c r="N16" s="13">
        <f>IF('Données projet'!$A$36&gt;35,N15+M16-V15,IF(A16&lt;'Données projet'!$A$36,$K$205^A16,IF(A16='Données projet'!$A$36,'Données projet'!$B$36,N15+M16-V15)))</f>
        <v>62.464184294866278</v>
      </c>
      <c r="O16" s="13">
        <f>N16*VLOOKUP('Données projet'!$B$9,Paramètres!$A$1:$I$89,3,0)*VLOOKUP('Données projet'!$B$9,Paramètres!$A$1:$I$89,5,0)</f>
        <v>38.977650999996555</v>
      </c>
      <c r="P16" s="13">
        <f t="shared" si="33"/>
        <v>11.727266226926854</v>
      </c>
      <c r="Q16" s="20">
        <f t="shared" si="2"/>
        <v>88.311064170224938</v>
      </c>
      <c r="R16" s="59">
        <f t="shared" si="0"/>
        <v>381.64439750355825</v>
      </c>
      <c r="S16" s="59">
        <f ca="1">AVERAGE(OFFSET($R$3,0,0,'Données projet'!$E$9+1,1))-AVERAGE(OFFSET($H$3,0,0,'Données projet'!$E$9+1,1))</f>
        <v>168.81286953191102</v>
      </c>
      <c r="T16" s="59">
        <f t="shared" si="34"/>
        <v>255.78677933103666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7.6</v>
      </c>
      <c r="AI16" s="13">
        <f>IF('Données projet'!$A$62&gt;35,AI15+AH16-AQ15,IF(A16&lt;'Données projet'!$A$62,$AF$205^A16,IF(A16='Données projet'!$A$62,'Données projet'!$B$62,AI15+AH16-AQ15)))</f>
        <v>26.193789444119556</v>
      </c>
      <c r="AJ16" s="13">
        <f>AI16*VLOOKUP('Données projet'!$B$10,Paramètres!$A$1:$I$89,3,0)*VLOOKUP('Données projet'!$B$10,Paramètres!$A$1:$I$89,5,0)</f>
        <v>15.663886087583496</v>
      </c>
      <c r="AK16" s="13">
        <f t="shared" si="35"/>
        <v>5.2404101282756796</v>
      </c>
      <c r="AL16" s="20">
        <f t="shared" si="4"/>
        <v>36.408315909288063</v>
      </c>
      <c r="AM16" s="59">
        <f t="shared" si="5"/>
        <v>329.74164924262141</v>
      </c>
      <c r="AN16" s="59">
        <f ca="1">AVERAGE(OFFSET($AM$3,0,0,'Données projet'!$E$10+1,1))-AVERAGE(OFFSET($H$3,0,0,'Données projet'!$E$10+1,1))</f>
        <v>247.08914525784144</v>
      </c>
      <c r="AO16" s="59">
        <f t="shared" si="36"/>
        <v>286.9617518796191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4.333333333333333</v>
      </c>
      <c r="BD16" s="12">
        <f>IF('Données projet'!$A$88&gt;35,BD15+BC16-BL15,IF(A16&lt;'Données projet'!$A$88,$BA$205^A16,IF(A16='Données projet'!$A$88,'Données projet'!$B$88,BD15+BC16-BL15)))</f>
        <v>37.255601172785397</v>
      </c>
      <c r="BE16" s="13">
        <f>BD16*VLOOKUP('Données projet'!$B$11,Paramètres!$A$1:$I$89,3,0)*VLOOKUP('Données projet'!$B$11,Paramètres!$A$1:$I$89,5,0)</f>
        <v>29.640556293068066</v>
      </c>
      <c r="BF16" s="13">
        <f t="shared" si="37"/>
        <v>9.2068452582035114</v>
      </c>
      <c r="BG16" s="20">
        <f t="shared" si="7"/>
        <v>67.659224368464649</v>
      </c>
      <c r="BH16" s="59">
        <f t="shared" si="8"/>
        <v>360.99255770179798</v>
      </c>
      <c r="BI16" s="59">
        <f ca="1">AVERAGE(OFFSET($BH$3,0,0,'Données projet'!$E$11+1,1))-AVERAGE(OFFSET($H$3,0,0,'Données projet'!$E$11+1,1))</f>
        <v>280.45463274302153</v>
      </c>
      <c r="BJ16" s="59">
        <f t="shared" si="38"/>
        <v>276.06968650495287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6.5519999999999996</v>
      </c>
      <c r="D17" s="11">
        <f t="shared" si="32"/>
        <v>2.4260515959655735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69.304257933769335</v>
      </c>
      <c r="H17" s="67">
        <f t="shared" si="1"/>
        <v>308.97010652964002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7.8666666666666663</v>
      </c>
      <c r="N17" s="13">
        <f>IF('Données projet'!$A$36&gt;35,N16+M17-V16,IF(A17&lt;'Données projet'!$A$36,$K$205^A17,IF(A17='Données projet'!$A$36,'Données projet'!$B$36,N16+M17-V16)))</f>
        <v>85.853210462942016</v>
      </c>
      <c r="O17" s="13">
        <f>N17*VLOOKUP('Données projet'!$B$9,Paramètres!$A$1:$I$89,3,0)*VLOOKUP('Données projet'!$B$9,Paramètres!$A$1:$I$89,5,0)</f>
        <v>53.572403328875815</v>
      </c>
      <c r="P17" s="13">
        <f t="shared" si="33"/>
        <v>15.532610331771101</v>
      </c>
      <c r="Q17" s="20">
        <f t="shared" si="2"/>
        <v>120.35789879229338</v>
      </c>
      <c r="R17" s="59">
        <f t="shared" si="0"/>
        <v>413.6912321256267</v>
      </c>
      <c r="S17" s="59">
        <f ca="1">AVERAGE(OFFSET($R$3,0,0,'Données projet'!$E$9+1,1))-AVERAGE(OFFSET($H$3,0,0,'Données projet'!$E$9+1,1))</f>
        <v>168.81286953191102</v>
      </c>
      <c r="T17" s="59">
        <f t="shared" si="34"/>
        <v>255.78677933103666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7.6</v>
      </c>
      <c r="AI17" s="13">
        <f>IF('Données projet'!$A$62&gt;35,AI16+AH17-AQ16,IF(A17&lt;'Données projet'!$A$62,$AF$205^A17,IF(A17='Données projet'!$A$62,'Données projet'!$B$62,AI16+AH17-AQ16)))</f>
        <v>33.673674655398074</v>
      </c>
      <c r="AJ17" s="13">
        <f>AI17*VLOOKUP('Données projet'!$B$10,Paramètres!$A$1:$I$89,3,0)*VLOOKUP('Données projet'!$B$10,Paramètres!$A$1:$I$89,5,0)</f>
        <v>20.136857443928051</v>
      </c>
      <c r="AK17" s="13">
        <f t="shared" si="35"/>
        <v>6.5427319358265699</v>
      </c>
      <c r="AL17" s="20">
        <f t="shared" si="4"/>
        <v>46.466951503072629</v>
      </c>
      <c r="AM17" s="59">
        <f t="shared" si="5"/>
        <v>339.80028483640592</v>
      </c>
      <c r="AN17" s="59">
        <f ca="1">AVERAGE(OFFSET($AM$3,0,0,'Données projet'!$E$10+1,1))-AVERAGE(OFFSET($H$3,0,0,'Données projet'!$E$10+1,1))</f>
        <v>247.08914525784144</v>
      </c>
      <c r="AO17" s="59">
        <f t="shared" si="36"/>
        <v>286.9617518796191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4.333333333333333</v>
      </c>
      <c r="BD17" s="12">
        <f>IF('Données projet'!$A$88&gt;35,BD16+BC17-BL16,IF(A17&lt;'Données projet'!$A$88,$BA$205^A17,IF(A17='Données projet'!$A$88,'Données projet'!$B$88,BD16+BC17-BL16)))</f>
        <v>49.209898153024547</v>
      </c>
      <c r="BE17" s="13">
        <f>BD17*VLOOKUP('Données projet'!$B$11,Paramètres!$A$1:$I$89,3,0)*VLOOKUP('Données projet'!$B$11,Paramètres!$A$1:$I$89,5,0)</f>
        <v>39.151394970546335</v>
      </c>
      <c r="BF17" s="13">
        <f t="shared" si="37"/>
        <v>11.773444115853561</v>
      </c>
      <c r="BG17" s="20">
        <f t="shared" si="7"/>
        <v>88.69409474214649</v>
      </c>
      <c r="BH17" s="59">
        <f t="shared" si="8"/>
        <v>382.0274280754798</v>
      </c>
      <c r="BI17" s="59">
        <f ca="1">AVERAGE(OFFSET($BH$3,0,0,'Données projet'!$E$11+1,1))-AVERAGE(OFFSET($H$3,0,0,'Données projet'!$E$11+1,1))</f>
        <v>280.45463274302153</v>
      </c>
      <c r="BJ17" s="59">
        <f t="shared" si="38"/>
        <v>276.06968650495287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7.02</v>
      </c>
      <c r="D18" s="11">
        <f t="shared" si="32"/>
        <v>2.5785498814341232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74.094069260193223</v>
      </c>
      <c r="H18" s="67">
        <f t="shared" si="1"/>
        <v>310.05080771016441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>
        <f>VLOOKUP(A18,'Données projet'!$A$35:$I$55,2,0)</f>
        <v>118</v>
      </c>
      <c r="L18" s="12">
        <f>VLOOKUP(A18,'Données projet'!$A$35:$I$55,9,0)</f>
        <v>7.8666666666666663</v>
      </c>
      <c r="M18" s="12">
        <f t="array" ref="M18">INDEX(L:L,MIN(IF(ISNUMBER(L18:L214),ROW(L18:L214),"")))</f>
        <v>7.8666666666666663</v>
      </c>
      <c r="N18" s="13">
        <f>IF('Données projet'!$A$36&gt;35,N17+M18-V17,IF(A18&lt;'Données projet'!$A$36,$K$205^A18,IF(A18='Données projet'!$A$36,'Données projet'!$B$36,N17+M18-V17)))</f>
        <v>118</v>
      </c>
      <c r="O18" s="13">
        <f>N18*VLOOKUP('Données projet'!$B$9,Paramètres!$A$1:$I$89,3,0)*VLOOKUP('Données projet'!$B$9,Paramètres!$A$1:$I$89,5,0)</f>
        <v>73.632000000000005</v>
      </c>
      <c r="P18" s="13">
        <f t="shared" si="33"/>
        <v>20.572738697163981</v>
      </c>
      <c r="Q18" s="20">
        <f t="shared" si="2"/>
        <v>164.07325323089393</v>
      </c>
      <c r="R18" s="59">
        <f t="shared" si="0"/>
        <v>457.40658656422727</v>
      </c>
      <c r="S18" s="59">
        <f ca="1">AVERAGE(OFFSET($R$3,0,0,'Données projet'!$E$9+1,1))-AVERAGE(OFFSET($H$3,0,0,'Données projet'!$E$9+1,1))</f>
        <v>168.81286953191102</v>
      </c>
      <c r="T18" s="59">
        <f t="shared" si="34"/>
        <v>255.78677933103666</v>
      </c>
      <c r="U18" s="15">
        <f>IF(ISNA(VLOOKUP(A18,'Données projet'!$A$35:$I$55,3,0)),0,VLOOKUP(A18,'Données projet'!$A$35:$I$55,3,0))</f>
        <v>1</v>
      </c>
      <c r="V18" s="15">
        <f>IF(ISNA(VLOOKUP(A18,'Données projet'!$A$35:$I$55,4,0)),0,VLOOKUP(A18,'Données projet'!$A$35:$I$55,4,0))</f>
        <v>21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0.36</v>
      </c>
      <c r="Y18" s="16">
        <f>IF(ISNA(VLOOKUP(A18,'Données projet'!$A$35:$I$55,7,0)),0%,VLOOKUP(A18,'Données projet'!$A$35:$I$55,7,0))</f>
        <v>0.4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6.2333481405477302</v>
      </c>
      <c r="AB18" s="21">
        <f>EXP(-LN(2)/2)*AB17+(1-EXP(-LN(2)/2))/(LN(2)/2)*V18*Y18*VLOOKUP('Données projet'!$B$9,Paramètres!$A$1:$I$89,3,0)*0.475*44/12</f>
        <v>5.9347088107147234</v>
      </c>
      <c r="AC18" s="22">
        <f t="shared" si="3"/>
        <v>12.168056951262454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7.6</v>
      </c>
      <c r="AI18" s="13">
        <f>IF('Données projet'!$A$62&gt;35,AI17+AH18-AQ17,IF(A18&lt;'Données projet'!$A$62,$AF$205^A18,IF(A18='Données projet'!$A$62,'Données projet'!$B$62,AI17+AH18-AQ17)))</f>
        <v>43.289512088987195</v>
      </c>
      <c r="AJ18" s="13">
        <f>AI18*VLOOKUP('Données projet'!$B$10,Paramètres!$A$1:$I$89,3,0)*VLOOKUP('Données projet'!$B$10,Paramètres!$A$1:$I$89,5,0)</f>
        <v>25.887128229214344</v>
      </c>
      <c r="AK18" s="13">
        <f t="shared" si="35"/>
        <v>8.168700566604377</v>
      </c>
      <c r="AL18" s="20">
        <f t="shared" si="4"/>
        <v>59.313901819384263</v>
      </c>
      <c r="AM18" s="59">
        <f t="shared" si="5"/>
        <v>352.6472351527176</v>
      </c>
      <c r="AN18" s="59">
        <f ca="1">AVERAGE(OFFSET($AM$3,0,0,'Données projet'!$E$10+1,1))-AVERAGE(OFFSET($H$3,0,0,'Données projet'!$E$10+1,1))</f>
        <v>247.08914525784144</v>
      </c>
      <c r="AO18" s="59">
        <f t="shared" si="36"/>
        <v>286.9617518796191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>
        <f>VLOOKUP(A18,'Données projet'!$A$87:$I$107,2,0)</f>
        <v>65</v>
      </c>
      <c r="BB18" s="12">
        <f>VLOOKUP(A18,'Données projet'!$A$87:$I$107,9,0)</f>
        <v>4.333333333333333</v>
      </c>
      <c r="BC18" s="12">
        <f t="array" ref="BC18">INDEX(BB:BB,MIN(IF(ISNUMBER(BB18:BB214),ROW(BB18:BB214),"")))</f>
        <v>4.333333333333333</v>
      </c>
      <c r="BD18" s="12">
        <f>IF('Données projet'!$A$88&gt;35,BD17+BC18-BL17,IF(A18&lt;'Données projet'!$A$88,$BA$205^A18,IF(A18='Données projet'!$A$88,'Données projet'!$B$88,BD17+BC18-BL17)))</f>
        <v>65</v>
      </c>
      <c r="BE18" s="13">
        <f>BD18*VLOOKUP('Données projet'!$B$11,Paramètres!$A$1:$I$89,3,0)*VLOOKUP('Données projet'!$B$11,Paramètres!$A$1:$I$89,5,0)</f>
        <v>51.713999999999999</v>
      </c>
      <c r="BF18" s="13">
        <f t="shared" si="37"/>
        <v>15.055535578337075</v>
      </c>
      <c r="BG18" s="20">
        <f t="shared" si="7"/>
        <v>116.29027446560372</v>
      </c>
      <c r="BH18" s="59">
        <f t="shared" si="8"/>
        <v>409.62360779893703</v>
      </c>
      <c r="BI18" s="59">
        <f ca="1">AVERAGE(OFFSET($BH$3,0,0,'Données projet'!$E$11+1,1))-AVERAGE(OFFSET($H$3,0,0,'Données projet'!$E$11+1,1))</f>
        <v>280.45463274302153</v>
      </c>
      <c r="BJ18" s="59">
        <f t="shared" si="38"/>
        <v>276.06968650495287</v>
      </c>
      <c r="BK18" s="15">
        <f>IF(ISNA(VLOOKUP(A18,'Données projet'!$A$87:$I$107,3,0)),0,VLOOKUP(A18,'Données projet'!$A$87:$I$107,3,0))</f>
        <v>1</v>
      </c>
      <c r="BL18" s="15">
        <f>IF(ISNA(VLOOKUP(A18,'Données projet'!$A$87:$I$107,4,0)),0,VLOOKUP(A18,'Données projet'!$A$87:$I$107,4,0))</f>
        <v>32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7.4879999999999995</v>
      </c>
      <c r="D19" s="11">
        <f t="shared" si="32"/>
        <v>2.7298684377500635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78.874773905439085</v>
      </c>
      <c r="H19" s="67">
        <f t="shared" si="1"/>
        <v>311.129454195748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14.666666666666666</v>
      </c>
      <c r="N19" s="13">
        <f>IF('Données projet'!$A$36&gt;35,N18+M19-V18,IF(A19&lt;'Données projet'!$A$36,$K$205^A19,IF(A19='Données projet'!$A$36,'Données projet'!$B$36,N18+M19-V18)))</f>
        <v>111.66666666666666</v>
      </c>
      <c r="O19" s="13">
        <f>N19*VLOOKUP('Données projet'!$B$9,Paramètres!$A$1:$I$89,3,0)*VLOOKUP('Données projet'!$B$9,Paramètres!$A$1:$I$89,5,0)</f>
        <v>69.679999999999993</v>
      </c>
      <c r="P19" s="13">
        <f t="shared" si="33"/>
        <v>19.593969114269527</v>
      </c>
      <c r="Q19" s="20">
        <f t="shared" si="2"/>
        <v>155.48549620735272</v>
      </c>
      <c r="R19" s="59">
        <f t="shared" si="0"/>
        <v>448.81882954068601</v>
      </c>
      <c r="S19" s="59">
        <f ca="1">AVERAGE(OFFSET($R$3,0,0,'Données projet'!$E$9+1,1))-AVERAGE(OFFSET($H$3,0,0,'Données projet'!$E$9+1,1))</f>
        <v>168.81286953191102</v>
      </c>
      <c r="T19" s="59">
        <f t="shared" si="34"/>
        <v>255.78677933103666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6.0628969078469206</v>
      </c>
      <c r="AB19" s="21">
        <f>EXP(-LN(2)/2)*AB18+(1-EXP(-LN(2)/2))/(LN(2)/2)*V19*Y19*VLOOKUP('Données projet'!$B$9,Paramètres!$A$1:$I$89,3,0)*0.475*44/12</f>
        <v>4.1964728444239316</v>
      </c>
      <c r="AC19" s="22">
        <f t="shared" si="3"/>
        <v>10.259369752270853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7.6</v>
      </c>
      <c r="AI19" s="13">
        <f>IF('Données projet'!$A$62&gt;35,AI18+AH19-AQ18,IF(A19&lt;'Données projet'!$A$62,$AF$205^A19,IF(A19='Données projet'!$A$62,'Données projet'!$B$62,AI18+AH19-AQ18)))</f>
        <v>55.651243176757333</v>
      </c>
      <c r="AJ19" s="13">
        <f>AI19*VLOOKUP('Données projet'!$B$10,Paramètres!$A$1:$I$89,3,0)*VLOOKUP('Données projet'!$B$10,Paramètres!$A$1:$I$89,5,0)</f>
        <v>33.27944341970089</v>
      </c>
      <c r="AK19" s="13">
        <f t="shared" si="35"/>
        <v>10.198747190215236</v>
      </c>
      <c r="AL19" s="20">
        <f t="shared" si="4"/>
        <v>75.724515312270583</v>
      </c>
      <c r="AM19" s="59">
        <f t="shared" si="5"/>
        <v>369.05784864560388</v>
      </c>
      <c r="AN19" s="59">
        <f ca="1">AVERAGE(OFFSET($AM$3,0,0,'Données projet'!$E$10+1,1))-AVERAGE(OFFSET($H$3,0,0,'Données projet'!$E$10+1,1))</f>
        <v>247.08914525784144</v>
      </c>
      <c r="AO19" s="59">
        <f t="shared" si="36"/>
        <v>286.9617518796191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13.8</v>
      </c>
      <c r="BD19" s="12">
        <f>IF('Données projet'!$A$88&gt;35,BD18+BC19-BL18,IF(A19&lt;'Données projet'!$A$88,$BA$205^A19,IF(A19='Données projet'!$A$88,'Données projet'!$B$88,BD18+BC19-BL18)))</f>
        <v>46.8</v>
      </c>
      <c r="BE19" s="13">
        <f>BD19*VLOOKUP('Données projet'!$B$11,Paramètres!$A$1:$I$89,3,0)*VLOOKUP('Données projet'!$B$11,Paramètres!$A$1:$I$89,5,0)</f>
        <v>37.234079999999999</v>
      </c>
      <c r="BF19" s="13">
        <f t="shared" si="37"/>
        <v>11.262510356679771</v>
      </c>
      <c r="BG19" s="20">
        <f t="shared" si="7"/>
        <v>84.464894871217254</v>
      </c>
      <c r="BH19" s="59">
        <f t="shared" si="8"/>
        <v>377.79822820455058</v>
      </c>
      <c r="BI19" s="59">
        <f ca="1">AVERAGE(OFFSET($BH$3,0,0,'Données projet'!$E$11+1,1))-AVERAGE(OFFSET($H$3,0,0,'Données projet'!$E$11+1,1))</f>
        <v>280.45463274302153</v>
      </c>
      <c r="BJ19" s="59">
        <f t="shared" si="38"/>
        <v>276.06968650495287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7.9559999999999995</v>
      </c>
      <c r="D20" s="11">
        <f t="shared" si="32"/>
        <v>2.880089392049658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83.647005833365782</v>
      </c>
      <c r="H20" s="67">
        <f t="shared" si="1"/>
        <v>312.20618902448649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14.666666666666666</v>
      </c>
      <c r="N20" s="13">
        <f>IF('Données projet'!$A$36&gt;35,N19+M20-V19,IF(A20&lt;'Données projet'!$A$36,$K$205^A20,IF(A20='Données projet'!$A$36,'Données projet'!$B$36,N19+M20-V19)))</f>
        <v>126.33333333333333</v>
      </c>
      <c r="O20" s="13">
        <f>N20*VLOOKUP('Données projet'!$B$9,Paramètres!$A$1:$I$89,3,0)*VLOOKUP('Données projet'!$B$9,Paramètres!$A$1:$I$89,5,0)</f>
        <v>78.831999999999994</v>
      </c>
      <c r="P20" s="13">
        <f t="shared" si="33"/>
        <v>21.851358063068435</v>
      </c>
      <c r="Q20" s="20">
        <f t="shared" si="2"/>
        <v>175.35684862651081</v>
      </c>
      <c r="R20" s="59">
        <f t="shared" si="0"/>
        <v>468.69018195984415</v>
      </c>
      <c r="S20" s="59">
        <f ca="1">AVERAGE(OFFSET($R$3,0,0,'Données projet'!$E$9+1,1))-AVERAGE(OFFSET($H$3,0,0,'Données projet'!$E$9+1,1))</f>
        <v>168.81286953191102</v>
      </c>
      <c r="T20" s="59">
        <f t="shared" si="34"/>
        <v>255.78677933103666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5.8971066730679551</v>
      </c>
      <c r="AB20" s="21">
        <f>EXP(-LN(2)/2)*AB19+(1-EXP(-LN(2)/2))/(LN(2)/2)*V20*Y20*VLOOKUP('Données projet'!$B$9,Paramètres!$A$1:$I$89,3,0)*0.475*44/12</f>
        <v>2.9673544053573617</v>
      </c>
      <c r="AC20" s="22">
        <f t="shared" si="3"/>
        <v>8.8644610784253164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7.6</v>
      </c>
      <c r="AI20" s="13">
        <f>IF('Données projet'!$A$62&gt;35,AI19+AH20-AQ19,IF(A20&lt;'Données projet'!$A$62,$AF$205^A20,IF(A20='Données projet'!$A$62,'Données projet'!$B$62,AI19+AH20-AQ19)))</f>
        <v>71.542983916108128</v>
      </c>
      <c r="AJ20" s="13">
        <f>AI20*VLOOKUP('Données projet'!$B$10,Paramètres!$A$1:$I$89,3,0)*VLOOKUP('Données projet'!$B$10,Paramètres!$A$1:$I$89,5,0)</f>
        <v>42.782704381832666</v>
      </c>
      <c r="AK20" s="13">
        <f t="shared" si="35"/>
        <v>12.73329134809511</v>
      </c>
      <c r="AL20" s="20">
        <f t="shared" si="4"/>
        <v>96.690359229624207</v>
      </c>
      <c r="AM20" s="59">
        <f t="shared" si="5"/>
        <v>390.02369256295754</v>
      </c>
      <c r="AN20" s="59">
        <f ca="1">AVERAGE(OFFSET($AM$3,0,0,'Données projet'!$E$10+1,1))-AVERAGE(OFFSET($H$3,0,0,'Données projet'!$E$10+1,1))</f>
        <v>247.08914525784144</v>
      </c>
      <c r="AO20" s="59">
        <f t="shared" si="36"/>
        <v>286.9617518796191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13.8</v>
      </c>
      <c r="BD20" s="12">
        <f>IF('Données projet'!$A$88&gt;35,BD19+BC20-BL19,IF(A20&lt;'Données projet'!$A$88,$BA$205^A20,IF(A20='Données projet'!$A$88,'Données projet'!$B$88,BD19+BC20-BL19)))</f>
        <v>60.599999999999994</v>
      </c>
      <c r="BE20" s="13">
        <f>BD20*VLOOKUP('Données projet'!$B$11,Paramètres!$A$1:$I$89,3,0)*VLOOKUP('Données projet'!$B$11,Paramètres!$A$1:$I$89,5,0)</f>
        <v>48.213360000000002</v>
      </c>
      <c r="BF20" s="13">
        <f t="shared" si="37"/>
        <v>14.151379520104694</v>
      </c>
      <c r="BG20" s="20">
        <f t="shared" si="7"/>
        <v>108.61858799751566</v>
      </c>
      <c r="BH20" s="59">
        <f t="shared" si="8"/>
        <v>401.95192133084896</v>
      </c>
      <c r="BI20" s="59">
        <f ca="1">AVERAGE(OFFSET($BH$3,0,0,'Données projet'!$E$11+1,1))-AVERAGE(OFFSET($H$3,0,0,'Données projet'!$E$11+1,1))</f>
        <v>280.45463274302153</v>
      </c>
      <c r="BJ20" s="59">
        <f t="shared" si="38"/>
        <v>276.06968650495287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8.4239999999999995</v>
      </c>
      <c r="D21" s="11">
        <f t="shared" si="32"/>
        <v>3.0292846636388133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88.411320210545227</v>
      </c>
      <c r="H21" s="67">
        <f t="shared" si="1"/>
        <v>313.28113745583755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>
        <f>VLOOKUP(A21,'Données projet'!$A$35:$I$55,2,0)</f>
        <v>141</v>
      </c>
      <c r="L21" s="12">
        <f>VLOOKUP(A21,'Données projet'!$A$35:$I$55,9,0)</f>
        <v>14.666666666666666</v>
      </c>
      <c r="M21" s="12">
        <f t="array" ref="M21">INDEX(L:L,MIN(IF(ISNUMBER(L21:L217),ROW(L21:L217),"")))</f>
        <v>14.666666666666666</v>
      </c>
      <c r="N21" s="13">
        <f>IF('Données projet'!$A$36&gt;35,N20+M21-V20,IF(A21&lt;'Données projet'!$A$36,$K$205^A21,IF(A21='Données projet'!$A$36,'Données projet'!$B$36,N20+M21-V20)))</f>
        <v>141</v>
      </c>
      <c r="O21" s="13">
        <f>N21*VLOOKUP('Données projet'!$B$9,Paramètres!$A$1:$I$89,3,0)*VLOOKUP('Données projet'!$B$9,Paramètres!$A$1:$I$89,5,0)</f>
        <v>87.983999999999995</v>
      </c>
      <c r="P21" s="13">
        <f t="shared" si="33"/>
        <v>24.078375128721785</v>
      </c>
      <c r="Q21" s="20">
        <f t="shared" si="2"/>
        <v>195.17530334919044</v>
      </c>
      <c r="R21" s="59">
        <f t="shared" si="0"/>
        <v>488.50863668252373</v>
      </c>
      <c r="S21" s="59">
        <f ca="1">AVERAGE(OFFSET($R$3,0,0,'Données projet'!$E$9+1,1))-AVERAGE(OFFSET($H$3,0,0,'Données projet'!$E$9+1,1))</f>
        <v>168.81286953191102</v>
      </c>
      <c r="T21" s="59">
        <f t="shared" si="34"/>
        <v>255.78677933103666</v>
      </c>
      <c r="U21" s="15">
        <f>IF(ISNA(VLOOKUP(A21,'Données projet'!$A$35:$I$55,3,0)),0,VLOOKUP(A21,'Données projet'!$A$35:$I$55,3,0))</f>
        <v>2</v>
      </c>
      <c r="V21" s="15">
        <f>IF(ISNA(VLOOKUP(A21,'Données projet'!$A$35:$I$55,4,0)),0,VLOOKUP(A21,'Données projet'!$A$35:$I$55,4,0))</f>
        <v>25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0.36</v>
      </c>
      <c r="Y21" s="16">
        <f>IF(ISNA(VLOOKUP(A21,'Données projet'!$A$35:$I$55,7,0)),0%,VLOOKUP(A21,'Données projet'!$A$35:$I$55,7,0))</f>
        <v>0.4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13.156502529248657</v>
      </c>
      <c r="AB21" s="21">
        <f>EXP(-LN(2)/2)*AB20+(1-EXP(-LN(2)/2))/(LN(2)/2)*V21*Y21*VLOOKUP('Données projet'!$B$9,Paramètres!$A$1:$I$89,3,0)*0.475*44/12</f>
        <v>9.1633659587771135</v>
      </c>
      <c r="AC21" s="22">
        <f t="shared" si="3"/>
        <v>22.319868488025769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7.6</v>
      </c>
      <c r="AI21" s="13">
        <f>IF('Données projet'!$A$62&gt;35,AI20+AH21-AQ20,IF(A21&lt;'Données projet'!$A$62,$AF$205^A21,IF(A21='Données projet'!$A$62,'Données projet'!$B$62,AI20+AH21-AQ20)))</f>
        <v>91.972762070447317</v>
      </c>
      <c r="AJ21" s="13">
        <f>AI21*VLOOKUP('Données projet'!$B$10,Paramètres!$A$1:$I$89,3,0)*VLOOKUP('Données projet'!$B$10,Paramètres!$A$1:$I$89,5,0)</f>
        <v>54.9997117181275</v>
      </c>
      <c r="AK21" s="13">
        <f t="shared" si="35"/>
        <v>15.897708368634639</v>
      </c>
      <c r="AL21" s="20">
        <f t="shared" si="4"/>
        <v>123.4796733177774</v>
      </c>
      <c r="AM21" s="59">
        <f t="shared" si="5"/>
        <v>416.8130066511107</v>
      </c>
      <c r="AN21" s="59">
        <f ca="1">AVERAGE(OFFSET($AM$3,0,0,'Données projet'!$E$10+1,1))-AVERAGE(OFFSET($H$3,0,0,'Données projet'!$E$10+1,1))</f>
        <v>247.08914525784144</v>
      </c>
      <c r="AO21" s="59">
        <f t="shared" si="36"/>
        <v>286.9617518796191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13.8</v>
      </c>
      <c r="BD21" s="12">
        <f>IF('Données projet'!$A$88&gt;35,BD20+BC21-BL20,IF(A21&lt;'Données projet'!$A$88,$BA$205^A21,IF(A21='Données projet'!$A$88,'Données projet'!$B$88,BD20+BC21-BL20)))</f>
        <v>74.399999999999991</v>
      </c>
      <c r="BE21" s="13">
        <f>BD21*VLOOKUP('Données projet'!$B$11,Paramètres!$A$1:$I$89,3,0)*VLOOKUP('Données projet'!$B$11,Paramètres!$A$1:$I$89,5,0)</f>
        <v>59.192639999999997</v>
      </c>
      <c r="BF21" s="13">
        <f t="shared" si="37"/>
        <v>16.963982408330725</v>
      </c>
      <c r="BG21" s="20">
        <f t="shared" si="7"/>
        <v>132.63945069450935</v>
      </c>
      <c r="BH21" s="59">
        <f t="shared" si="8"/>
        <v>425.97278402784264</v>
      </c>
      <c r="BI21" s="59">
        <f ca="1">AVERAGE(OFFSET($BH$3,0,0,'Données projet'!$E$11+1,1))-AVERAGE(OFFSET($H$3,0,0,'Données projet'!$E$11+1,1))</f>
        <v>280.45463274302153</v>
      </c>
      <c r="BJ21" s="59">
        <f t="shared" si="38"/>
        <v>276.06968650495287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8.8919999999999995</v>
      </c>
      <c r="D22" s="11">
        <f t="shared" si="32"/>
        <v>3.177517729464268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93.16820703446102</v>
      </c>
      <c r="H22" s="67">
        <f t="shared" si="1"/>
        <v>314.35441004548358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14.666666666666666</v>
      </c>
      <c r="N22" s="13">
        <f>IF('Données projet'!$A$36&gt;35,N21+M22-V21,IF(A22&lt;'Données projet'!$A$36,$K$205^A22,IF(A22='Données projet'!$A$36,'Données projet'!$B$36,N21+M22-V21)))</f>
        <v>130.66666666666666</v>
      </c>
      <c r="O22" s="13">
        <f>N22*VLOOKUP('Données projet'!$B$9,Paramètres!$A$1:$I$89,3,0)*VLOOKUP('Données projet'!$B$9,Paramètres!$A$1:$I$89,5,0)</f>
        <v>81.535999999999987</v>
      </c>
      <c r="P22" s="13">
        <f t="shared" si="33"/>
        <v>22.512327416510225</v>
      </c>
      <c r="Q22" s="20">
        <f t="shared" si="2"/>
        <v>181.21750358375527</v>
      </c>
      <c r="R22" s="59">
        <f t="shared" si="0"/>
        <v>474.55083691708859</v>
      </c>
      <c r="S22" s="59">
        <f ca="1">AVERAGE(OFFSET($R$3,0,0,'Données projet'!$E$9+1,1))-AVERAGE(OFFSET($H$3,0,0,'Données projet'!$E$9+1,1))</f>
        <v>168.81286953191102</v>
      </c>
      <c r="T22" s="59">
        <f t="shared" si="34"/>
        <v>255.78677933103666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12.796737275715953</v>
      </c>
      <c r="AB22" s="21">
        <f>EXP(-LN(2)/2)*AB21+(1-EXP(-LN(2)/2))/(LN(2)/2)*V22*Y22*VLOOKUP('Données projet'!$B$9,Paramètres!$A$1:$I$89,3,0)*0.475*44/12</f>
        <v>6.4794782079452666</v>
      </c>
      <c r="AC22" s="22">
        <f t="shared" si="3"/>
        <v>19.276215483661218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7.6</v>
      </c>
      <c r="AI22" s="13">
        <f>IF('Données projet'!$A$62&gt;35,AI21+AH22-AQ21,IF(A22&lt;'Données projet'!$A$62,$AF$205^A22,IF(A22='Données projet'!$A$62,'Données projet'!$B$62,AI21+AH22-AQ21)))</f>
        <v>118.2364572993795</v>
      </c>
      <c r="AJ22" s="13">
        <f>AI22*VLOOKUP('Données projet'!$B$10,Paramètres!$A$1:$I$89,3,0)*VLOOKUP('Données projet'!$B$10,Paramètres!$A$1:$I$89,5,0)</f>
        <v>70.705401465028942</v>
      </c>
      <c r="AK22" s="13">
        <f t="shared" si="35"/>
        <v>19.848531260691299</v>
      </c>
      <c r="AL22" s="20">
        <f t="shared" si="4"/>
        <v>157.71476616396276</v>
      </c>
      <c r="AM22" s="59">
        <f t="shared" si="5"/>
        <v>451.04809949729611</v>
      </c>
      <c r="AN22" s="59">
        <f ca="1">AVERAGE(OFFSET($AM$3,0,0,'Données projet'!$E$10+1,1))-AVERAGE(OFFSET($H$3,0,0,'Données projet'!$E$10+1,1))</f>
        <v>247.08914525784144</v>
      </c>
      <c r="AO22" s="59">
        <f t="shared" si="36"/>
        <v>286.9617518796191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13.8</v>
      </c>
      <c r="BD22" s="12">
        <f>IF('Données projet'!$A$88&gt;35,BD21+BC22-BL21,IF(A22&lt;'Données projet'!$A$88,$BA$205^A22,IF(A22='Données projet'!$A$88,'Données projet'!$B$88,BD21+BC22-BL21)))</f>
        <v>88.199999999999989</v>
      </c>
      <c r="BE22" s="13">
        <f>BD22*VLOOKUP('Données projet'!$B$11,Paramètres!$A$1:$I$89,3,0)*VLOOKUP('Données projet'!$B$11,Paramètres!$A$1:$I$89,5,0)</f>
        <v>70.171919999999986</v>
      </c>
      <c r="BF22" s="13">
        <f t="shared" si="37"/>
        <v>19.716145269554726</v>
      </c>
      <c r="BG22" s="20">
        <f t="shared" si="7"/>
        <v>156.55504701114111</v>
      </c>
      <c r="BH22" s="59">
        <f t="shared" si="8"/>
        <v>449.8883803444744</v>
      </c>
      <c r="BI22" s="59">
        <f ca="1">AVERAGE(OFFSET($BH$3,0,0,'Données projet'!$E$11+1,1))-AVERAGE(OFFSET($H$3,0,0,'Données projet'!$E$11+1,1))</f>
        <v>280.45463274302153</v>
      </c>
      <c r="BJ22" s="59">
        <f t="shared" si="38"/>
        <v>276.06968650495287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9.36</v>
      </c>
      <c r="D23" s="11">
        <f t="shared" si="32"/>
        <v>3.3248450073034994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97.918101810763858</v>
      </c>
      <c r="H23" s="67">
        <f t="shared" si="1"/>
        <v>315.42610505438688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14.666666666666666</v>
      </c>
      <c r="N23" s="13">
        <f>IF('Données projet'!$A$36&gt;35,N22+M23-V22,IF(A23&lt;'Données projet'!$A$36,$K$205^A23,IF(A23='Données projet'!$A$36,'Données projet'!$B$36,N22+M23-V22)))</f>
        <v>145.33333333333331</v>
      </c>
      <c r="O23" s="13">
        <f>N23*VLOOKUP('Données projet'!$B$9,Paramètres!$A$1:$I$89,3,0)*VLOOKUP('Données projet'!$B$9,Paramètres!$A$1:$I$89,5,0)</f>
        <v>90.687999999999988</v>
      </c>
      <c r="P23" s="13">
        <f t="shared" si="33"/>
        <v>24.731080413134364</v>
      </c>
      <c r="Q23" s="20">
        <f t="shared" si="2"/>
        <v>201.02156505287567</v>
      </c>
      <c r="R23" s="59">
        <f t="shared" si="0"/>
        <v>494.35489838620902</v>
      </c>
      <c r="S23" s="59">
        <f ca="1">AVERAGE(OFFSET($R$3,0,0,'Données projet'!$E$9+1,1))-AVERAGE(OFFSET($H$3,0,0,'Données projet'!$E$9+1,1))</f>
        <v>168.81286953191102</v>
      </c>
      <c r="T23" s="59">
        <f t="shared" si="34"/>
        <v>255.78677933103666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12.446809821960334</v>
      </c>
      <c r="AB23" s="21">
        <f>EXP(-LN(2)/2)*AB22+(1-EXP(-LN(2)/2))/(LN(2)/2)*V23*Y23*VLOOKUP('Données projet'!$B$9,Paramètres!$A$1:$I$89,3,0)*0.475*44/12</f>
        <v>4.5816829793885567</v>
      </c>
      <c r="AC23" s="22">
        <f t="shared" si="3"/>
        <v>17.028492801348889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>
        <f>VLOOKUP(A23,'Données projet'!$A$61:$I$81,2,0)</f>
        <v>152</v>
      </c>
      <c r="AG23" s="12">
        <f>VLOOKUP(A23,'Données projet'!$A$61:$I$81,9,0)</f>
        <v>7.6</v>
      </c>
      <c r="AH23" s="12">
        <f t="array" ref="AH23">INDEX(AG:AG,MIN(IF(ISNUMBER(AG23:AG219),ROW(AG23:AG219),"")))</f>
        <v>7.6</v>
      </c>
      <c r="AI23" s="13">
        <f>IF('Données projet'!$A$62&gt;35,AI22+AH23-AQ22,IF(A23&lt;'Données projet'!$A$62,$AF$205^A23,IF(A23='Données projet'!$A$62,'Données projet'!$B$62,AI22+AH23-AQ22)))</f>
        <v>152</v>
      </c>
      <c r="AJ23" s="13">
        <f>AI23*VLOOKUP('Données projet'!$B$10,Paramètres!$A$1:$I$89,3,0)*VLOOKUP('Données projet'!$B$10,Paramètres!$A$1:$I$89,5,0)</f>
        <v>90.896000000000001</v>
      </c>
      <c r="AK23" s="13">
        <f t="shared" si="35"/>
        <v>24.781193872187952</v>
      </c>
      <c r="AL23" s="20">
        <f t="shared" si="4"/>
        <v>201.47111266072736</v>
      </c>
      <c r="AM23" s="59">
        <f t="shared" si="5"/>
        <v>494.80444599406064</v>
      </c>
      <c r="AN23" s="59">
        <f ca="1">AVERAGE(OFFSET($AM$3,0,0,'Données projet'!$E$10+1,1))-AVERAGE(OFFSET($H$3,0,0,'Données projet'!$E$10+1,1))</f>
        <v>247.08914525784144</v>
      </c>
      <c r="AO23" s="59">
        <f t="shared" si="36"/>
        <v>286.9617518796191</v>
      </c>
      <c r="AP23" s="15">
        <f>IF(ISNA(VLOOKUP(A23,'Données projet'!$A$61:$I$81,3,0)),0,VLOOKUP(A23,'Données projet'!$A$61:$I$81,3,0))</f>
        <v>1</v>
      </c>
      <c r="AQ23" s="15">
        <f>IF(ISNA(VLOOKUP(A23,'Données projet'!$A$61:$I$81,4,0)),0,VLOOKUP(A23,'Données projet'!$A$61:$I$81,4,0))</f>
        <v>42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0.27</v>
      </c>
      <c r="AT23" s="16">
        <f>IF(ISNA(VLOOKUP(A23,'Données projet'!$A$61:$I$81,7,0)),0%,VLOOKUP(A23,'Données projet'!$A$61:$I$81,7,0))</f>
        <v>0.4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8.9604379520373616</v>
      </c>
      <c r="AW23" s="21">
        <f>EXP(-LN(2)/2)*AW22+(1-EXP(-LN(2)/2))/(LN(2)/2)*AQ23*AT23*VLOOKUP('Données projet'!$B$10,Paramètres!$A$1:$I$89,3,0)*0.475*44/12</f>
        <v>11.374858553869887</v>
      </c>
      <c r="AX23" s="21">
        <f t="shared" si="6"/>
        <v>20.335296505907248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>
        <f>VLOOKUP(A23,'Données projet'!$A$87:$I$107,2,0)</f>
        <v>102</v>
      </c>
      <c r="BB23" s="12">
        <f>VLOOKUP(A23,'Données projet'!$A$87:$I$107,9,0)</f>
        <v>13.8</v>
      </c>
      <c r="BC23" s="12">
        <f t="array" ref="BC23">INDEX(BB:BB,MIN(IF(ISNUMBER(BB23:BB219),ROW(BB23:BB219),"")))</f>
        <v>13.8</v>
      </c>
      <c r="BD23" s="12">
        <f>IF('Données projet'!$A$88&gt;35,BD22+BC23-BL22,IF(A23&lt;'Données projet'!$A$88,$BA$205^A23,IF(A23='Données projet'!$A$88,'Données projet'!$B$88,BD22+BC23-BL22)))</f>
        <v>101.99999999999999</v>
      </c>
      <c r="BE23" s="13">
        <f>BD23*VLOOKUP('Données projet'!$B$11,Paramètres!$A$1:$I$89,3,0)*VLOOKUP('Données projet'!$B$11,Paramètres!$A$1:$I$89,5,0)</f>
        <v>81.151200000000003</v>
      </c>
      <c r="BF23" s="13">
        <f t="shared" si="37"/>
        <v>22.418424032002342</v>
      </c>
      <c r="BG23" s="20">
        <f t="shared" si="7"/>
        <v>180.38376185573739</v>
      </c>
      <c r="BH23" s="59">
        <f t="shared" si="8"/>
        <v>473.71709518907073</v>
      </c>
      <c r="BI23" s="59">
        <f ca="1">AVERAGE(OFFSET($BH$3,0,0,'Données projet'!$E$11+1,1))-AVERAGE(OFFSET($H$3,0,0,'Données projet'!$E$11+1,1))</f>
        <v>280.45463274302153</v>
      </c>
      <c r="BJ23" s="59">
        <f t="shared" si="38"/>
        <v>276.06968650495287</v>
      </c>
      <c r="BK23" s="15">
        <f>IF(ISNA(VLOOKUP(A23,'Données projet'!$A$87:$I$107,3,0)),0,VLOOKUP(A23,'Données projet'!$A$87:$I$107,3,0))</f>
        <v>2</v>
      </c>
      <c r="BL23" s="15">
        <f>IF(ISNA(VLOOKUP(A23,'Données projet'!$A$87:$I$107,4,0)),0,VLOOKUP(A23,'Données projet'!$A$87:$I$107,4,0))</f>
        <v>35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9.8279999999999994</v>
      </c>
      <c r="D24" s="11">
        <f t="shared" si="32"/>
        <v>3.4713169544550615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102.66139403438996</v>
      </c>
      <c r="H24" s="67">
        <f t="shared" si="1"/>
        <v>316.49631036234257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>
        <f>VLOOKUP(A24,'Données projet'!$A$35:$I$55,2,0)</f>
        <v>160</v>
      </c>
      <c r="L24" s="12">
        <f>VLOOKUP(A24,'Données projet'!$A$35:$I$55,9,0)</f>
        <v>14.666666666666666</v>
      </c>
      <c r="M24" s="12">
        <f t="array" ref="M24">INDEX(L:L,MIN(IF(ISNUMBER(L24:L220),ROW(L24:L220),"")))</f>
        <v>14.666666666666666</v>
      </c>
      <c r="N24" s="13">
        <f>IF('Données projet'!$A$36&gt;35,N23+M24-V23,IF(A24&lt;'Données projet'!$A$36,$K$205^A24,IF(A24='Données projet'!$A$36,'Données projet'!$B$36,N23+M24-V23)))</f>
        <v>159.99999999999997</v>
      </c>
      <c r="O24" s="13">
        <f>N24*VLOOKUP('Données projet'!$B$9,Paramètres!$A$1:$I$89,3,0)*VLOOKUP('Données projet'!$B$9,Paramètres!$A$1:$I$89,5,0)</f>
        <v>99.839999999999975</v>
      </c>
      <c r="P24" s="13">
        <f t="shared" si="33"/>
        <v>26.923876203052867</v>
      </c>
      <c r="Q24" s="20">
        <f t="shared" si="2"/>
        <v>220.78041772031702</v>
      </c>
      <c r="R24" s="59">
        <f t="shared" si="0"/>
        <v>514.11375105365028</v>
      </c>
      <c r="S24" s="59">
        <f ca="1">AVERAGE(OFFSET($R$3,0,0,'Données projet'!$E$9+1,1))-AVERAGE(OFFSET($H$3,0,0,'Données projet'!$E$9+1,1))</f>
        <v>168.81286953191102</v>
      </c>
      <c r="T24" s="59">
        <f t="shared" si="34"/>
        <v>255.78677933103666</v>
      </c>
      <c r="U24" s="15">
        <f>IF(ISNA(VLOOKUP(A24,'Données projet'!$A$35:$I$55,3,0)),0,VLOOKUP(A24,'Données projet'!$A$35:$I$55,3,0))</f>
        <v>3</v>
      </c>
      <c r="V24" s="15">
        <f>IF(ISNA(VLOOKUP(A24,'Données projet'!$A$35:$I$55,4,0)),0,VLOOKUP(A24,'Données projet'!$A$35:$I$55,4,0))</f>
        <v>30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0.36</v>
      </c>
      <c r="Y24" s="16">
        <f>IF(ISNA(VLOOKUP(A24,'Données projet'!$A$35:$I$55,7,0)),0%,VLOOKUP(A24,'Données projet'!$A$35:$I$55,7,0))</f>
        <v>0.4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21.011234210754875</v>
      </c>
      <c r="AB24" s="21">
        <f>EXP(-LN(2)/2)*AB23+(1-EXP(-LN(2)/2))/(LN(2)/2)*V24*Y24*VLOOKUP('Données projet'!$B$9,Paramètres!$A$1:$I$89,3,0)*0.475*44/12</f>
        <v>11.717894547850809</v>
      </c>
      <c r="AC24" s="22">
        <f t="shared" si="3"/>
        <v>32.729128758605682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17.8</v>
      </c>
      <c r="AI24" s="13">
        <f>IF('Données projet'!$A$62&gt;35,AI23+AH24-AQ23,IF(A24&lt;'Données projet'!$A$62,$AF$205^A24,IF(A24='Données projet'!$A$62,'Données projet'!$B$62,AI23+AH24-AQ23)))</f>
        <v>127.80000000000001</v>
      </c>
      <c r="AJ24" s="13">
        <f>AI24*VLOOKUP('Données projet'!$B$10,Paramètres!$A$1:$I$89,3,0)*VLOOKUP('Données projet'!$B$10,Paramètres!$A$1:$I$89,5,0)</f>
        <v>76.42440000000002</v>
      </c>
      <c r="AK24" s="13">
        <f t="shared" si="35"/>
        <v>21.260618446015872</v>
      </c>
      <c r="AL24" s="20">
        <f t="shared" si="4"/>
        <v>170.13474046014434</v>
      </c>
      <c r="AM24" s="59">
        <f t="shared" si="5"/>
        <v>463.46807379347763</v>
      </c>
      <c r="AN24" s="59">
        <f ca="1">AVERAGE(OFFSET($AM$3,0,0,'Données projet'!$E$10+1,1))-AVERAGE(OFFSET($H$3,0,0,'Données projet'!$E$10+1,1))</f>
        <v>247.08914525784144</v>
      </c>
      <c r="AO24" s="59">
        <f t="shared" si="36"/>
        <v>286.9617518796191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8.7154143050299471</v>
      </c>
      <c r="AW24" s="21">
        <f>EXP(-LN(2)/2)*AW23+(1-EXP(-LN(2)/2))/(LN(2)/2)*AQ24*AT24*VLOOKUP('Données projet'!$B$10,Paramètres!$A$1:$I$89,3,0)*0.475*44/12</f>
        <v>8.0432396184792037</v>
      </c>
      <c r="AX24" s="21">
        <f t="shared" si="6"/>
        <v>16.758653923509151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14.8</v>
      </c>
      <c r="BD24" s="12">
        <f>IF('Données projet'!$A$88&gt;35,BD23+BC24-BL23,IF(A24&lt;'Données projet'!$A$88,$BA$205^A24,IF(A24='Données projet'!$A$88,'Données projet'!$B$88,BD23+BC24-BL23)))</f>
        <v>81.799999999999983</v>
      </c>
      <c r="BE24" s="13">
        <f>BD24*VLOOKUP('Données projet'!$B$11,Paramètres!$A$1:$I$89,3,0)*VLOOKUP('Données projet'!$B$11,Paramètres!$A$1:$I$89,5,0)</f>
        <v>65.080079999999981</v>
      </c>
      <c r="BF24" s="13">
        <f t="shared" si="37"/>
        <v>18.44653442602603</v>
      </c>
      <c r="BG24" s="20">
        <f t="shared" si="7"/>
        <v>145.47552012532864</v>
      </c>
      <c r="BH24" s="59">
        <f t="shared" si="8"/>
        <v>438.80885345866193</v>
      </c>
      <c r="BI24" s="59">
        <f ca="1">AVERAGE(OFFSET($BH$3,0,0,'Données projet'!$E$11+1,1))-AVERAGE(OFFSET($H$3,0,0,'Données projet'!$E$11+1,1))</f>
        <v>280.45463274302153</v>
      </c>
      <c r="BJ24" s="59">
        <f t="shared" si="38"/>
        <v>276.06968650495287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10.295999999999999</v>
      </c>
      <c r="D25" s="11">
        <f t="shared" si="32"/>
        <v>3.6169789512251227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107.39843400945709</v>
      </c>
      <c r="H25" s="67">
        <f t="shared" si="1"/>
        <v>317.56510500671709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14.833333333333334</v>
      </c>
      <c r="N25" s="13">
        <f>IF('Données projet'!$A$36&gt;35,N24+M25-V24,IF(A25&lt;'Données projet'!$A$36,$K$205^A25,IF(A25='Données projet'!$A$36,'Données projet'!$B$36,N24+M25-V24)))</f>
        <v>144.83333333333331</v>
      </c>
      <c r="O25" s="13">
        <f>N25*VLOOKUP('Données projet'!$B$9,Paramètres!$A$1:$I$89,3,0)*VLOOKUP('Données projet'!$B$9,Paramètres!$A$1:$I$89,5,0)</f>
        <v>90.375999999999976</v>
      </c>
      <c r="P25" s="13">
        <f t="shared" si="33"/>
        <v>24.655885124991098</v>
      </c>
      <c r="Q25" s="20">
        <f t="shared" si="2"/>
        <v>200.34719992602609</v>
      </c>
      <c r="R25" s="59">
        <f t="shared" si="0"/>
        <v>493.68053325935944</v>
      </c>
      <c r="S25" s="59">
        <f ca="1">AVERAGE(OFFSET($R$3,0,0,'Données projet'!$E$9+1,1))-AVERAGE(OFFSET($H$3,0,0,'Données projet'!$E$9+1,1))</f>
        <v>168.81286953191102</v>
      </c>
      <c r="T25" s="59">
        <f t="shared" si="34"/>
        <v>255.78677933103666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20.436680906328998</v>
      </c>
      <c r="AB25" s="21">
        <f>EXP(-LN(2)/2)*AB24+(1-EXP(-LN(2)/2))/(LN(2)/2)*V25*Y25*VLOOKUP('Données projet'!$B$9,Paramètres!$A$1:$I$89,3,0)*0.475*44/12</f>
        <v>8.2858026960141817</v>
      </c>
      <c r="AC25" s="22">
        <f t="shared" si="3"/>
        <v>28.722483602343182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17.8</v>
      </c>
      <c r="AI25" s="13">
        <f>IF('Données projet'!$A$62&gt;35,AI24+AH25-AQ24,IF(A25&lt;'Données projet'!$A$62,$AF$205^A25,IF(A25='Données projet'!$A$62,'Données projet'!$B$62,AI24+AH25-AQ24)))</f>
        <v>145.60000000000002</v>
      </c>
      <c r="AJ25" s="13">
        <f>AI25*VLOOKUP('Données projet'!$B$10,Paramètres!$A$1:$I$89,3,0)*VLOOKUP('Données projet'!$B$10,Paramètres!$A$1:$I$89,5,0)</f>
        <v>87.068800000000024</v>
      </c>
      <c r="AK25" s="13">
        <f t="shared" si="35"/>
        <v>23.856933608981997</v>
      </c>
      <c r="AL25" s="20">
        <f t="shared" si="4"/>
        <v>193.19565270231035</v>
      </c>
      <c r="AM25" s="59">
        <f t="shared" si="5"/>
        <v>486.5289860356437</v>
      </c>
      <c r="AN25" s="59">
        <f ca="1">AVERAGE(OFFSET($AM$3,0,0,'Données projet'!$E$10+1,1))-AVERAGE(OFFSET($H$3,0,0,'Données projet'!$E$10+1,1))</f>
        <v>247.08914525784144</v>
      </c>
      <c r="AO25" s="59">
        <f t="shared" si="36"/>
        <v>286.9617518796191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8.4770908425351834</v>
      </c>
      <c r="AW25" s="21">
        <f>EXP(-LN(2)/2)*AW24+(1-EXP(-LN(2)/2))/(LN(2)/2)*AQ25*AT25*VLOOKUP('Données projet'!$B$10,Paramètres!$A$1:$I$89,3,0)*0.475*44/12</f>
        <v>5.687429276934945</v>
      </c>
      <c r="AX25" s="21">
        <f t="shared" si="6"/>
        <v>14.164520119470129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14.8</v>
      </c>
      <c r="BD25" s="12">
        <f>IF('Données projet'!$A$88&gt;35,BD24+BC25-BL24,IF(A25&lt;'Données projet'!$A$88,$BA$205^A25,IF(A25='Données projet'!$A$88,'Données projet'!$B$88,BD24+BC25-BL24)))</f>
        <v>96.59999999999998</v>
      </c>
      <c r="BE25" s="13">
        <f>BD25*VLOOKUP('Données projet'!$B$11,Paramètres!$A$1:$I$89,3,0)*VLOOKUP('Données projet'!$B$11,Paramètres!$A$1:$I$89,5,0)</f>
        <v>76.854959999999991</v>
      </c>
      <c r="BF25" s="13">
        <f t="shared" si="37"/>
        <v>21.366419773799993</v>
      </c>
      <c r="BG25" s="20">
        <f t="shared" si="7"/>
        <v>171.06890310603498</v>
      </c>
      <c r="BH25" s="59">
        <f t="shared" si="8"/>
        <v>464.40223643936827</v>
      </c>
      <c r="BI25" s="59">
        <f ca="1">AVERAGE(OFFSET($BH$3,0,0,'Données projet'!$E$11+1,1))-AVERAGE(OFFSET($H$3,0,0,'Données projet'!$E$11+1,1))</f>
        <v>280.45463274302153</v>
      </c>
      <c r="BJ25" s="59">
        <f t="shared" si="38"/>
        <v>276.06968650495287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10.763999999999999</v>
      </c>
      <c r="D26" s="11">
        <f t="shared" si="32"/>
        <v>3.76187201923933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112.12953839412818</v>
      </c>
      <c r="H26" s="67">
        <f t="shared" si="1"/>
        <v>318.6325604335085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14.833333333333334</v>
      </c>
      <c r="N26" s="13">
        <f>IF('Données projet'!$A$36&gt;35,N25+M26-V25,IF(A26&lt;'Données projet'!$A$36,$K$205^A26,IF(A26='Données projet'!$A$36,'Données projet'!$B$36,N25+M26-V25)))</f>
        <v>159.66666666666666</v>
      </c>
      <c r="O26" s="13">
        <f>N26*VLOOKUP('Données projet'!$B$9,Paramètres!$A$1:$I$89,3,0)*VLOOKUP('Données projet'!$B$9,Paramètres!$A$1:$I$89,5,0)</f>
        <v>99.631999999999991</v>
      </c>
      <c r="P26" s="13">
        <f t="shared" si="33"/>
        <v>26.874307820174398</v>
      </c>
      <c r="Q26" s="20">
        <f t="shared" si="2"/>
        <v>220.33181945347039</v>
      </c>
      <c r="R26" s="59">
        <f t="shared" si="0"/>
        <v>513.66515278680367</v>
      </c>
      <c r="S26" s="59">
        <f ca="1">AVERAGE(OFFSET($R$3,0,0,'Données projet'!$E$9+1,1))-AVERAGE(OFFSET($H$3,0,0,'Données projet'!$E$9+1,1))</f>
        <v>168.81286953191102</v>
      </c>
      <c r="T26" s="59">
        <f t="shared" si="34"/>
        <v>255.78677933103666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19.877838792227092</v>
      </c>
      <c r="AB26" s="21">
        <f>EXP(-LN(2)/2)*AB25+(1-EXP(-LN(2)/2))/(LN(2)/2)*V26*Y26*VLOOKUP('Données projet'!$B$9,Paramètres!$A$1:$I$89,3,0)*0.475*44/12</f>
        <v>5.8589472739254056</v>
      </c>
      <c r="AC26" s="22">
        <f t="shared" si="3"/>
        <v>25.736786066152497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17.8</v>
      </c>
      <c r="AI26" s="13">
        <f>IF('Données projet'!$A$62&gt;35,AI25+AH26-AQ25,IF(A26&lt;'Données projet'!$A$62,$AF$205^A26,IF(A26='Données projet'!$A$62,'Données projet'!$B$62,AI25+AH26-AQ25)))</f>
        <v>163.40000000000003</v>
      </c>
      <c r="AJ26" s="13">
        <f>AI26*VLOOKUP('Données projet'!$B$10,Paramètres!$A$1:$I$89,3,0)*VLOOKUP('Données projet'!$B$10,Paramètres!$A$1:$I$89,5,0)</f>
        <v>97.713200000000029</v>
      </c>
      <c r="AK26" s="13">
        <f t="shared" si="35"/>
        <v>26.41646765440445</v>
      </c>
      <c r="AL26" s="20">
        <f t="shared" si="4"/>
        <v>216.1925044980878</v>
      </c>
      <c r="AM26" s="59">
        <f t="shared" si="5"/>
        <v>509.52583783142109</v>
      </c>
      <c r="AN26" s="59">
        <f ca="1">AVERAGE(OFFSET($AM$3,0,0,'Données projet'!$E$10+1,1))-AVERAGE(OFFSET($H$3,0,0,'Données projet'!$E$10+1,1))</f>
        <v>247.08914525784144</v>
      </c>
      <c r="AO26" s="59">
        <f t="shared" si="36"/>
        <v>286.9617518796191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8.2452843476552253</v>
      </c>
      <c r="AW26" s="21">
        <f>EXP(-LN(2)/2)*AW25+(1-EXP(-LN(2)/2))/(LN(2)/2)*AQ26*AT26*VLOOKUP('Données projet'!$B$10,Paramètres!$A$1:$I$89,3,0)*0.475*44/12</f>
        <v>4.0216198092396027</v>
      </c>
      <c r="AX26" s="21">
        <f t="shared" si="6"/>
        <v>12.266904156894828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14.8</v>
      </c>
      <c r="BD26" s="12">
        <f>IF('Données projet'!$A$88&gt;35,BD25+BC26-BL25,IF(A26&lt;'Données projet'!$A$88,$BA$205^A26,IF(A26='Données projet'!$A$88,'Données projet'!$B$88,BD25+BC26-BL25)))</f>
        <v>111.39999999999998</v>
      </c>
      <c r="BE26" s="13">
        <f>BD26*VLOOKUP('Données projet'!$B$11,Paramètres!$A$1:$I$89,3,0)*VLOOKUP('Données projet'!$B$11,Paramètres!$A$1:$I$89,5,0)</f>
        <v>88.629839999999987</v>
      </c>
      <c r="BF26" s="13">
        <f t="shared" si="37"/>
        <v>24.23448093253452</v>
      </c>
      <c r="BG26" s="20">
        <f t="shared" si="7"/>
        <v>196.57202562416424</v>
      </c>
      <c r="BH26" s="59">
        <f t="shared" si="8"/>
        <v>489.90535895749758</v>
      </c>
      <c r="BI26" s="59">
        <f ca="1">AVERAGE(OFFSET($BH$3,0,0,'Données projet'!$E$11+1,1))-AVERAGE(OFFSET($H$3,0,0,'Données projet'!$E$11+1,1))</f>
        <v>280.45463274302153</v>
      </c>
      <c r="BJ26" s="59">
        <f t="shared" si="38"/>
        <v>276.06968650495287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11.231999999999999</v>
      </c>
      <c r="D27" s="11">
        <f t="shared" si="32"/>
        <v>3.9060334113059061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116.85499475394033</v>
      </c>
      <c r="H27" s="67">
        <f t="shared" si="1"/>
        <v>319.69874152469112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14.833333333333334</v>
      </c>
      <c r="N27" s="13">
        <f>IF('Données projet'!$A$36&gt;35,N26+M27-V26,IF(A27&lt;'Données projet'!$A$36,$K$205^A27,IF(A27='Données projet'!$A$36,'Données projet'!$B$36,N26+M27-V26)))</f>
        <v>174.5</v>
      </c>
      <c r="O27" s="13">
        <f>N27*VLOOKUP('Données projet'!$B$9,Paramètres!$A$1:$I$89,3,0)*VLOOKUP('Données projet'!$B$9,Paramètres!$A$1:$I$89,5,0)</f>
        <v>108.88799999999999</v>
      </c>
      <c r="P27" s="13">
        <f t="shared" si="33"/>
        <v>29.068833971241411</v>
      </c>
      <c r="Q27" s="20">
        <f t="shared" si="2"/>
        <v>240.27481916657874</v>
      </c>
      <c r="R27" s="59">
        <f t="shared" si="0"/>
        <v>533.60815249991208</v>
      </c>
      <c r="S27" s="59">
        <f ca="1">AVERAGE(OFFSET($R$3,0,0,'Données projet'!$E$9+1,1))-AVERAGE(OFFSET($H$3,0,0,'Données projet'!$E$9+1,1))</f>
        <v>168.81286953191102</v>
      </c>
      <c r="T27" s="59">
        <f t="shared" si="34"/>
        <v>255.78677933103666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19.334278245123532</v>
      </c>
      <c r="AB27" s="21">
        <f>EXP(-LN(2)/2)*AB26+(1-EXP(-LN(2)/2))/(LN(2)/2)*V27*Y27*VLOOKUP('Données projet'!$B$9,Paramètres!$A$1:$I$89,3,0)*0.475*44/12</f>
        <v>4.1429013480070909</v>
      </c>
      <c r="AC27" s="22">
        <f t="shared" si="3"/>
        <v>23.477179593130622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17.8</v>
      </c>
      <c r="AI27" s="13">
        <f>IF('Données projet'!$A$62&gt;35,AI26+AH27-AQ26,IF(A27&lt;'Données projet'!$A$62,$AF$205^A27,IF(A27='Données projet'!$A$62,'Données projet'!$B$62,AI26+AH27-AQ26)))</f>
        <v>181.20000000000005</v>
      </c>
      <c r="AJ27" s="13">
        <f>AI27*VLOOKUP('Données projet'!$B$10,Paramètres!$A$1:$I$89,3,0)*VLOOKUP('Données projet'!$B$10,Paramètres!$A$1:$I$89,5,0)</f>
        <v>108.35760000000003</v>
      </c>
      <c r="AK27" s="13">
        <f t="shared" si="35"/>
        <v>28.943684177010258</v>
      </c>
      <c r="AL27" s="20">
        <f t="shared" si="4"/>
        <v>239.13306994162625</v>
      </c>
      <c r="AM27" s="59">
        <f t="shared" si="5"/>
        <v>532.46640327495959</v>
      </c>
      <c r="AN27" s="59">
        <f ca="1">AVERAGE(OFFSET($AM$3,0,0,'Données projet'!$E$10+1,1))-AVERAGE(OFFSET($H$3,0,0,'Données projet'!$E$10+1,1))</f>
        <v>247.08914525784144</v>
      </c>
      <c r="AO27" s="59">
        <f t="shared" si="36"/>
        <v>286.9617518796191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8.0198166135679347</v>
      </c>
      <c r="AW27" s="21">
        <f>EXP(-LN(2)/2)*AW26+(1-EXP(-LN(2)/2))/(LN(2)/2)*AQ27*AT27*VLOOKUP('Données projet'!$B$10,Paramètres!$A$1:$I$89,3,0)*0.475*44/12</f>
        <v>2.843714638467473</v>
      </c>
      <c r="AX27" s="21">
        <f t="shared" si="6"/>
        <v>10.863531252035408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14.8</v>
      </c>
      <c r="BD27" s="12">
        <f>IF('Données projet'!$A$88&gt;35,BD26+BC27-BL26,IF(A27&lt;'Données projet'!$A$88,$BA$205^A27,IF(A27='Données projet'!$A$88,'Données projet'!$B$88,BD26+BC27-BL26)))</f>
        <v>126.19999999999997</v>
      </c>
      <c r="BE27" s="13">
        <f>BD27*VLOOKUP('Données projet'!$B$11,Paramètres!$A$1:$I$89,3,0)*VLOOKUP('Données projet'!$B$11,Paramètres!$A$1:$I$89,5,0)</f>
        <v>100.40472</v>
      </c>
      <c r="BF27" s="13">
        <f t="shared" si="37"/>
        <v>27.058393830330502</v>
      </c>
      <c r="BG27" s="20">
        <f t="shared" si="7"/>
        <v>221.99825658782561</v>
      </c>
      <c r="BH27" s="59">
        <f t="shared" si="8"/>
        <v>515.33158992115887</v>
      </c>
      <c r="BI27" s="59">
        <f ca="1">AVERAGE(OFFSET($BH$3,0,0,'Données projet'!$E$11+1,1))-AVERAGE(OFFSET($H$3,0,0,'Données projet'!$E$11+1,1))</f>
        <v>280.45463274302153</v>
      </c>
      <c r="BJ27" s="59">
        <f t="shared" si="38"/>
        <v>276.06968650495287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11.7</v>
      </c>
      <c r="D28" s="11">
        <f t="shared" si="32"/>
        <v>4.0494971001980291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121.57506533486197</v>
      </c>
      <c r="H28" s="67">
        <f t="shared" si="1"/>
        <v>320.76370744951157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14.833333333333334</v>
      </c>
      <c r="N28" s="13">
        <f>IF('Données projet'!$A$36&gt;35,N27+M28-V27,IF(A28&lt;'Données projet'!$A$36,$K$205^A28,IF(A28='Données projet'!$A$36,'Données projet'!$B$36,N27+M28-V27)))</f>
        <v>189.33333333333334</v>
      </c>
      <c r="O28" s="13">
        <f>N28*VLOOKUP('Données projet'!$B$9,Paramètres!$A$1:$I$89,3,0)*VLOOKUP('Données projet'!$B$9,Paramètres!$A$1:$I$89,5,0)</f>
        <v>118.14399999999999</v>
      </c>
      <c r="P28" s="13">
        <f t="shared" si="33"/>
        <v>31.241725849174369</v>
      </c>
      <c r="Q28" s="20">
        <f t="shared" si="2"/>
        <v>260.18013918731202</v>
      </c>
      <c r="R28" s="59">
        <f t="shared" si="0"/>
        <v>553.51347252064534</v>
      </c>
      <c r="S28" s="59">
        <f ca="1">AVERAGE(OFFSET($R$3,0,0,'Données projet'!$E$9+1,1))-AVERAGE(OFFSET($H$3,0,0,'Données projet'!$E$9+1,1))</f>
        <v>168.81286953191102</v>
      </c>
      <c r="T28" s="59">
        <f t="shared" si="34"/>
        <v>255.78677933103666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18.805581389765123</v>
      </c>
      <c r="AB28" s="21">
        <f>EXP(-LN(2)/2)*AB27+(1-EXP(-LN(2)/2))/(LN(2)/2)*V28*Y28*VLOOKUP('Données projet'!$B$9,Paramètres!$A$1:$I$89,3,0)*0.475*44/12</f>
        <v>2.9294736369627028</v>
      </c>
      <c r="AC28" s="22">
        <f t="shared" si="3"/>
        <v>21.735055026727828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>
        <f>VLOOKUP(A28,'Données projet'!$A$61:$I$81,2,0)</f>
        <v>199</v>
      </c>
      <c r="AG28" s="12">
        <f>VLOOKUP(A28,'Données projet'!$A$61:$I$81,9,0)</f>
        <v>17.8</v>
      </c>
      <c r="AH28" s="12">
        <f t="array" ref="AH28">INDEX(AG:AG,MIN(IF(ISNUMBER(AG28:AG224),ROW(AG28:AG224),"")))</f>
        <v>17.8</v>
      </c>
      <c r="AI28" s="13">
        <f>IF('Données projet'!$A$62&gt;35,AI27+AH28-AQ27,IF(A28&lt;'Données projet'!$A$62,$AF$205^A28,IF(A28='Données projet'!$A$62,'Données projet'!$B$62,AI27+AH28-AQ27)))</f>
        <v>199.00000000000006</v>
      </c>
      <c r="AJ28" s="13">
        <f>AI28*VLOOKUP('Données projet'!$B$10,Paramètres!$A$1:$I$89,3,0)*VLOOKUP('Données projet'!$B$10,Paramètres!$A$1:$I$89,5,0)</f>
        <v>119.00200000000005</v>
      </c>
      <c r="AK28" s="13">
        <f t="shared" si="35"/>
        <v>31.442119166644687</v>
      </c>
      <c r="AL28" s="20">
        <f t="shared" si="4"/>
        <v>262.02350754857287</v>
      </c>
      <c r="AM28" s="59">
        <f t="shared" si="5"/>
        <v>555.35684088190624</v>
      </c>
      <c r="AN28" s="59">
        <f ca="1">AVERAGE(OFFSET($AM$3,0,0,'Données projet'!$E$10+1,1))-AVERAGE(OFFSET($H$3,0,0,'Données projet'!$E$10+1,1))</f>
        <v>247.08914525784144</v>
      </c>
      <c r="AO28" s="59">
        <f t="shared" si="36"/>
        <v>286.9617518796191</v>
      </c>
      <c r="AP28" s="15">
        <f>IF(ISNA(VLOOKUP(A28,'Données projet'!$A$61:$I$81,3,0)),0,VLOOKUP(A28,'Données projet'!$A$61:$I$81,3,0))</f>
        <v>2</v>
      </c>
      <c r="AQ28" s="15">
        <f>IF(ISNA(VLOOKUP(A28,'Données projet'!$A$61:$I$81,4,0)),0,VLOOKUP(A28,'Données projet'!$A$61:$I$81,4,0))</f>
        <v>49</v>
      </c>
      <c r="AR28" s="16">
        <f>IF(ISNA(VLOOKUP(A28,'Données projet'!$A$61:$I$81,5,0)),0%,VLOOKUP(A28,'Données projet'!$A$61:$I$81,5,0)*VLOOKUP('Données projet'!$B$10,Paramètres!$A$1:$I$89,7,0))</f>
        <v>4.5000000000000005E-2</v>
      </c>
      <c r="AS28" s="16">
        <f>IF(ISNA(VLOOKUP(A28,'Données projet'!$A$61:$I$81,6,0)),0%,VLOOKUP(A28,'Données projet'!$A$61:$I$81,6,0)*VLOOKUP('Données projet'!$B$10,Paramètres!$A$1:$I$89,7,0))</f>
        <v>0.24750000000000003</v>
      </c>
      <c r="AT28" s="16">
        <f>IF(ISNA(VLOOKUP(A28,'Données projet'!$A$61:$I$81,7,0)),0%,VLOOKUP(A28,'Données projet'!$A$61:$I$81,7,0))</f>
        <v>0.35</v>
      </c>
      <c r="AU28" s="21">
        <f>EXP(-LN(2)/35)*AU27+(1-EXP(-LN(2)/35))/(LN(2)/35)*AQ28*AR28*VLOOKUP('Données projet'!$B$10,Paramètres!$A$1:$I$89,3,0)*0.475*44/12</f>
        <v>1.7491946252980233</v>
      </c>
      <c r="AV28" s="21">
        <f>EXP(-LN(2)/25)*AV27+(1-EXP(-LN(2)/25))/(LN(2)/25)*Calculateur!AQ28*Calculateur!AS28*VLOOKUP('Données projet'!$B$10,Paramètres!$A$1:$I$89,3,0)*0.475*44/12</f>
        <v>17.383204894121608</v>
      </c>
      <c r="AW28" s="21">
        <f>EXP(-LN(2)/2)*AW27+(1-EXP(-LN(2)/2))/(LN(2)/2)*AQ28*AT28*VLOOKUP('Données projet'!$B$10,Paramètres!$A$1:$I$89,3,0)*0.475*44/12</f>
        <v>13.622644678361976</v>
      </c>
      <c r="AX28" s="21">
        <f t="shared" si="6"/>
        <v>32.755044197781608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>
        <f>VLOOKUP(A28,'Données projet'!$A$87:$I$107,2,0)</f>
        <v>141</v>
      </c>
      <c r="BB28" s="12">
        <f>VLOOKUP(A28,'Données projet'!$A$87:$I$107,9,0)</f>
        <v>14.8</v>
      </c>
      <c r="BC28" s="12">
        <f t="array" ref="BC28">INDEX(BB:BB,MIN(IF(ISNUMBER(BB28:BB224),ROW(BB28:BB224),"")))</f>
        <v>14.8</v>
      </c>
      <c r="BD28" s="12">
        <f>IF('Données projet'!$A$88&gt;35,BD27+BC28-BL27,IF(A28&lt;'Données projet'!$A$88,$BA$205^A28,IF(A28='Données projet'!$A$88,'Données projet'!$B$88,BD27+BC28-BL27)))</f>
        <v>140.99999999999997</v>
      </c>
      <c r="BE28" s="13">
        <f>BD28*VLOOKUP('Données projet'!$B$11,Paramètres!$A$1:$I$89,3,0)*VLOOKUP('Données projet'!$B$11,Paramètres!$A$1:$I$89,5,0)</f>
        <v>112.17959999999998</v>
      </c>
      <c r="BF28" s="13">
        <f t="shared" si="37"/>
        <v>29.8439274472838</v>
      </c>
      <c r="BG28" s="20">
        <f t="shared" si="7"/>
        <v>247.35764363735257</v>
      </c>
      <c r="BH28" s="59">
        <f t="shared" si="8"/>
        <v>540.69097697068582</v>
      </c>
      <c r="BI28" s="59">
        <f ca="1">AVERAGE(OFFSET($BH$3,0,0,'Données projet'!$E$11+1,1))-AVERAGE(OFFSET($H$3,0,0,'Données projet'!$E$11+1,1))</f>
        <v>280.45463274302153</v>
      </c>
      <c r="BJ28" s="59">
        <f t="shared" si="38"/>
        <v>276.06968650495287</v>
      </c>
      <c r="BK28" s="15">
        <f>IF(ISNA(VLOOKUP(A28,'Données projet'!$A$87:$I$107,3,0)),0,VLOOKUP(A28,'Données projet'!$A$87:$I$107,3,0))</f>
        <v>3</v>
      </c>
      <c r="BL28" s="15">
        <f>IF(ISNA(VLOOKUP(A28,'Données projet'!$A$87:$I$107,4,0)),0,VLOOKUP(A28,'Données projet'!$A$87:$I$107,4,0))</f>
        <v>35</v>
      </c>
      <c r="BM28" s="16">
        <f>IF(ISNA(VLOOKUP(A28,'Données projet'!$A$87:$I$107,5,0)),0%,VLOOKUP(A28,'Données projet'!$A$87:$I$107,5,0)*VLOOKUP('Données projet'!$B$11,Paramètres!$A$1:$I$89,7,0))</f>
        <v>0.21200000000000002</v>
      </c>
      <c r="BN28" s="16">
        <f>IF(ISNA(VLOOKUP(A28,'Données projet'!$A$87:$I$107,6,0)),0%,VLOOKUP(A28,'Données projet'!$A$87:$I$107,6,0)*VLOOKUP('Données projet'!$B$11,Paramètres!$A$1:$I$89,7,0))</f>
        <v>4.24E-2</v>
      </c>
      <c r="BO28" s="16">
        <f>IF(ISNA(VLOOKUP(A28,'Données projet'!$A$87:$I$107,7,0)),0%,VLOOKUP(A28,'Données projet'!$A$87:$I$107,7,0))</f>
        <v>0.12</v>
      </c>
      <c r="BP28" s="21">
        <f>EXP(-LN(2)/35)*BP27+(1-EXP(-LN(2)/35))/(LN(2)/35)*BL28*BM28*VLOOKUP('Données projet'!$B$11,Paramètres!$A$1:$I$89,3,0)*0.475*44/12</f>
        <v>6.5259807759566018</v>
      </c>
      <c r="BQ28" s="21">
        <f>EXP(-LN(2)/25)*BQ27+(1-EXP(-LN(2)/25))/(LN(2)/25)*Calculateur!BL28*Calculateur!BN28*VLOOKUP('Données projet'!$B$11,Paramètres!$A$1:$I$89,3,0)*0.475*44/12</f>
        <v>1.3000571006096076</v>
      </c>
      <c r="BR28" s="21">
        <f>EXP(-LN(2)/2)*BR27+(1-EXP(-LN(2)/2))/(LN(2)/2)*BL28*BO28*VLOOKUP('Données projet'!$B$11,Paramètres!$A$1:$I$89,3,0)*0.475*44/12</f>
        <v>3.1528140556921969</v>
      </c>
      <c r="BS28" s="22">
        <f t="shared" si="9"/>
        <v>10.978851932258406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12.167999999999999</v>
      </c>
      <c r="D29" s="11">
        <f t="shared" si="32"/>
        <v>4.1922941870296242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126.28999021566726</v>
      </c>
      <c r="H29" s="67">
        <f t="shared" si="1"/>
        <v>321.82751237574325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14.833333333333334</v>
      </c>
      <c r="N29" s="13">
        <f>IF('Données projet'!$A$36&gt;35,N28+M29-V28,IF(A29&lt;'Données projet'!$A$36,$K$205^A29,IF(A29='Données projet'!$A$36,'Données projet'!$B$36,N28+M29-V28)))</f>
        <v>204.16666666666669</v>
      </c>
      <c r="O29" s="13">
        <f>N29*VLOOKUP('Données projet'!$B$9,Paramètres!$A$1:$I$89,3,0)*VLOOKUP('Données projet'!$B$9,Paramètres!$A$1:$I$89,5,0)</f>
        <v>127.4</v>
      </c>
      <c r="P29" s="13">
        <f t="shared" si="33"/>
        <v>33.394871097525538</v>
      </c>
      <c r="Q29" s="20">
        <f t="shared" si="2"/>
        <v>280.05106716152363</v>
      </c>
      <c r="R29" s="59">
        <f t="shared" si="0"/>
        <v>573.38440049485689</v>
      </c>
      <c r="S29" s="59">
        <f ca="1">AVERAGE(OFFSET($R$3,0,0,'Données projet'!$E$9+1,1))-AVERAGE(OFFSET($H$3,0,0,'Données projet'!$E$9+1,1))</f>
        <v>168.81286953191102</v>
      </c>
      <c r="T29" s="59">
        <f t="shared" si="34"/>
        <v>255.78677933103666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18.291341777719452</v>
      </c>
      <c r="AB29" s="21">
        <f>EXP(-LN(2)/2)*AB28+(1-EXP(-LN(2)/2))/(LN(2)/2)*V29*Y29*VLOOKUP('Données projet'!$B$9,Paramètres!$A$1:$I$89,3,0)*0.475*44/12</f>
        <v>2.0714506740035454</v>
      </c>
      <c r="AC29" s="22">
        <f t="shared" si="3"/>
        <v>20.362792451722999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18.8</v>
      </c>
      <c r="AI29" s="13">
        <f>IF('Données projet'!$A$62&gt;35,AI28+AH29-AQ28,IF(A29&lt;'Données projet'!$A$62,$AF$205^A29,IF(A29='Données projet'!$A$62,'Données projet'!$B$62,AI28+AH29-AQ28)))</f>
        <v>168.80000000000007</v>
      </c>
      <c r="AJ29" s="13">
        <f>AI29*VLOOKUP('Données projet'!$B$10,Paramètres!$A$1:$I$89,3,0)*VLOOKUP('Données projet'!$B$10,Paramètres!$A$1:$I$89,5,0)</f>
        <v>100.94240000000005</v>
      </c>
      <c r="AK29" s="13">
        <f t="shared" si="35"/>
        <v>27.186388642071154</v>
      </c>
      <c r="AL29" s="20">
        <f t="shared" si="4"/>
        <v>223.157640218274</v>
      </c>
      <c r="AM29" s="59">
        <f t="shared" si="5"/>
        <v>516.49097355160734</v>
      </c>
      <c r="AN29" s="59">
        <f ca="1">AVERAGE(OFFSET($AM$3,0,0,'Données projet'!$E$10+1,1))-AVERAGE(OFFSET($H$3,0,0,'Données projet'!$E$10+1,1))</f>
        <v>247.08914525784144</v>
      </c>
      <c r="AO29" s="59">
        <f t="shared" si="36"/>
        <v>286.9617518796191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1.7148939855993026</v>
      </c>
      <c r="AV29" s="21">
        <f>EXP(-LN(2)/25)*AV28+(1-EXP(-LN(2)/25))/(LN(2)/25)*Calculateur!AQ29*Calculateur!AS29*VLOOKUP('Données projet'!$B$10,Paramètres!$A$1:$I$89,3,0)*0.475*44/12</f>
        <v>16.907860242148836</v>
      </c>
      <c r="AW29" s="21">
        <f>EXP(-LN(2)/2)*AW28+(1-EXP(-LN(2)/2))/(LN(2)/2)*AQ29*AT29*VLOOKUP('Données projet'!$B$10,Paramètres!$A$1:$I$89,3,0)*0.475*44/12</f>
        <v>9.6326644297645885</v>
      </c>
      <c r="AX29" s="21">
        <f t="shared" si="6"/>
        <v>28.255418657512728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14.2</v>
      </c>
      <c r="BD29" s="12">
        <f>IF('Données projet'!$A$88&gt;35,BD28+BC29-BL28,IF(A29&lt;'Données projet'!$A$88,$BA$205^A29,IF(A29='Données projet'!$A$88,'Données projet'!$B$88,BD28+BC29-BL28)))</f>
        <v>120.19999999999996</v>
      </c>
      <c r="BE29" s="13">
        <f>BD29*VLOOKUP('Données projet'!$B$11,Paramètres!$A$1:$I$89,3,0)*VLOOKUP('Données projet'!$B$11,Paramètres!$A$1:$I$89,5,0)</f>
        <v>95.631119999999967</v>
      </c>
      <c r="BF29" s="13">
        <f t="shared" si="37"/>
        <v>25.918481589892234</v>
      </c>
      <c r="BG29" s="20">
        <f t="shared" si="7"/>
        <v>211.69888943572892</v>
      </c>
      <c r="BH29" s="59">
        <f t="shared" si="8"/>
        <v>505.03222276906223</v>
      </c>
      <c r="BI29" s="59">
        <f ca="1">AVERAGE(OFFSET($BH$3,0,0,'Données projet'!$E$11+1,1))-AVERAGE(OFFSET($H$3,0,0,'Données projet'!$E$11+1,1))</f>
        <v>280.45463274302153</v>
      </c>
      <c r="BJ29" s="59">
        <f t="shared" si="38"/>
        <v>276.06968650495287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6.3980102733953288</v>
      </c>
      <c r="BQ29" s="21">
        <f>EXP(-LN(2)/25)*BQ28+(1-EXP(-LN(2)/25))/(LN(2)/25)*Calculateur!BL29*Calculateur!BN29*VLOOKUP('Données projet'!$B$11,Paramètres!$A$1:$I$89,3,0)*0.475*44/12</f>
        <v>1.2645069708264063</v>
      </c>
      <c r="BR29" s="21">
        <f>EXP(-LN(2)/2)*BR28+(1-EXP(-LN(2)/2))/(LN(2)/2)*BL29*BO29*VLOOKUP('Données projet'!$B$11,Paramètres!$A$1:$I$89,3,0)*0.475*44/12</f>
        <v>2.2293761986002139</v>
      </c>
      <c r="BS29" s="22">
        <f t="shared" si="9"/>
        <v>9.8918934428219494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12.635999999999999</v>
      </c>
      <c r="D30" s="11">
        <f t="shared" si="32"/>
        <v>4.3344532450369764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130.99998996168895</v>
      </c>
      <c r="H30" s="67">
        <f t="shared" si="1"/>
        <v>322.8902060684394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>
        <f>VLOOKUP(A30,'Données projet'!$A$35:$I$55,2,0)</f>
        <v>219</v>
      </c>
      <c r="L30" s="12">
        <f>VLOOKUP(A30,'Données projet'!$A$35:$I$55,9,0)</f>
        <v>14.833333333333334</v>
      </c>
      <c r="M30" s="12">
        <f t="array" ref="M30">INDEX(L:L,MIN(IF(ISNUMBER(L30:L226),ROW(L30:L226),"")))</f>
        <v>14.833333333333334</v>
      </c>
      <c r="N30" s="13">
        <f>IF('Données projet'!$A$36&gt;35,N29+M30-V29,IF(A30&lt;'Données projet'!$A$36,$K$205^A30,IF(A30='Données projet'!$A$36,'Données projet'!$B$36,N29+M30-V29)))</f>
        <v>219.00000000000003</v>
      </c>
      <c r="O30" s="13">
        <f>N30*VLOOKUP('Données projet'!$B$9,Paramètres!$A$1:$I$89,3,0)*VLOOKUP('Données projet'!$B$9,Paramètres!$A$1:$I$89,5,0)</f>
        <v>136.65600000000001</v>
      </c>
      <c r="P30" s="13">
        <f t="shared" si="33"/>
        <v>35.52986752364091</v>
      </c>
      <c r="Q30" s="20">
        <f t="shared" si="2"/>
        <v>299.89038593700792</v>
      </c>
      <c r="R30" s="59">
        <f t="shared" si="0"/>
        <v>593.22371927034123</v>
      </c>
      <c r="S30" s="59">
        <f ca="1">AVERAGE(OFFSET($R$3,0,0,'Données projet'!$E$9+1,1))-AVERAGE(OFFSET($H$3,0,0,'Données projet'!$E$9+1,1))</f>
        <v>168.81286953191102</v>
      </c>
      <c r="T30" s="59">
        <f t="shared" si="34"/>
        <v>255.78677933103666</v>
      </c>
      <c r="U30" s="15">
        <f>IF(ISNA(VLOOKUP(A30,'Données projet'!$A$35:$I$55,3,0)),0,VLOOKUP(A30,'Données projet'!$A$35:$I$55,3,0))</f>
        <v>4</v>
      </c>
      <c r="V30" s="15">
        <f>IF(ISNA(VLOOKUP(A30,'Données projet'!$A$35:$I$55,4,0)),0,VLOOKUP(A30,'Données projet'!$A$35:$I$55,4,0))</f>
        <v>51</v>
      </c>
      <c r="W30" s="16">
        <f>IF(ISNA(VLOOKUP(A30,'Données projet'!$A$35:$I$55,5,0)),0%,VLOOKUP(A30,'Données projet'!$A$35:$I$55,5,0)*VLOOKUP('Données projet'!$B$9,Paramètres!$A$1:$I$89,7,0))</f>
        <v>0.06</v>
      </c>
      <c r="X30" s="16">
        <f>IF(ISNA(VLOOKUP(A30,'Données projet'!$A$35:$I$55,6,0)),0%,VLOOKUP(A30,'Données projet'!$A$35:$I$55,6,0)*VLOOKUP('Données projet'!$B$9,Paramètres!$A$1:$I$89,7,0))</f>
        <v>0.3</v>
      </c>
      <c r="Y30" s="16">
        <f>IF(ISNA(VLOOKUP(A30,'Données projet'!$A$35:$I$55,7,0)),0%,VLOOKUP(A30,'Données projet'!$A$35:$I$55,7,0))</f>
        <v>0.4</v>
      </c>
      <c r="Z30" s="21">
        <f>EXP(-LN(2)/35)*Z29+(1-EXP(-LN(2)/35))/(LN(2)/35)*V30*W30*VLOOKUP('Données projet'!$B$9,Paramètres!$A$1:$I$89,3,0)*0.475*44/12</f>
        <v>2.532995233794475</v>
      </c>
      <c r="AA30" s="21">
        <f>EXP(-LN(2)/25)*AA29+(1-EXP(-LN(2)/25))/(LN(2)/25)*Calculateur!V30*Calculateur!X30*VLOOKUP('Données projet'!$B$9,Paramètres!$A$1:$I$89,3,0)*0.475*44/12</f>
        <v>30.406273406968737</v>
      </c>
      <c r="AB30" s="21">
        <f>EXP(-LN(2)/2)*AB29+(1-EXP(-LN(2)/2))/(LN(2)/2)*V30*Y30*VLOOKUP('Données projet'!$B$9,Paramètres!$A$1:$I$89,3,0)*0.475*44/12</f>
        <v>15.877601073074249</v>
      </c>
      <c r="AC30" s="22">
        <f t="shared" si="3"/>
        <v>48.816869713837463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18.8</v>
      </c>
      <c r="AI30" s="13">
        <f>IF('Données projet'!$A$62&gt;35,AI29+AH30-AQ29,IF(A30&lt;'Données projet'!$A$62,$AF$205^A30,IF(A30='Données projet'!$A$62,'Données projet'!$B$62,AI29+AH30-AQ29)))</f>
        <v>187.60000000000008</v>
      </c>
      <c r="AJ30" s="13">
        <f>AI30*VLOOKUP('Données projet'!$B$10,Paramètres!$A$1:$I$89,3,0)*VLOOKUP('Données projet'!$B$10,Paramètres!$A$1:$I$89,5,0)</f>
        <v>112.18480000000005</v>
      </c>
      <c r="AK30" s="13">
        <f t="shared" si="35"/>
        <v>29.845149809641946</v>
      </c>
      <c r="AL30" s="20">
        <f t="shared" si="4"/>
        <v>247.36882925179316</v>
      </c>
      <c r="AM30" s="59">
        <f t="shared" si="5"/>
        <v>540.70216258512642</v>
      </c>
      <c r="AN30" s="59">
        <f ca="1">AVERAGE(OFFSET($AM$3,0,0,'Données projet'!$E$10+1,1))-AVERAGE(OFFSET($H$3,0,0,'Données projet'!$E$10+1,1))</f>
        <v>247.08914525784144</v>
      </c>
      <c r="AO30" s="59">
        <f t="shared" si="36"/>
        <v>286.9617518796191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1.6812659605237494</v>
      </c>
      <c r="AV30" s="21">
        <f>EXP(-LN(2)/25)*AV29+(1-EXP(-LN(2)/25))/(LN(2)/25)*Calculateur!AQ30*Calculateur!AS30*VLOOKUP('Données projet'!$B$10,Paramètres!$A$1:$I$89,3,0)*0.475*44/12</f>
        <v>16.445513914681548</v>
      </c>
      <c r="AW30" s="21">
        <f>EXP(-LN(2)/2)*AW29+(1-EXP(-LN(2)/2))/(LN(2)/2)*AQ30*AT30*VLOOKUP('Données projet'!$B$10,Paramètres!$A$1:$I$89,3,0)*0.475*44/12</f>
        <v>6.8113223391809887</v>
      </c>
      <c r="AX30" s="21">
        <f t="shared" si="6"/>
        <v>24.938102214386287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14.2</v>
      </c>
      <c r="BD30" s="12">
        <f>IF('Données projet'!$A$88&gt;35,BD29+BC30-BL29,IF(A30&lt;'Données projet'!$A$88,$BA$205^A30,IF(A30='Données projet'!$A$88,'Données projet'!$B$88,BD29+BC30-BL29)))</f>
        <v>134.39999999999995</v>
      </c>
      <c r="BE30" s="13">
        <f>BD30*VLOOKUP('Données projet'!$B$11,Paramètres!$A$1:$I$89,3,0)*VLOOKUP('Données projet'!$B$11,Paramètres!$A$1:$I$89,5,0)</f>
        <v>106.92863999999996</v>
      </c>
      <c r="BF30" s="13">
        <f t="shared" si="37"/>
        <v>28.606159868782917</v>
      </c>
      <c r="BG30" s="20">
        <f t="shared" si="7"/>
        <v>236.05644310479681</v>
      </c>
      <c r="BH30" s="59">
        <f t="shared" si="8"/>
        <v>529.38977643813018</v>
      </c>
      <c r="BI30" s="59">
        <f ca="1">AVERAGE(OFFSET($BH$3,0,0,'Données projet'!$E$11+1,1))-AVERAGE(OFFSET($H$3,0,0,'Données projet'!$E$11+1,1))</f>
        <v>280.45463274302153</v>
      </c>
      <c r="BJ30" s="59">
        <f t="shared" si="38"/>
        <v>276.06968650495287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6.2725491943349834</v>
      </c>
      <c r="BQ30" s="21">
        <f>EXP(-LN(2)/25)*BQ29+(1-EXP(-LN(2)/25))/(LN(2)/25)*Calculateur!BL30*Calculateur!BN30*VLOOKUP('Données projet'!$B$11,Paramètres!$A$1:$I$89,3,0)*0.475*44/12</f>
        <v>1.2299289612116266</v>
      </c>
      <c r="BR30" s="21">
        <f>EXP(-LN(2)/2)*BR29+(1-EXP(-LN(2)/2))/(LN(2)/2)*BL30*BO30*VLOOKUP('Données projet'!$B$11,Paramètres!$A$1:$I$89,3,0)*0.475*44/12</f>
        <v>1.5764070278460987</v>
      </c>
      <c r="BS30" s="22">
        <f t="shared" si="9"/>
        <v>9.0788851833927087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13.103999999999999</v>
      </c>
      <c r="D31" s="11">
        <f t="shared" si="32"/>
        <v>4.4760006109979793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135.70526787437038</v>
      </c>
      <c r="H31" s="67">
        <f t="shared" si="1"/>
        <v>323.95183439748814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14.166666666666666</v>
      </c>
      <c r="N31" s="13">
        <f>IF('Données projet'!$A$36&gt;35,N30+M31-V30,IF(A31&lt;'Données projet'!$A$36,$K$205^A31,IF(A31='Données projet'!$A$36,'Données projet'!$B$36,N30+M31-V30)))</f>
        <v>182.16666666666669</v>
      </c>
      <c r="O31" s="13">
        <f>N31*VLOOKUP('Données projet'!$B$9,Paramètres!$A$1:$I$89,3,0)*VLOOKUP('Données projet'!$B$9,Paramètres!$A$1:$I$89,5,0)</f>
        <v>113.67200000000003</v>
      </c>
      <c r="P31" s="13">
        <f t="shared" si="33"/>
        <v>30.194476096101166</v>
      </c>
      <c r="Q31" s="20">
        <f t="shared" si="2"/>
        <v>250.56744586737625</v>
      </c>
      <c r="R31" s="59">
        <f t="shared" si="0"/>
        <v>543.90077920070962</v>
      </c>
      <c r="S31" s="59">
        <f ca="1">AVERAGE(OFFSET($R$3,0,0,'Données projet'!$E$9+1,1))-AVERAGE(OFFSET($H$3,0,0,'Données projet'!$E$9+1,1))</f>
        <v>168.81286953191102</v>
      </c>
      <c r="T31" s="59">
        <f t="shared" si="34"/>
        <v>255.78677933103666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2.4833247422343043</v>
      </c>
      <c r="AA31" s="21">
        <f>EXP(-LN(2)/25)*AA30+(1-EXP(-LN(2)/25))/(LN(2)/25)*Calculateur!V31*Calculateur!X31*VLOOKUP('Données projet'!$B$9,Paramètres!$A$1:$I$89,3,0)*0.475*44/12</f>
        <v>29.574812261658753</v>
      </c>
      <c r="AB31" s="21">
        <f>EXP(-LN(2)/2)*AB30+(1-EXP(-LN(2)/2))/(LN(2)/2)*V31*Y31*VLOOKUP('Données projet'!$B$9,Paramètres!$A$1:$I$89,3,0)*0.475*44/12</f>
        <v>11.227159387745607</v>
      </c>
      <c r="AC31" s="22">
        <f t="shared" si="3"/>
        <v>43.285296391638667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18.8</v>
      </c>
      <c r="AI31" s="13">
        <f>IF('Données projet'!$A$62&gt;35,AI30+AH31-AQ30,IF(A31&lt;'Données projet'!$A$62,$AF$205^A31,IF(A31='Données projet'!$A$62,'Données projet'!$B$62,AI30+AH31-AQ30)))</f>
        <v>206.40000000000009</v>
      </c>
      <c r="AJ31" s="13">
        <f>AI31*VLOOKUP('Données projet'!$B$10,Paramètres!$A$1:$I$89,3,0)*VLOOKUP('Données projet'!$B$10,Paramètres!$A$1:$I$89,5,0)</f>
        <v>123.42720000000006</v>
      </c>
      <c r="AK31" s="13">
        <f t="shared" si="35"/>
        <v>32.473022671122109</v>
      </c>
      <c r="AL31" s="20">
        <f t="shared" si="4"/>
        <v>271.52622115220441</v>
      </c>
      <c r="AM31" s="59">
        <f t="shared" si="5"/>
        <v>564.85955448553773</v>
      </c>
      <c r="AN31" s="59">
        <f ca="1">AVERAGE(OFFSET($AM$3,0,0,'Données projet'!$E$10+1,1))-AVERAGE(OFFSET($H$3,0,0,'Données projet'!$E$10+1,1))</f>
        <v>247.08914525784144</v>
      </c>
      <c r="AO31" s="59">
        <f t="shared" si="36"/>
        <v>286.9617518796191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1.6482973605088578</v>
      </c>
      <c r="AV31" s="21">
        <f>EXP(-LN(2)/25)*AV30+(1-EXP(-LN(2)/25))/(LN(2)/25)*Calculateur!AQ31*Calculateur!AS31*VLOOKUP('Données projet'!$B$10,Paramètres!$A$1:$I$89,3,0)*0.475*44/12</f>
        <v>15.995810471852591</v>
      </c>
      <c r="AW31" s="21">
        <f>EXP(-LN(2)/2)*AW30+(1-EXP(-LN(2)/2))/(LN(2)/2)*AQ31*AT31*VLOOKUP('Données projet'!$B$10,Paramètres!$A$1:$I$89,3,0)*0.475*44/12</f>
        <v>4.8163322148822951</v>
      </c>
      <c r="AX31" s="21">
        <f t="shared" si="6"/>
        <v>22.460440047243743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14.2</v>
      </c>
      <c r="BD31" s="12">
        <f>IF('Données projet'!$A$88&gt;35,BD30+BC31-BL30,IF(A31&lt;'Données projet'!$A$88,$BA$205^A31,IF(A31='Données projet'!$A$88,'Données projet'!$B$88,BD30+BC31-BL30)))</f>
        <v>148.59999999999994</v>
      </c>
      <c r="BE31" s="13">
        <f>BD31*VLOOKUP('Données projet'!$B$11,Paramètres!$A$1:$I$89,3,0)*VLOOKUP('Données projet'!$B$11,Paramètres!$A$1:$I$89,5,0)</f>
        <v>118.22615999999996</v>
      </c>
      <c r="BF31" s="13">
        <f t="shared" si="37"/>
        <v>31.260922342884676</v>
      </c>
      <c r="BG31" s="20">
        <f t="shared" si="7"/>
        <v>260.35666841385739</v>
      </c>
      <c r="BH31" s="59">
        <f t="shared" si="8"/>
        <v>553.69000174719076</v>
      </c>
      <c r="BI31" s="59">
        <f ca="1">AVERAGE(OFFSET($BH$3,0,0,'Données projet'!$E$11+1,1))-AVERAGE(OFFSET($H$3,0,0,'Données projet'!$E$11+1,1))</f>
        <v>280.45463274302153</v>
      </c>
      <c r="BJ31" s="59">
        <f t="shared" si="38"/>
        <v>276.06968650495287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6.1495483305113092</v>
      </c>
      <c r="BQ31" s="21">
        <f>EXP(-LN(2)/25)*BQ30+(1-EXP(-LN(2)/25))/(LN(2)/25)*Calculateur!BL31*Calculateur!BN31*VLOOKUP('Données projet'!$B$11,Paramètres!$A$1:$I$89,3,0)*0.475*44/12</f>
        <v>1.1962964890881418</v>
      </c>
      <c r="BR31" s="21">
        <f>EXP(-LN(2)/2)*BR30+(1-EXP(-LN(2)/2))/(LN(2)/2)*BL31*BO31*VLOOKUP('Données projet'!$B$11,Paramètres!$A$1:$I$89,3,0)*0.475*44/12</f>
        <v>1.1146880993001071</v>
      </c>
      <c r="BS31" s="22">
        <f t="shared" si="9"/>
        <v>8.4605329188995579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13.571999999999999</v>
      </c>
      <c r="D32" s="11">
        <f t="shared" si="32"/>
        <v>4.6169606338501863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140.40601191042251</v>
      </c>
      <c r="H32" s="67">
        <f t="shared" si="1"/>
        <v>325.01243977062239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14.166666666666666</v>
      </c>
      <c r="N32" s="13">
        <f>IF('Données projet'!$A$36&gt;35,N31+M32-V31,IF(A32&lt;'Données projet'!$A$36,$K$205^A32,IF(A32='Données projet'!$A$36,'Données projet'!$B$36,N31+M32-V31)))</f>
        <v>196.33333333333334</v>
      </c>
      <c r="O32" s="13">
        <f>N32*VLOOKUP('Données projet'!$B$9,Paramètres!$A$1:$I$89,3,0)*VLOOKUP('Données projet'!$B$9,Paramètres!$A$1:$I$89,5,0)</f>
        <v>122.512</v>
      </c>
      <c r="P32" s="13">
        <f t="shared" si="33"/>
        <v>32.260173749374388</v>
      </c>
      <c r="Q32" s="20">
        <f t="shared" si="2"/>
        <v>269.56153594682706</v>
      </c>
      <c r="R32" s="59">
        <f t="shared" si="0"/>
        <v>562.89486928016038</v>
      </c>
      <c r="S32" s="59">
        <f ca="1">AVERAGE(OFFSET($R$3,0,0,'Données projet'!$E$9+1,1))-AVERAGE(OFFSET($H$3,0,0,'Données projet'!$E$9+1,1))</f>
        <v>168.81286953191102</v>
      </c>
      <c r="T32" s="59">
        <f t="shared" si="34"/>
        <v>255.78677933103666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2.4346282587176202</v>
      </c>
      <c r="AA32" s="21">
        <f>EXP(-LN(2)/25)*AA31+(1-EXP(-LN(2)/25))/(LN(2)/25)*Calculateur!V32*Calculateur!X32*VLOOKUP('Données projet'!$B$9,Paramètres!$A$1:$I$89,3,0)*0.475*44/12</f>
        <v>28.766087465091911</v>
      </c>
      <c r="AB32" s="21">
        <f>EXP(-LN(2)/2)*AB31+(1-EXP(-LN(2)/2))/(LN(2)/2)*V32*Y32*VLOOKUP('Données projet'!$B$9,Paramètres!$A$1:$I$89,3,0)*0.475*44/12</f>
        <v>7.9388005365371264</v>
      </c>
      <c r="AC32" s="22">
        <f t="shared" si="3"/>
        <v>39.139516260346653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18.8</v>
      </c>
      <c r="AI32" s="13">
        <f>IF('Données projet'!$A$62&gt;35,AI31+AH32-AQ31,IF(A32&lt;'Données projet'!$A$62,$AF$205^A32,IF(A32='Données projet'!$A$62,'Données projet'!$B$62,AI31+AH32-AQ31)))</f>
        <v>225.2000000000001</v>
      </c>
      <c r="AJ32" s="13">
        <f>AI32*VLOOKUP('Données projet'!$B$10,Paramètres!$A$1:$I$89,3,0)*VLOOKUP('Données projet'!$B$10,Paramètres!$A$1:$I$89,5,0)</f>
        <v>134.66960000000009</v>
      </c>
      <c r="AK32" s="13">
        <f t="shared" si="35"/>
        <v>35.073140668601305</v>
      </c>
      <c r="AL32" s="20">
        <f t="shared" si="4"/>
        <v>295.6352733311474</v>
      </c>
      <c r="AM32" s="59">
        <f t="shared" si="5"/>
        <v>588.96860666448072</v>
      </c>
      <c r="AN32" s="59">
        <f ca="1">AVERAGE(OFFSET($AM$3,0,0,'Données projet'!$E$10+1,1))-AVERAGE(OFFSET($H$3,0,0,'Données projet'!$E$10+1,1))</f>
        <v>247.08914525784144</v>
      </c>
      <c r="AO32" s="59">
        <f t="shared" si="36"/>
        <v>286.9617518796191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1.6159752546313977</v>
      </c>
      <c r="AV32" s="21">
        <f>EXP(-LN(2)/25)*AV31+(1-EXP(-LN(2)/25))/(LN(2)/25)*Calculateur!AQ32*Calculateur!AS32*VLOOKUP('Données projet'!$B$10,Paramètres!$A$1:$I$89,3,0)*0.475*44/12</f>
        <v>15.558404193316669</v>
      </c>
      <c r="AW32" s="21">
        <f>EXP(-LN(2)/2)*AW31+(1-EXP(-LN(2)/2))/(LN(2)/2)*AQ32*AT32*VLOOKUP('Données projet'!$B$10,Paramètres!$A$1:$I$89,3,0)*0.475*44/12</f>
        <v>3.4056611695904953</v>
      </c>
      <c r="AX32" s="21">
        <f t="shared" si="6"/>
        <v>20.580040617538561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14.2</v>
      </c>
      <c r="BD32" s="12">
        <f>IF('Données projet'!$A$88&gt;35,BD31+BC32-BL31,IF(A32&lt;'Données projet'!$A$88,$BA$205^A32,IF(A32='Données projet'!$A$88,'Données projet'!$B$88,BD31+BC32-BL31)))</f>
        <v>162.79999999999993</v>
      </c>
      <c r="BE32" s="13">
        <f>BD32*VLOOKUP('Données projet'!$B$11,Paramètres!$A$1:$I$89,3,0)*VLOOKUP('Données projet'!$B$11,Paramètres!$A$1:$I$89,5,0)</f>
        <v>129.52367999999996</v>
      </c>
      <c r="BF32" s="13">
        <f t="shared" si="37"/>
        <v>33.886272262901727</v>
      </c>
      <c r="BG32" s="20">
        <f t="shared" si="7"/>
        <v>284.60566685788712</v>
      </c>
      <c r="BH32" s="59">
        <f t="shared" si="8"/>
        <v>577.93900019122043</v>
      </c>
      <c r="BI32" s="59">
        <f ca="1">AVERAGE(OFFSET($BH$3,0,0,'Données projet'!$E$11+1,1))-AVERAGE(OFFSET($H$3,0,0,'Données projet'!$E$11+1,1))</f>
        <v>280.45463274302153</v>
      </c>
      <c r="BJ32" s="59">
        <f t="shared" si="38"/>
        <v>276.06968650495287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6.0289594386040983</v>
      </c>
      <c r="BQ32" s="21">
        <f>EXP(-LN(2)/25)*BQ31+(1-EXP(-LN(2)/25))/(LN(2)/25)*Calculateur!BL32*Calculateur!BN32*VLOOKUP('Données projet'!$B$11,Paramètres!$A$1:$I$89,3,0)*0.475*44/12</f>
        <v>1.1635836986835284</v>
      </c>
      <c r="BR32" s="21">
        <f>EXP(-LN(2)/2)*BR31+(1-EXP(-LN(2)/2))/(LN(2)/2)*BL32*BO32*VLOOKUP('Données projet'!$B$11,Paramètres!$A$1:$I$89,3,0)*0.475*44/12</f>
        <v>0.78820351392304944</v>
      </c>
      <c r="BS32" s="22">
        <f t="shared" si="9"/>
        <v>7.9807466512106764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14.04</v>
      </c>
      <c r="D33" s="11">
        <f t="shared" si="32"/>
        <v>4.75735588805329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145.10239632883244</v>
      </c>
      <c r="H33" s="67">
        <f t="shared" si="1"/>
        <v>326.07206150502611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14.166666666666666</v>
      </c>
      <c r="N33" s="13">
        <f>IF('Données projet'!$A$36&gt;35,N32+M33-V32,IF(A33&lt;'Données projet'!$A$36,$K$205^A33,IF(A33='Données projet'!$A$36,'Données projet'!$B$36,N32+M33-V32)))</f>
        <v>210.5</v>
      </c>
      <c r="O33" s="13">
        <f>N33*VLOOKUP('Données projet'!$B$9,Paramètres!$A$1:$I$89,3,0)*VLOOKUP('Données projet'!$B$9,Paramètres!$A$1:$I$89,5,0)</f>
        <v>131.352</v>
      </c>
      <c r="P33" s="13">
        <f t="shared" si="33"/>
        <v>34.308578470466699</v>
      </c>
      <c r="Q33" s="20">
        <f t="shared" si="2"/>
        <v>288.52550750272945</v>
      </c>
      <c r="R33" s="59">
        <f t="shared" si="0"/>
        <v>581.85884083606277</v>
      </c>
      <c r="S33" s="59">
        <f ca="1">AVERAGE(OFFSET($R$3,0,0,'Données projet'!$E$9+1,1))-AVERAGE(OFFSET($H$3,0,0,'Données projet'!$E$9+1,1))</f>
        <v>168.81286953191102</v>
      </c>
      <c r="T33" s="59">
        <f t="shared" si="34"/>
        <v>255.78677933103666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2.386886683540776</v>
      </c>
      <c r="AA33" s="21">
        <f>EXP(-LN(2)/25)*AA32+(1-EXP(-LN(2)/25))/(LN(2)/25)*Calculateur!V33*Calculateur!X33*VLOOKUP('Données projet'!$B$9,Paramètres!$A$1:$I$89,3,0)*0.475*44/12</f>
        <v>27.979477290616177</v>
      </c>
      <c r="AB33" s="21">
        <f>EXP(-LN(2)/2)*AB32+(1-EXP(-LN(2)/2))/(LN(2)/2)*V33*Y33*VLOOKUP('Données projet'!$B$9,Paramètres!$A$1:$I$89,3,0)*0.475*44/12</f>
        <v>5.6135796938728042</v>
      </c>
      <c r="AC33" s="22">
        <f t="shared" si="3"/>
        <v>35.979943668029762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244</v>
      </c>
      <c r="AG33" s="12">
        <f>VLOOKUP(A33,'Données projet'!$A$61:$I$81,9,0)</f>
        <v>18.8</v>
      </c>
      <c r="AH33" s="12">
        <f t="array" ref="AH33">INDEX(AG:AG,MIN(IF(ISNUMBER(AG33:AG229),ROW(AG33:AG229),"")))</f>
        <v>18.8</v>
      </c>
      <c r="AI33" s="13">
        <f>IF('Données projet'!$A$62&gt;35,AI32+AH33-AQ32,IF(A33&lt;'Données projet'!$A$62,$AF$205^A33,IF(A33='Données projet'!$A$62,'Données projet'!$B$62,AI32+AH33-AQ32)))</f>
        <v>244.00000000000011</v>
      </c>
      <c r="AJ33" s="13">
        <f>AI33*VLOOKUP('Données projet'!$B$10,Paramètres!$A$1:$I$89,3,0)*VLOOKUP('Données projet'!$B$10,Paramètres!$A$1:$I$89,5,0)</f>
        <v>145.91200000000006</v>
      </c>
      <c r="AK33" s="13">
        <f t="shared" si="35"/>
        <v>37.648084239987625</v>
      </c>
      <c r="AL33" s="20">
        <f t="shared" si="4"/>
        <v>319.7004800513119</v>
      </c>
      <c r="AM33" s="59">
        <f t="shared" si="5"/>
        <v>613.03381338464521</v>
      </c>
      <c r="AN33" s="59">
        <f ca="1">AVERAGE(OFFSET($AM$3,0,0,'Données projet'!$E$10+1,1))-AVERAGE(OFFSET($H$3,0,0,'Données projet'!$E$10+1,1))</f>
        <v>247.08914525784144</v>
      </c>
      <c r="AO33" s="59">
        <f t="shared" si="36"/>
        <v>286.9617518796191</v>
      </c>
      <c r="AP33" s="15">
        <f>IF(ISNA(VLOOKUP(A33,'Données projet'!$A$61:$I$81,3,0)),0,VLOOKUP(A33,'Données projet'!$A$61:$I$81,3,0))</f>
        <v>3</v>
      </c>
      <c r="AQ33" s="15">
        <f>IF(ISNA(VLOOKUP(A33,'Données projet'!$A$61:$I$81,4,0)),0,VLOOKUP(A33,'Données projet'!$A$61:$I$81,4,0))</f>
        <v>49</v>
      </c>
      <c r="AR33" s="16">
        <f>IF(ISNA(VLOOKUP(A33,'Données projet'!$A$61:$I$81,5,0)),0%,VLOOKUP(A33,'Données projet'!$A$61:$I$81,5,0)*VLOOKUP('Données projet'!$B$10,Paramètres!$A$1:$I$89,7,0))</f>
        <v>9.0000000000000011E-2</v>
      </c>
      <c r="AS33" s="16">
        <f>IF(ISNA(VLOOKUP(A33,'Données projet'!$A$61:$I$81,6,0)),0%,VLOOKUP(A33,'Données projet'!$A$61:$I$81,6,0)*VLOOKUP('Données projet'!$B$10,Paramètres!$A$1:$I$89,7,0))</f>
        <v>0.22500000000000001</v>
      </c>
      <c r="AT33" s="16">
        <f>IF(ISNA(VLOOKUP(A33,'Données projet'!$A$61:$I$81,7,0)),0%,VLOOKUP(A33,'Données projet'!$A$61:$I$81,7,0))</f>
        <v>0.3</v>
      </c>
      <c r="AU33" s="21">
        <f>EXP(-LN(2)/35)*AU32+(1-EXP(-LN(2)/35))/(LN(2)/35)*AQ33*AR33*VLOOKUP('Données projet'!$B$10,Paramètres!$A$1:$I$89,3,0)*0.475*44/12</f>
        <v>5.082676216131703</v>
      </c>
      <c r="AV33" s="21">
        <f>EXP(-LN(2)/25)*AV32+(1-EXP(-LN(2)/25))/(LN(2)/25)*Calculateur!AQ33*Calculateur!AS33*VLOOKUP('Données projet'!$B$10,Paramètres!$A$1:$I$89,3,0)*0.475*44/12</f>
        <v>23.84449571028361</v>
      </c>
      <c r="AW33" s="21">
        <f>EXP(-LN(2)/2)*AW32+(1-EXP(-LN(2)/2))/(LN(2)/2)*AQ33*AT33*VLOOKUP('Données projet'!$B$10,Paramètres!$A$1:$I$89,3,0)*0.475*44/12</f>
        <v>12.361167342077298</v>
      </c>
      <c r="AX33" s="21">
        <f t="shared" si="6"/>
        <v>41.288339268492606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177</v>
      </c>
      <c r="BB33" s="12">
        <f>VLOOKUP(A33,'Données projet'!$A$87:$I$107,9,0)</f>
        <v>14.2</v>
      </c>
      <c r="BC33" s="12">
        <f t="array" ref="BC33">INDEX(BB:BB,MIN(IF(ISNUMBER(BB33:BB229),ROW(BB33:BB229),"")))</f>
        <v>14.2</v>
      </c>
      <c r="BD33" s="12">
        <f>IF('Données projet'!$A$88&gt;35,BD32+BC33-BL32,IF(A33&lt;'Données projet'!$A$88,$BA$205^A33,IF(A33='Données projet'!$A$88,'Données projet'!$B$88,BD32+BC33-BL32)))</f>
        <v>176.99999999999991</v>
      </c>
      <c r="BE33" s="13">
        <f>BD33*VLOOKUP('Données projet'!$B$11,Paramètres!$A$1:$I$89,3,0)*VLOOKUP('Données projet'!$B$11,Paramètres!$A$1:$I$89,5,0)</f>
        <v>140.82119999999992</v>
      </c>
      <c r="BF33" s="13">
        <f t="shared" si="37"/>
        <v>36.485066799987997</v>
      </c>
      <c r="BG33" s="20">
        <f t="shared" si="7"/>
        <v>308.80841467664561</v>
      </c>
      <c r="BH33" s="59">
        <f t="shared" si="8"/>
        <v>602.14174800997898</v>
      </c>
      <c r="BI33" s="59">
        <f ca="1">AVERAGE(OFFSET($BH$3,0,0,'Données projet'!$E$11+1,1))-AVERAGE(OFFSET($H$3,0,0,'Données projet'!$E$11+1,1))</f>
        <v>280.45463274302153</v>
      </c>
      <c r="BJ33" s="59">
        <f t="shared" si="38"/>
        <v>276.06968650495287</v>
      </c>
      <c r="BK33" s="15">
        <f>IF(ISNA(VLOOKUP(A33,'Données projet'!$A$87:$I$107,3,0)),0,VLOOKUP(A33,'Données projet'!$A$87:$I$107,3,0))</f>
        <v>4</v>
      </c>
      <c r="BL33" s="15">
        <f>IF(ISNA(VLOOKUP(A33,'Données projet'!$A$87:$I$107,4,0)),0,VLOOKUP(A33,'Données projet'!$A$87:$I$107,4,0))</f>
        <v>35</v>
      </c>
      <c r="BM33" s="16">
        <f>IF(ISNA(VLOOKUP(A33,'Données projet'!$A$87:$I$107,5,0)),0%,VLOOKUP(A33,'Données projet'!$A$87:$I$107,5,0)*VLOOKUP('Données projet'!$B$11,Paramètres!$A$1:$I$89,7,0))</f>
        <v>0.21200000000000002</v>
      </c>
      <c r="BN33" s="16">
        <f>IF(ISNA(VLOOKUP(A33,'Données projet'!$A$87:$I$107,6,0)),0%,VLOOKUP(A33,'Données projet'!$A$87:$I$107,6,0)*VLOOKUP('Données projet'!$B$11,Paramètres!$A$1:$I$89,7,0))</f>
        <v>4.24E-2</v>
      </c>
      <c r="BO33" s="16">
        <f>IF(ISNA(VLOOKUP(A33,'Données projet'!$A$87:$I$107,7,0)),0%,VLOOKUP(A33,'Données projet'!$A$87:$I$107,7,0))</f>
        <v>0.12</v>
      </c>
      <c r="BP33" s="21">
        <f>EXP(-LN(2)/35)*BP32+(1-EXP(-LN(2)/35))/(LN(2)/35)*BL33*BM33*VLOOKUP('Données projet'!$B$11,Paramètres!$A$1:$I$89,3,0)*0.475*44/12</f>
        <v>12.436715997271829</v>
      </c>
      <c r="BQ33" s="21">
        <f>EXP(-LN(2)/25)*BQ32+(1-EXP(-LN(2)/25))/(LN(2)/25)*Calculateur!BL33*Calculateur!BN33*VLOOKUP('Données projet'!$B$11,Paramètres!$A$1:$I$89,3,0)*0.475*44/12</f>
        <v>2.4318225418624273</v>
      </c>
      <c r="BR33" s="21">
        <f>EXP(-LN(2)/2)*BR32+(1-EXP(-LN(2)/2))/(LN(2)/2)*BL33*BO33*VLOOKUP('Données projet'!$B$11,Paramètres!$A$1:$I$89,3,0)*0.475*44/12</f>
        <v>3.7101581053422503</v>
      </c>
      <c r="BS33" s="22">
        <f t="shared" si="9"/>
        <v>18.578696644476508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14.507999999999999</v>
      </c>
      <c r="D34" s="11">
        <f t="shared" si="32"/>
        <v>4.8972073577041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149.79458311210183</v>
      </c>
      <c r="H34" s="67">
        <f t="shared" si="1"/>
        <v>327.13073614800129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14.166666666666666</v>
      </c>
      <c r="N34" s="13">
        <f>IF('Données projet'!$A$36&gt;35,N33+M34-V33,IF(A34&lt;'Données projet'!$A$36,$K$205^A34,IF(A34='Données projet'!$A$36,'Données projet'!$B$36,N33+M34-V33)))</f>
        <v>224.66666666666666</v>
      </c>
      <c r="O34" s="13">
        <f>N34*VLOOKUP('Données projet'!$B$9,Paramètres!$A$1:$I$89,3,0)*VLOOKUP('Données projet'!$B$9,Paramètres!$A$1:$I$89,5,0)</f>
        <v>140.19199999999998</v>
      </c>
      <c r="P34" s="13">
        <f t="shared" si="33"/>
        <v>36.340986489928383</v>
      </c>
      <c r="Q34" s="20">
        <f t="shared" si="2"/>
        <v>307.46161813662519</v>
      </c>
      <c r="R34" s="59">
        <f t="shared" si="0"/>
        <v>600.79495146995851</v>
      </c>
      <c r="S34" s="59">
        <f ca="1">AVERAGE(OFFSET($R$3,0,0,'Données projet'!$E$9+1,1))-AVERAGE(OFFSET($H$3,0,0,'Données projet'!$E$9+1,1))</f>
        <v>168.81286953191102</v>
      </c>
      <c r="T34" s="59">
        <f t="shared" si="34"/>
        <v>255.78677933103666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2.3400812915336644</v>
      </c>
      <c r="AA34" s="21">
        <f>EXP(-LN(2)/25)*AA33+(1-EXP(-LN(2)/25))/(LN(2)/25)*Calculateur!V34*Calculateur!X34*VLOOKUP('Données projet'!$B$9,Paramètres!$A$1:$I$89,3,0)*0.475*44/12</f>
        <v>27.214377012727514</v>
      </c>
      <c r="AB34" s="21">
        <f>EXP(-LN(2)/2)*AB33+(1-EXP(-LN(2)/2))/(LN(2)/2)*V34*Y34*VLOOKUP('Données projet'!$B$9,Paramètres!$A$1:$I$89,3,0)*0.475*44/12</f>
        <v>3.9694002682685636</v>
      </c>
      <c r="AC34" s="22">
        <f t="shared" si="3"/>
        <v>33.52385857252974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19</v>
      </c>
      <c r="AI34" s="13">
        <f>IF('Données projet'!$A$62&gt;35,AI33+AH34-AQ33,IF(A34&lt;'Données projet'!$A$62,$AF$205^A34,IF(A34='Données projet'!$A$62,'Données projet'!$B$62,AI33+AH34-AQ33)))</f>
        <v>214.00000000000011</v>
      </c>
      <c r="AJ34" s="13">
        <f>AI34*VLOOKUP('Données projet'!$B$10,Paramètres!$A$1:$I$89,3,0)*VLOOKUP('Données projet'!$B$10,Paramètres!$A$1:$I$89,5,0)</f>
        <v>127.97200000000008</v>
      </c>
      <c r="AK34" s="13">
        <f t="shared" si="35"/>
        <v>33.527320123852874</v>
      </c>
      <c r="AL34" s="20">
        <f t="shared" si="4"/>
        <v>281.27798254904388</v>
      </c>
      <c r="AM34" s="59">
        <f t="shared" si="5"/>
        <v>574.6113158823772</v>
      </c>
      <c r="AN34" s="59">
        <f ca="1">AVERAGE(OFFSET($AM$3,0,0,'Données projet'!$E$10+1,1))-AVERAGE(OFFSET($H$3,0,0,'Données projet'!$E$10+1,1))</f>
        <v>247.08914525784144</v>
      </c>
      <c r="AO34" s="59">
        <f t="shared" si="36"/>
        <v>286.9617518796191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4.9830080356597399</v>
      </c>
      <c r="AV34" s="21">
        <f>EXP(-LN(2)/25)*AV33+(1-EXP(-LN(2)/25))/(LN(2)/25)*Calculateur!AQ34*Calculateur!AS34*VLOOKUP('Données projet'!$B$10,Paramètres!$A$1:$I$89,3,0)*0.475*44/12</f>
        <v>23.192466721158372</v>
      </c>
      <c r="AW34" s="21">
        <f>EXP(-LN(2)/2)*AW33+(1-EXP(-LN(2)/2))/(LN(2)/2)*AQ34*AT34*VLOOKUP('Données projet'!$B$10,Paramètres!$A$1:$I$89,3,0)*0.475*44/12</f>
        <v>8.7406652509645504</v>
      </c>
      <c r="AX34" s="21">
        <f t="shared" si="6"/>
        <v>36.916140007782658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12.8</v>
      </c>
      <c r="BD34" s="12">
        <f>IF('Données projet'!$A$88&gt;35,BD33+BC34-BL33,IF(A34&lt;'Données projet'!$A$88,$BA$205^A34,IF(A34='Données projet'!$A$88,'Données projet'!$B$88,BD33+BC34-BL33)))</f>
        <v>154.79999999999993</v>
      </c>
      <c r="BE34" s="13">
        <f>BD34*VLOOKUP('Données projet'!$B$11,Paramètres!$A$1:$I$89,3,0)*VLOOKUP('Données projet'!$B$11,Paramètres!$A$1:$I$89,5,0)</f>
        <v>123.15887999999995</v>
      </c>
      <c r="BF34" s="13">
        <f t="shared" si="37"/>
        <v>32.410638331814873</v>
      </c>
      <c r="BG34" s="20">
        <f t="shared" si="7"/>
        <v>270.95024442791083</v>
      </c>
      <c r="BH34" s="59">
        <f t="shared" si="8"/>
        <v>564.28357776124415</v>
      </c>
      <c r="BI34" s="59">
        <f ca="1">AVERAGE(OFFSET($BH$3,0,0,'Données projet'!$E$11+1,1))-AVERAGE(OFFSET($H$3,0,0,'Données projet'!$E$11+1,1))</f>
        <v>280.45463274302153</v>
      </c>
      <c r="BJ34" s="59">
        <f t="shared" si="38"/>
        <v>276.06968650495287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12.192839582213066</v>
      </c>
      <c r="BQ34" s="21">
        <f>EXP(-LN(2)/25)*BQ33+(1-EXP(-LN(2)/25))/(LN(2)/25)*Calculateur!BL34*Calculateur!BN34*VLOOKUP('Données projet'!$B$11,Paramètres!$A$1:$I$89,3,0)*0.475*44/12</f>
        <v>2.3653242265712096</v>
      </c>
      <c r="BR34" s="21">
        <f>EXP(-LN(2)/2)*BR33+(1-EXP(-LN(2)/2))/(LN(2)/2)*BL34*BO34*VLOOKUP('Données projet'!$B$11,Paramètres!$A$1:$I$89,3,0)*0.475*44/12</f>
        <v>2.6234779555617385</v>
      </c>
      <c r="BS34" s="22">
        <f t="shared" si="9"/>
        <v>17.181641764346015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14.975999999999999</v>
      </c>
      <c r="D35" s="11">
        <f t="shared" si="32"/>
        <v>5.0365345962274297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154.48272319894858</v>
      </c>
      <c r="H35" s="67">
        <f t="shared" si="1"/>
        <v>328.18849775509608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14.166666666666666</v>
      </c>
      <c r="N35" s="13">
        <f>IF('Données projet'!$A$36&gt;35,N34+M35-V34,IF(A35&lt;'Données projet'!$A$36,$K$205^A35,IF(A35='Données projet'!$A$36,'Données projet'!$B$36,N34+M35-V34)))</f>
        <v>238.83333333333331</v>
      </c>
      <c r="O35" s="13">
        <f>N35*VLOOKUP('Données projet'!$B$9,Paramètres!$A$1:$I$89,3,0)*VLOOKUP('Données projet'!$B$9,Paramètres!$A$1:$I$89,5,0)</f>
        <v>149.03199999999998</v>
      </c>
      <c r="P35" s="13">
        <f t="shared" si="33"/>
        <v>38.358521326699815</v>
      </c>
      <c r="Q35" s="20">
        <f t="shared" ref="Q35:Q66" si="53">(O35+P35)*0.475*44/12</f>
        <v>326.37182464400212</v>
      </c>
      <c r="R35" s="59">
        <f t="shared" si="0"/>
        <v>619.70515797733538</v>
      </c>
      <c r="S35" s="59">
        <f ca="1">AVERAGE(OFFSET($R$3,0,0,'Données projet'!$E$9+1,1))-AVERAGE(OFFSET($H$3,0,0,'Données projet'!$E$9+1,1))</f>
        <v>168.81286953191102</v>
      </c>
      <c r="T35" s="59">
        <f t="shared" si="34"/>
        <v>255.78677933103666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2.2941937247153419</v>
      </c>
      <c r="AA35" s="21">
        <f>EXP(-LN(2)/25)*AA34+(1-EXP(-LN(2)/25))/(LN(2)/25)*Calculateur!V35*Calculateur!X35*VLOOKUP('Données projet'!$B$9,Paramètres!$A$1:$I$89,3,0)*0.475*44/12</f>
        <v>26.470198442172592</v>
      </c>
      <c r="AB35" s="21">
        <f>EXP(-LN(2)/2)*AB34+(1-EXP(-LN(2)/2))/(LN(2)/2)*V35*Y35*VLOOKUP('Données projet'!$B$9,Paramètres!$A$1:$I$89,3,0)*0.475*44/12</f>
        <v>2.8067898469364025</v>
      </c>
      <c r="AC35" s="22">
        <f t="shared" si="3"/>
        <v>31.571182013824338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19</v>
      </c>
      <c r="AI35" s="13">
        <f>IF('Données projet'!$A$62&gt;35,AI34+AH35-AQ34,IF(A35&lt;'Données projet'!$A$62,$AF$205^A35,IF(A35='Données projet'!$A$62,'Données projet'!$B$62,AI34+AH35-AQ34)))</f>
        <v>233.00000000000011</v>
      </c>
      <c r="AJ35" s="13">
        <f>AI35*VLOOKUP('Données projet'!$B$10,Paramètres!$A$1:$I$89,3,0)*VLOOKUP('Données projet'!$B$10,Paramètres!$A$1:$I$89,5,0)</f>
        <v>139.33400000000009</v>
      </c>
      <c r="AK35" s="13">
        <f t="shared" si="35"/>
        <v>36.144391930570897</v>
      </c>
      <c r="AL35" s="20">
        <f t="shared" si="4"/>
        <v>305.62486594574449</v>
      </c>
      <c r="AM35" s="59">
        <f t="shared" si="5"/>
        <v>598.9581992790778</v>
      </c>
      <c r="AN35" s="59">
        <f ca="1">AVERAGE(OFFSET($AM$3,0,0,'Données projet'!$E$10+1,1))-AVERAGE(OFFSET($H$3,0,0,'Données projet'!$E$10+1,1))</f>
        <v>247.08914525784144</v>
      </c>
      <c r="AO35" s="59">
        <f t="shared" si="36"/>
        <v>286.9617518796191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4.8852942874152445</v>
      </c>
      <c r="AV35" s="21">
        <f>EXP(-LN(2)/25)*AV34+(1-EXP(-LN(2)/25))/(LN(2)/25)*Calculateur!AQ35*Calculateur!AS35*VLOOKUP('Données projet'!$B$10,Paramètres!$A$1:$I$89,3,0)*0.475*44/12</f>
        <v>22.55826749902948</v>
      </c>
      <c r="AW35" s="21">
        <f>EXP(-LN(2)/2)*AW34+(1-EXP(-LN(2)/2))/(LN(2)/2)*AQ35*AT35*VLOOKUP('Données projet'!$B$10,Paramètres!$A$1:$I$89,3,0)*0.475*44/12</f>
        <v>6.1805836710386499</v>
      </c>
      <c r="AX35" s="21">
        <f t="shared" si="6"/>
        <v>33.624145457483372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12.8</v>
      </c>
      <c r="BD35" s="12">
        <f>IF('Données projet'!$A$88&gt;35,BD34+BC35-BL34,IF(A35&lt;'Données projet'!$A$88,$BA$205^A35,IF(A35='Données projet'!$A$88,'Données projet'!$B$88,BD34+BC35-BL34)))</f>
        <v>167.59999999999994</v>
      </c>
      <c r="BE35" s="13">
        <f>BD35*VLOOKUP('Données projet'!$B$11,Paramètres!$A$1:$I$89,3,0)*VLOOKUP('Données projet'!$B$11,Paramètres!$A$1:$I$89,5,0)</f>
        <v>133.34255999999996</v>
      </c>
      <c r="BF35" s="13">
        <f t="shared" si="37"/>
        <v>34.767581918978188</v>
      </c>
      <c r="BG35" s="20">
        <f t="shared" si="7"/>
        <v>292.7918305088869</v>
      </c>
      <c r="BH35" s="59">
        <f t="shared" si="8"/>
        <v>586.12516384222022</v>
      </c>
      <c r="BI35" s="59">
        <f ca="1">AVERAGE(OFFSET($BH$3,0,0,'Données projet'!$E$11+1,1))-AVERAGE(OFFSET($H$3,0,0,'Données projet'!$E$11+1,1))</f>
        <v>280.45463274302153</v>
      </c>
      <c r="BJ35" s="59">
        <f t="shared" si="38"/>
        <v>276.06968650495287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11.953745434903681</v>
      </c>
      <c r="BQ35" s="21">
        <f>EXP(-LN(2)/25)*BQ34+(1-EXP(-LN(2)/25))/(LN(2)/25)*Calculateur!BL35*Calculateur!BN35*VLOOKUP('Données projet'!$B$11,Paramètres!$A$1:$I$89,3,0)*0.475*44/12</f>
        <v>2.3006443112086248</v>
      </c>
      <c r="BR35" s="21">
        <f>EXP(-LN(2)/2)*BR34+(1-EXP(-LN(2)/2))/(LN(2)/2)*BL35*BO35*VLOOKUP('Données projet'!$B$11,Paramètres!$A$1:$I$89,3,0)*0.475*44/12</f>
        <v>1.8550790526711254</v>
      </c>
      <c r="BS35" s="22">
        <f t="shared" si="9"/>
        <v>16.109468798783432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15.443999999999999</v>
      </c>
      <c r="D36" s="11">
        <f t="shared" si="32"/>
        <v>5.1753558655448444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159.16695755859178</v>
      </c>
      <c r="H36" s="67">
        <f t="shared" si="1"/>
        <v>329.2453781324906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>
        <f>VLOOKUP(A36,'Données projet'!$A$35:$I$55,2,0)</f>
        <v>253</v>
      </c>
      <c r="L36" s="12">
        <f>VLOOKUP(A36,'Données projet'!$A$35:$I$55,9,0)</f>
        <v>14.166666666666666</v>
      </c>
      <c r="M36" s="12">
        <f t="array" ref="M36">INDEX(L:L,MIN(IF(ISNUMBER(L36:L232),ROW(L36:L232),"")))</f>
        <v>14.166666666666666</v>
      </c>
      <c r="N36" s="13">
        <f>IF('Données projet'!$A$36&gt;35,N35+M36-V35,IF(A36&lt;'Données projet'!$A$36,$K$205^A36,IF(A36='Données projet'!$A$36,'Données projet'!$B$36,N35+M36-V35)))</f>
        <v>252.99999999999997</v>
      </c>
      <c r="O36" s="13">
        <f>N36*VLOOKUP('Données projet'!$B$9,Paramètres!$A$1:$I$89,3,0)*VLOOKUP('Données projet'!$B$9,Paramètres!$A$1:$I$89,5,0)</f>
        <v>157.87199999999999</v>
      </c>
      <c r="P36" s="13">
        <f t="shared" si="33"/>
        <v>40.362165684361159</v>
      </c>
      <c r="Q36" s="20">
        <f t="shared" si="53"/>
        <v>345.25783856692897</v>
      </c>
      <c r="R36" s="59">
        <f t="shared" si="0"/>
        <v>638.59117190026222</v>
      </c>
      <c r="S36" s="59">
        <f ca="1">AVERAGE(OFFSET($R$3,0,0,'Données projet'!$E$9+1,1))-AVERAGE(OFFSET($H$3,0,0,'Données projet'!$E$9+1,1))</f>
        <v>168.81286953191102</v>
      </c>
      <c r="T36" s="59">
        <f t="shared" si="34"/>
        <v>255.78677933103666</v>
      </c>
      <c r="U36" s="15">
        <f>IF(ISNA(VLOOKUP(A36,'Données projet'!$A$35:$I$55,3,0)),0,VLOOKUP(A36,'Données projet'!$A$35:$I$55,3,0))</f>
        <v>5</v>
      </c>
      <c r="V36" s="15">
        <f>IF(ISNA(VLOOKUP(A36,'Données projet'!$A$35:$I$55,4,0)),0,VLOOKUP(A36,'Données projet'!$A$35:$I$55,4,0))</f>
        <v>63</v>
      </c>
      <c r="W36" s="16">
        <f>IF(ISNA(VLOOKUP(A36,'Données projet'!$A$35:$I$55,5,0)),0%,VLOOKUP(A36,'Données projet'!$A$35:$I$55,5,0)*VLOOKUP('Données projet'!$B$9,Paramètres!$A$1:$I$89,7,0))</f>
        <v>0.18</v>
      </c>
      <c r="X36" s="16">
        <f>IF(ISNA(VLOOKUP(A36,'Données projet'!$A$35:$I$55,6,0)),0%,VLOOKUP(A36,'Données projet'!$A$35:$I$55,6,0)*VLOOKUP('Données projet'!$B$9,Paramètres!$A$1:$I$89,7,0))</f>
        <v>0.3</v>
      </c>
      <c r="Y36" s="16">
        <f>IF(ISNA(VLOOKUP(A36,'Données projet'!$A$35:$I$55,7,0)),0%,VLOOKUP(A36,'Données projet'!$A$35:$I$55,7,0))</f>
        <v>0.2</v>
      </c>
      <c r="Z36" s="21">
        <f>EXP(-LN(2)/35)*Z35+(1-EXP(-LN(2)/35))/(LN(2)/35)*V36*W36*VLOOKUP('Données projet'!$B$9,Paramètres!$A$1:$I$89,3,0)*0.475*44/12</f>
        <v>11.63618832209673</v>
      </c>
      <c r="AA36" s="21">
        <f>EXP(-LN(2)/25)*AA35+(1-EXP(-LN(2)/25))/(LN(2)/25)*Calculateur!V36*Calculateur!X36*VLOOKUP('Données projet'!$B$9,Paramètres!$A$1:$I$89,3,0)*0.475*44/12</f>
        <v>41.329739825133473</v>
      </c>
      <c r="AB36" s="21">
        <f>EXP(-LN(2)/2)*AB35+(1-EXP(-LN(2)/2))/(LN(2)/2)*V36*Y36*VLOOKUP('Données projet'!$B$9,Paramètres!$A$1:$I$89,3,0)*0.475*44/12</f>
        <v>10.886763350206369</v>
      </c>
      <c r="AC36" s="22">
        <f t="shared" si="3"/>
        <v>63.852691497436567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19</v>
      </c>
      <c r="AI36" s="13">
        <f>IF('Données projet'!$A$62&gt;35,AI35+AH36-AQ35,IF(A36&lt;'Données projet'!$A$62,$AF$205^A36,IF(A36='Données projet'!$A$62,'Données projet'!$B$62,AI35+AH36-AQ35)))</f>
        <v>252.00000000000011</v>
      </c>
      <c r="AJ36" s="13">
        <f>AI36*VLOOKUP('Données projet'!$B$10,Paramètres!$A$1:$I$89,3,0)*VLOOKUP('Données projet'!$B$10,Paramètres!$A$1:$I$89,5,0)</f>
        <v>150.69600000000008</v>
      </c>
      <c r="AK36" s="13">
        <f t="shared" si="35"/>
        <v>38.736711478840668</v>
      </c>
      <c r="AL36" s="20">
        <f t="shared" si="4"/>
        <v>329.92863915898096</v>
      </c>
      <c r="AM36" s="59">
        <f t="shared" si="5"/>
        <v>623.26197249231427</v>
      </c>
      <c r="AN36" s="59">
        <f ca="1">AVERAGE(OFFSET($AM$3,0,0,'Données projet'!$E$10+1,1))-AVERAGE(OFFSET($H$3,0,0,'Données projet'!$E$10+1,1))</f>
        <v>247.08914525784144</v>
      </c>
      <c r="AO36" s="59">
        <f t="shared" si="36"/>
        <v>286.9617518796191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4.7894966461743227</v>
      </c>
      <c r="AV36" s="21">
        <f>EXP(-LN(2)/25)*AV35+(1-EXP(-LN(2)/25))/(LN(2)/25)*Calculateur!AQ36*Calculateur!AS36*VLOOKUP('Données projet'!$B$10,Paramètres!$A$1:$I$89,3,0)*0.475*44/12</f>
        <v>21.941410487980789</v>
      </c>
      <c r="AW36" s="21">
        <f>EXP(-LN(2)/2)*AW35+(1-EXP(-LN(2)/2))/(LN(2)/2)*AQ36*AT36*VLOOKUP('Données projet'!$B$10,Paramètres!$A$1:$I$89,3,0)*0.475*44/12</f>
        <v>4.3703326254822752</v>
      </c>
      <c r="AX36" s="21">
        <f t="shared" si="6"/>
        <v>31.101239759637387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12.8</v>
      </c>
      <c r="BD36" s="12">
        <f>IF('Données projet'!$A$88&gt;35,BD35+BC36-BL35,IF(A36&lt;'Données projet'!$A$88,$BA$205^A36,IF(A36='Données projet'!$A$88,'Données projet'!$B$88,BD35+BC36-BL35)))</f>
        <v>180.39999999999995</v>
      </c>
      <c r="BE36" s="13">
        <f>BD36*VLOOKUP('Données projet'!$B$11,Paramètres!$A$1:$I$89,3,0)*VLOOKUP('Données projet'!$B$11,Paramètres!$A$1:$I$89,5,0)</f>
        <v>143.52623999999997</v>
      </c>
      <c r="BF36" s="13">
        <f t="shared" si="37"/>
        <v>37.103644337236275</v>
      </c>
      <c r="BG36" s="20">
        <f t="shared" si="7"/>
        <v>314.59704855401981</v>
      </c>
      <c r="BH36" s="59">
        <f t="shared" si="8"/>
        <v>607.93038188735318</v>
      </c>
      <c r="BI36" s="59">
        <f ca="1">AVERAGE(OFFSET($BH$3,0,0,'Données projet'!$E$11+1,1))-AVERAGE(OFFSET($H$3,0,0,'Données projet'!$E$11+1,1))</f>
        <v>280.45463274302153</v>
      </c>
      <c r="BJ36" s="59">
        <f t="shared" si="38"/>
        <v>276.06968650495287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11.719339777990003</v>
      </c>
      <c r="BQ36" s="21">
        <f>EXP(-LN(2)/25)*BQ35+(1-EXP(-LN(2)/25))/(LN(2)/25)*Calculateur!BL36*Calculateur!BN36*VLOOKUP('Données projet'!$B$11,Paramètres!$A$1:$I$89,3,0)*0.475*44/12</f>
        <v>2.2377330715329986</v>
      </c>
      <c r="BR36" s="21">
        <f>EXP(-LN(2)/2)*BR35+(1-EXP(-LN(2)/2))/(LN(2)/2)*BL36*BO36*VLOOKUP('Données projet'!$B$11,Paramètres!$A$1:$I$89,3,0)*0.475*44/12</f>
        <v>1.3117389777808695</v>
      </c>
      <c r="BS36" s="22">
        <f t="shared" si="9"/>
        <v>15.268811827303871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15.911999999999999</v>
      </c>
      <c r="D37" s="11">
        <f t="shared" si="32"/>
        <v>5.3136882579005116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163.84741813116185</v>
      </c>
      <c r="H37" s="67">
        <f t="shared" si="1"/>
        <v>330.3014070491767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12.666666666666666</v>
      </c>
      <c r="N37" s="13">
        <f>IF('Données projet'!$A$36&gt;35,N36+M37-V36,IF(A37&lt;'Données projet'!$A$36,$K$205^A37,IF(A37='Données projet'!$A$36,'Données projet'!$B$36,N36+M37-V36)))</f>
        <v>202.66666666666663</v>
      </c>
      <c r="O37" s="13">
        <f>N37*VLOOKUP('Données projet'!$B$9,Paramètres!$A$1:$I$89,3,0)*VLOOKUP('Données projet'!$B$9,Paramètres!$A$1:$I$89,5,0)</f>
        <v>126.46399999999997</v>
      </c>
      <c r="P37" s="13">
        <f t="shared" si="33"/>
        <v>33.177986820065009</v>
      </c>
      <c r="Q37" s="20">
        <f t="shared" si="53"/>
        <v>278.04312704494652</v>
      </c>
      <c r="R37" s="59">
        <f t="shared" si="0"/>
        <v>571.37646037827983</v>
      </c>
      <c r="S37" s="59">
        <f ca="1">AVERAGE(OFFSET($R$3,0,0,'Données projet'!$E$9+1,1))-AVERAGE(OFFSET($H$3,0,0,'Données projet'!$E$9+1,1))</f>
        <v>168.81286953191102</v>
      </c>
      <c r="T37" s="59">
        <f t="shared" si="34"/>
        <v>255.78677933103666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11.408009766474482</v>
      </c>
      <c r="AA37" s="21">
        <f>EXP(-LN(2)/25)*AA36+(1-EXP(-LN(2)/25))/(LN(2)/25)*Calculateur!V37*Calculateur!X37*VLOOKUP('Données projet'!$B$9,Paramètres!$A$1:$I$89,3,0)*0.475*44/12</f>
        <v>40.199575916178638</v>
      </c>
      <c r="AB37" s="21">
        <f>EXP(-LN(2)/2)*AB36+(1-EXP(-LN(2)/2))/(LN(2)/2)*V37*Y37*VLOOKUP('Données projet'!$B$9,Paramètres!$A$1:$I$89,3,0)*0.475*44/12</f>
        <v>7.6981041901041003</v>
      </c>
      <c r="AC37" s="22">
        <f t="shared" si="3"/>
        <v>59.305689872757227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19</v>
      </c>
      <c r="AI37" s="13">
        <f>IF('Données projet'!$A$62&gt;35,AI36+AH37-AQ36,IF(A37&lt;'Données projet'!$A$62,$AF$205^A37,IF(A37='Données projet'!$A$62,'Données projet'!$B$62,AI36+AH37-AQ36)))</f>
        <v>271.00000000000011</v>
      </c>
      <c r="AJ37" s="13">
        <f>AI37*VLOOKUP('Données projet'!$B$10,Paramètres!$A$1:$I$89,3,0)*VLOOKUP('Données projet'!$B$10,Paramètres!$A$1:$I$89,5,0)</f>
        <v>162.05800000000008</v>
      </c>
      <c r="AK37" s="13">
        <f t="shared" si="35"/>
        <v>41.306357213602411</v>
      </c>
      <c r="AL37" s="20">
        <f t="shared" si="4"/>
        <v>354.19292214702432</v>
      </c>
      <c r="AM37" s="59">
        <f t="shared" si="5"/>
        <v>647.52625548035758</v>
      </c>
      <c r="AN37" s="59">
        <f ca="1">AVERAGE(OFFSET($AM$3,0,0,'Données projet'!$E$10+1,1))-AVERAGE(OFFSET($H$3,0,0,'Données projet'!$E$10+1,1))</f>
        <v>247.08914525784144</v>
      </c>
      <c r="AO37" s="59">
        <f t="shared" si="36"/>
        <v>286.9617518796191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4.6955775382473437</v>
      </c>
      <c r="AV37" s="21">
        <f>EXP(-LN(2)/25)*AV36+(1-EXP(-LN(2)/25))/(LN(2)/25)*Calculateur!AQ37*Calculateur!AS37*VLOOKUP('Données projet'!$B$10,Paramètres!$A$1:$I$89,3,0)*0.475*44/12</f>
        <v>21.341421464338325</v>
      </c>
      <c r="AW37" s="21">
        <f>EXP(-LN(2)/2)*AW36+(1-EXP(-LN(2)/2))/(LN(2)/2)*AQ37*AT37*VLOOKUP('Données projet'!$B$10,Paramètres!$A$1:$I$89,3,0)*0.475*44/12</f>
        <v>3.090291835519325</v>
      </c>
      <c r="AX37" s="21">
        <f t="shared" si="6"/>
        <v>29.12729083810499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12.8</v>
      </c>
      <c r="BD37" s="12">
        <f>IF('Données projet'!$A$88&gt;35,BD36+BC37-BL36,IF(A37&lt;'Données projet'!$A$88,$BA$205^A37,IF(A37='Données projet'!$A$88,'Données projet'!$B$88,BD36+BC37-BL36)))</f>
        <v>193.19999999999996</v>
      </c>
      <c r="BE37" s="13">
        <f>BD37*VLOOKUP('Données projet'!$B$11,Paramètres!$A$1:$I$89,3,0)*VLOOKUP('Données projet'!$B$11,Paramètres!$A$1:$I$89,5,0)</f>
        <v>153.70991999999998</v>
      </c>
      <c r="BF37" s="13">
        <f t="shared" si="37"/>
        <v>39.420475690379831</v>
      </c>
      <c r="BG37" s="20">
        <f t="shared" si="7"/>
        <v>336.3687724940782</v>
      </c>
      <c r="BH37" s="59">
        <f t="shared" si="8"/>
        <v>629.70210582741151</v>
      </c>
      <c r="BI37" s="59">
        <f ca="1">AVERAGE(OFFSET($BH$3,0,0,'Données projet'!$E$11+1,1))-AVERAGE(OFFSET($H$3,0,0,'Données projet'!$E$11+1,1))</f>
        <v>280.45463274302153</v>
      </c>
      <c r="BJ37" s="59">
        <f t="shared" si="38"/>
        <v>276.06968650495287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11.489530673035068</v>
      </c>
      <c r="BQ37" s="21">
        <f>EXP(-LN(2)/25)*BQ36+(1-EXP(-LN(2)/25))/(LN(2)/25)*Calculateur!BL37*Calculateur!BN37*VLOOKUP('Données projet'!$B$11,Paramètres!$A$1:$I$89,3,0)*0.475*44/12</f>
        <v>2.176542143014661</v>
      </c>
      <c r="BR37" s="21">
        <f>EXP(-LN(2)/2)*BR36+(1-EXP(-LN(2)/2))/(LN(2)/2)*BL37*BO37*VLOOKUP('Données projet'!$B$11,Paramètres!$A$1:$I$89,3,0)*0.475*44/12</f>
        <v>0.9275395263355628</v>
      </c>
      <c r="BS37" s="22">
        <f t="shared" si="9"/>
        <v>14.593612342385292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16.38</v>
      </c>
      <c r="D38" s="11">
        <f t="shared" si="32"/>
        <v>5.4515478029518825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168.5242286543654</v>
      </c>
      <c r="H38" s="67">
        <f t="shared" si="1"/>
        <v>331.35661242347453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12.666666666666666</v>
      </c>
      <c r="N38" s="13">
        <f>IF('Données projet'!$A$36&gt;35,N37+M38-V37,IF(A38&lt;'Données projet'!$A$36,$K$205^A38,IF(A38='Données projet'!$A$36,'Données projet'!$B$36,N37+M38-V37)))</f>
        <v>215.33333333333329</v>
      </c>
      <c r="O38" s="13">
        <f>N38*VLOOKUP('Données projet'!$B$9,Paramètres!$A$1:$I$89,3,0)*VLOOKUP('Données projet'!$B$9,Paramètres!$A$1:$I$89,5,0)</f>
        <v>134.36799999999997</v>
      </c>
      <c r="P38" s="13">
        <f t="shared" si="33"/>
        <v>35.003726395250304</v>
      </c>
      <c r="Q38" s="20">
        <f t="shared" si="53"/>
        <v>294.9890901383942</v>
      </c>
      <c r="R38" s="59">
        <f t="shared" si="0"/>
        <v>588.32242347172746</v>
      </c>
      <c r="S38" s="59">
        <f ca="1">AVERAGE(OFFSET($R$3,0,0,'Données projet'!$E$9+1,1))-AVERAGE(OFFSET($H$3,0,0,'Données projet'!$E$9+1,1))</f>
        <v>168.81286953191102</v>
      </c>
      <c r="T38" s="59">
        <f t="shared" si="34"/>
        <v>255.78677933103666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11.18430565315281</v>
      </c>
      <c r="AA38" s="21">
        <f>EXP(-LN(2)/25)*AA37+(1-EXP(-LN(2)/25))/(LN(2)/25)*Calculateur!V38*Calculateur!X38*VLOOKUP('Données projet'!$B$9,Paramètres!$A$1:$I$89,3,0)*0.475*44/12</f>
        <v>39.100316398746912</v>
      </c>
      <c r="AB38" s="21">
        <f>EXP(-LN(2)/2)*AB37+(1-EXP(-LN(2)/2))/(LN(2)/2)*V38*Y38*VLOOKUP('Données projet'!$B$9,Paramètres!$A$1:$I$89,3,0)*0.475*44/12</f>
        <v>5.4433816751031854</v>
      </c>
      <c r="AC38" s="22">
        <f t="shared" si="3"/>
        <v>55.728003727002907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290</v>
      </c>
      <c r="AG38" s="12">
        <f>VLOOKUP(A38,'Données projet'!$A$61:$I$81,9,0)</f>
        <v>19</v>
      </c>
      <c r="AH38" s="12">
        <f t="array" ref="AH38">INDEX(AG:AG,MIN(IF(ISNUMBER(AG38:AG234),ROW(AG38:AG234),"")))</f>
        <v>19</v>
      </c>
      <c r="AI38" s="13">
        <f>IF('Données projet'!$A$62&gt;35,AI37+AH38-AQ37,IF(A38&lt;'Données projet'!$A$62,$AF$205^A38,IF(A38='Données projet'!$A$62,'Données projet'!$B$62,AI37+AH38-AQ37)))</f>
        <v>290.00000000000011</v>
      </c>
      <c r="AJ38" s="13">
        <f>AI38*VLOOKUP('Données projet'!$B$10,Paramètres!$A$1:$I$89,3,0)*VLOOKUP('Données projet'!$B$10,Paramètres!$A$1:$I$89,5,0)</f>
        <v>173.4200000000001</v>
      </c>
      <c r="AK38" s="13">
        <f t="shared" si="35"/>
        <v>43.85509963097244</v>
      </c>
      <c r="AL38" s="20">
        <f t="shared" si="4"/>
        <v>378.42079852394386</v>
      </c>
      <c r="AM38" s="59">
        <f t="shared" si="5"/>
        <v>671.75413185727712</v>
      </c>
      <c r="AN38" s="59">
        <f ca="1">AVERAGE(OFFSET($AM$3,0,0,'Données projet'!$E$10+1,1))-AVERAGE(OFFSET($H$3,0,0,'Données projet'!$E$10+1,1))</f>
        <v>247.08914525784144</v>
      </c>
      <c r="AO38" s="59">
        <f t="shared" si="36"/>
        <v>286.9617518796191</v>
      </c>
      <c r="AP38" s="15">
        <f>IF(ISNA(VLOOKUP(A38,'Données projet'!$A$61:$I$81,3,0)),0,VLOOKUP(A38,'Données projet'!$A$61:$I$81,3,0))</f>
        <v>4</v>
      </c>
      <c r="AQ38" s="15">
        <f>IF(ISNA(VLOOKUP(A38,'Données projet'!$A$61:$I$81,4,0)),0,VLOOKUP(A38,'Données projet'!$A$61:$I$81,4,0))</f>
        <v>49</v>
      </c>
      <c r="AR38" s="16">
        <f>IF(ISNA(VLOOKUP(A38,'Données projet'!$A$61:$I$81,5,0)),0%,VLOOKUP(A38,'Données projet'!$A$61:$I$81,5,0)*VLOOKUP('Données projet'!$B$10,Paramètres!$A$1:$I$89,7,0))</f>
        <v>0.13500000000000001</v>
      </c>
      <c r="AS38" s="16">
        <f>IF(ISNA(VLOOKUP(A38,'Données projet'!$A$61:$I$81,6,0)),0%,VLOOKUP(A38,'Données projet'!$A$61:$I$81,6,0)*VLOOKUP('Données projet'!$B$10,Paramètres!$A$1:$I$89,7,0))</f>
        <v>0.18000000000000002</v>
      </c>
      <c r="AT38" s="16">
        <f>IF(ISNA(VLOOKUP(A38,'Données projet'!$A$61:$I$81,7,0)),0%,VLOOKUP(A38,'Données projet'!$A$61:$I$81,7,0))</f>
        <v>0.3</v>
      </c>
      <c r="AU38" s="21">
        <f>EXP(-LN(2)/35)*AU37+(1-EXP(-LN(2)/35))/(LN(2)/35)*AQ38*AR38*VLOOKUP('Données projet'!$B$10,Paramètres!$A$1:$I$89,3,0)*0.475*44/12</f>
        <v>9.8510840026358828</v>
      </c>
      <c r="AV38" s="21">
        <f>EXP(-LN(2)/25)*AV37+(1-EXP(-LN(2)/25))/(LN(2)/25)*Calculateur!AQ38*Calculateur!AS38*VLOOKUP('Données projet'!$B$10,Paramètres!$A$1:$I$89,3,0)*0.475*44/12</f>
        <v>27.727068690350698</v>
      </c>
      <c r="AW38" s="21">
        <f>EXP(-LN(2)/2)*AW37+(1-EXP(-LN(2)/2))/(LN(2)/2)*AQ38*AT38*VLOOKUP('Données projet'!$B$10,Paramètres!$A$1:$I$89,3,0)*0.475*44/12</f>
        <v>12.138167547377286</v>
      </c>
      <c r="AX38" s="21">
        <f t="shared" si="6"/>
        <v>49.716320240363864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206</v>
      </c>
      <c r="BB38" s="12">
        <f>VLOOKUP(A38,'Données projet'!$A$87:$I$107,9,0)</f>
        <v>12.8</v>
      </c>
      <c r="BC38" s="12">
        <f t="array" ref="BC38">INDEX(BB:BB,MIN(IF(ISNUMBER(BB38:BB234),ROW(BB38:BB234),"")))</f>
        <v>12.8</v>
      </c>
      <c r="BD38" s="12">
        <f>IF('Données projet'!$A$88&gt;35,BD37+BC38-BL37,IF(A38&lt;'Données projet'!$A$88,$BA$205^A38,IF(A38='Données projet'!$A$88,'Données projet'!$B$88,BD37+BC38-BL37)))</f>
        <v>205.99999999999997</v>
      </c>
      <c r="BE38" s="13">
        <f>BD38*VLOOKUP('Données projet'!$B$11,Paramètres!$A$1:$I$89,3,0)*VLOOKUP('Données projet'!$B$11,Paramètres!$A$1:$I$89,5,0)</f>
        <v>163.89359999999999</v>
      </c>
      <c r="BF38" s="13">
        <f t="shared" si="37"/>
        <v>41.71949506642347</v>
      </c>
      <c r="BG38" s="20">
        <f t="shared" si="7"/>
        <v>358.10947390735419</v>
      </c>
      <c r="BH38" s="59">
        <f t="shared" si="8"/>
        <v>651.44280724068744</v>
      </c>
      <c r="BI38" s="59">
        <f ca="1">AVERAGE(OFFSET($BH$3,0,0,'Données projet'!$E$11+1,1))-AVERAGE(OFFSET($H$3,0,0,'Données projet'!$E$11+1,1))</f>
        <v>280.45463274302153</v>
      </c>
      <c r="BJ38" s="59">
        <f t="shared" si="38"/>
        <v>276.06968650495287</v>
      </c>
      <c r="BK38" s="15">
        <f>IF(ISNA(VLOOKUP(A38,'Données projet'!$A$87:$I$107,3,0)),0,VLOOKUP(A38,'Données projet'!$A$87:$I$107,3,0))</f>
        <v>5</v>
      </c>
      <c r="BL38" s="15">
        <f>IF(ISNA(VLOOKUP(A38,'Données projet'!$A$87:$I$107,4,0)),0,VLOOKUP(A38,'Données projet'!$A$87:$I$107,4,0))</f>
        <v>35</v>
      </c>
      <c r="BM38" s="16">
        <f>IF(ISNA(VLOOKUP(A38,'Données projet'!$A$87:$I$107,5,0)),0%,VLOOKUP(A38,'Données projet'!$A$87:$I$107,5,0)*VLOOKUP('Données projet'!$B$11,Paramètres!$A$1:$I$89,7,0))</f>
        <v>0.21200000000000002</v>
      </c>
      <c r="BN38" s="16">
        <f>IF(ISNA(VLOOKUP(A38,'Données projet'!$A$87:$I$107,6,0)),0%,VLOOKUP(A38,'Données projet'!$A$87:$I$107,6,0)*VLOOKUP('Données projet'!$B$11,Paramètres!$A$1:$I$89,7,0))</f>
        <v>4.24E-2</v>
      </c>
      <c r="BO38" s="16">
        <f>IF(ISNA(VLOOKUP(A38,'Données projet'!$A$87:$I$107,7,0)),0%,VLOOKUP(A38,'Données projet'!$A$87:$I$107,7,0))</f>
        <v>0.12</v>
      </c>
      <c r="BP38" s="21">
        <f>EXP(-LN(2)/35)*BP37+(1-EXP(-LN(2)/35))/(LN(2)/35)*BL38*BM38*VLOOKUP('Données projet'!$B$11,Paramètres!$A$1:$I$89,3,0)*0.475*44/12</f>
        <v>17.790208760415187</v>
      </c>
      <c r="BQ38" s="21">
        <f>EXP(-LN(2)/25)*BQ37+(1-EXP(-LN(2)/25))/(LN(2)/25)*Calculateur!BL38*Calculateur!BN38*VLOOKUP('Données projet'!$B$11,Paramètres!$A$1:$I$89,3,0)*0.475*44/12</f>
        <v>3.4170815842641558</v>
      </c>
      <c r="BR38" s="21">
        <f>EXP(-LN(2)/2)*BR37+(1-EXP(-LN(2)/2))/(LN(2)/2)*BL38*BO38*VLOOKUP('Données projet'!$B$11,Paramètres!$A$1:$I$89,3,0)*0.475*44/12</f>
        <v>3.8086835445826317</v>
      </c>
      <c r="BS38" s="22">
        <f t="shared" si="9"/>
        <v>25.015973889261975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16.847999999999999</v>
      </c>
      <c r="D39" s="11">
        <f t="shared" si="32"/>
        <v>5.5889495622773833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173.19750539301842</v>
      </c>
      <c r="H39" s="67">
        <f t="shared" si="1"/>
        <v>332.4110204876331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12.666666666666666</v>
      </c>
      <c r="N39" s="13">
        <f>IF('Données projet'!$A$36&gt;35,N38+M39-V38,IF(A39&lt;'Données projet'!$A$36,$K$205^A39,IF(A39='Données projet'!$A$36,'Données projet'!$B$36,N38+M39-V38)))</f>
        <v>227.99999999999994</v>
      </c>
      <c r="O39" s="13">
        <f>N39*VLOOKUP('Données projet'!$B$9,Paramètres!$A$1:$I$89,3,0)*VLOOKUP('Données projet'!$B$9,Paramètres!$A$1:$I$89,5,0)</f>
        <v>142.27199999999996</v>
      </c>
      <c r="P39" s="13">
        <f t="shared" si="33"/>
        <v>36.817000136193229</v>
      </c>
      <c r="Q39" s="20">
        <f t="shared" si="53"/>
        <v>311.91334190386976</v>
      </c>
      <c r="R39" s="59">
        <f t="shared" si="0"/>
        <v>605.24667523720314</v>
      </c>
      <c r="S39" s="59">
        <f ca="1">AVERAGE(OFFSET($R$3,0,0,'Données projet'!$E$9+1,1))-AVERAGE(OFFSET($H$3,0,0,'Données projet'!$E$9+1,1))</f>
        <v>168.81286953191102</v>
      </c>
      <c r="T39" s="59">
        <f t="shared" si="34"/>
        <v>255.78677933103666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10.96498824104734</v>
      </c>
      <c r="AA39" s="21">
        <f>EXP(-LN(2)/25)*AA38+(1-EXP(-LN(2)/25))/(LN(2)/25)*Calculateur!V39*Calculateur!X39*VLOOKUP('Données projet'!$B$9,Paramètres!$A$1:$I$89,3,0)*0.475*44/12</f>
        <v>38.031116190626904</v>
      </c>
      <c r="AB39" s="21">
        <f>EXP(-LN(2)/2)*AB38+(1-EXP(-LN(2)/2))/(LN(2)/2)*V39*Y39*VLOOKUP('Données projet'!$B$9,Paramètres!$A$1:$I$89,3,0)*0.475*44/12</f>
        <v>3.849052095052051</v>
      </c>
      <c r="AC39" s="22">
        <f t="shared" si="3"/>
        <v>52.845156526726292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18.600000000000001</v>
      </c>
      <c r="AI39" s="13">
        <f>IF('Données projet'!$A$62&gt;35,AI38+AH39-AQ38,IF(A39&lt;'Données projet'!$A$62,$AF$205^A39,IF(A39='Données projet'!$A$62,'Données projet'!$B$62,AI38+AH39-AQ38)))</f>
        <v>259.60000000000014</v>
      </c>
      <c r="AJ39" s="13">
        <f>AI39*VLOOKUP('Données projet'!$B$10,Paramètres!$A$1:$I$89,3,0)*VLOOKUP('Données projet'!$B$10,Paramètres!$A$1:$I$89,5,0)</f>
        <v>155.24080000000009</v>
      </c>
      <c r="AK39" s="13">
        <f t="shared" si="35"/>
        <v>39.767185348358026</v>
      </c>
      <c r="AL39" s="20">
        <f t="shared" si="4"/>
        <v>339.63890781505705</v>
      </c>
      <c r="AM39" s="59">
        <f t="shared" si="5"/>
        <v>632.97224114839037</v>
      </c>
      <c r="AN39" s="59">
        <f ca="1">AVERAGE(OFFSET($AM$3,0,0,'Données projet'!$E$10+1,1))-AVERAGE(OFFSET($H$3,0,0,'Données projet'!$E$10+1,1))</f>
        <v>247.08914525784144</v>
      </c>
      <c r="AO39" s="59">
        <f t="shared" si="36"/>
        <v>286.9617518796191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9.6579102539121386</v>
      </c>
      <c r="AV39" s="21">
        <f>EXP(-LN(2)/25)*AV38+(1-EXP(-LN(2)/25))/(LN(2)/25)*Calculateur!AQ39*Calculateur!AS39*VLOOKUP('Données projet'!$B$10,Paramètres!$A$1:$I$89,3,0)*0.475*44/12</f>
        <v>26.968870538909886</v>
      </c>
      <c r="AW39" s="21">
        <f>EXP(-LN(2)/2)*AW38+(1-EXP(-LN(2)/2))/(LN(2)/2)*AQ39*AT39*VLOOKUP('Données projet'!$B$10,Paramètres!$A$1:$I$89,3,0)*0.475*44/12</f>
        <v>8.582980583928963</v>
      </c>
      <c r="AX39" s="21">
        <f t="shared" si="6"/>
        <v>45.20976137675099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11.4</v>
      </c>
      <c r="BD39" s="12">
        <f>IF('Données projet'!$A$88&gt;35,BD38+BC39-BL38,IF(A39&lt;'Données projet'!$A$88,$BA$205^A39,IF(A39='Données projet'!$A$88,'Données projet'!$B$88,BD38+BC39-BL38)))</f>
        <v>182.39999999999998</v>
      </c>
      <c r="BE39" s="13">
        <f>BD39*VLOOKUP('Données projet'!$B$11,Paramètres!$A$1:$I$89,3,0)*VLOOKUP('Données projet'!$B$11,Paramètres!$A$1:$I$89,5,0)</f>
        <v>145.11743999999999</v>
      </c>
      <c r="BF39" s="13">
        <f t="shared" si="37"/>
        <v>37.466878406916173</v>
      </c>
      <c r="BG39" s="20">
        <f t="shared" si="7"/>
        <v>318.00102122537896</v>
      </c>
      <c r="BH39" s="59">
        <f t="shared" si="8"/>
        <v>611.33435455871222</v>
      </c>
      <c r="BI39" s="59">
        <f ca="1">AVERAGE(OFFSET($BH$3,0,0,'Données projet'!$E$11+1,1))-AVERAGE(OFFSET($H$3,0,0,'Données projet'!$E$11+1,1))</f>
        <v>280.45463274302153</v>
      </c>
      <c r="BJ39" s="59">
        <f t="shared" si="38"/>
        <v>276.06968650495287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17.441353617579345</v>
      </c>
      <c r="BQ39" s="21">
        <f>EXP(-LN(2)/25)*BQ38+(1-EXP(-LN(2)/25))/(LN(2)/25)*Calculateur!BL39*Calculateur!BN39*VLOOKUP('Données projet'!$B$11,Paramètres!$A$1:$I$89,3,0)*0.475*44/12</f>
        <v>3.3236413086459415</v>
      </c>
      <c r="BR39" s="21">
        <f>EXP(-LN(2)/2)*BR38+(1-EXP(-LN(2)/2))/(LN(2)/2)*BL39*BO39*VLOOKUP('Données projet'!$B$11,Paramètres!$A$1:$I$89,3,0)*0.475*44/12</f>
        <v>2.6931459617679954</v>
      </c>
      <c r="BS39" s="22">
        <f t="shared" si="9"/>
        <v>23.458140887993284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17.315999999999999</v>
      </c>
      <c r="D40" s="11">
        <f t="shared" si="32"/>
        <v>5.7259077130880893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177.86735778524135</v>
      </c>
      <c r="H40" s="67">
        <f t="shared" si="1"/>
        <v>333.46465593362842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12.666666666666666</v>
      </c>
      <c r="N40" s="13">
        <f>IF('Données projet'!$A$36&gt;35,N39+M40-V39,IF(A40&lt;'Données projet'!$A$36,$K$205^A40,IF(A40='Données projet'!$A$36,'Données projet'!$B$36,N39+M40-V39)))</f>
        <v>240.6666666666666</v>
      </c>
      <c r="O40" s="13">
        <f>N40*VLOOKUP('Données projet'!$B$9,Paramètres!$A$1:$I$89,3,0)*VLOOKUP('Données projet'!$B$9,Paramètres!$A$1:$I$89,5,0)</f>
        <v>150.17599999999996</v>
      </c>
      <c r="P40" s="13">
        <f t="shared" si="33"/>
        <v>38.618579522307598</v>
      </c>
      <c r="Q40" s="20">
        <f t="shared" si="53"/>
        <v>328.81722600135237</v>
      </c>
      <c r="R40" s="59">
        <f t="shared" si="0"/>
        <v>622.15055933468568</v>
      </c>
      <c r="S40" s="59">
        <f ca="1">AVERAGE(OFFSET($R$3,0,0,'Données projet'!$E$9+1,1))-AVERAGE(OFFSET($H$3,0,0,'Données projet'!$E$9+1,1))</f>
        <v>168.81286953191102</v>
      </c>
      <c r="T40" s="59">
        <f t="shared" si="34"/>
        <v>255.78677933103666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10.749971509622846</v>
      </c>
      <c r="AA40" s="21">
        <f>EXP(-LN(2)/25)*AA39+(1-EXP(-LN(2)/25))/(LN(2)/25)*Calculateur!V40*Calculateur!X40*VLOOKUP('Données projet'!$B$9,Paramètres!$A$1:$I$89,3,0)*0.475*44/12</f>
        <v>36.991153318424729</v>
      </c>
      <c r="AB40" s="21">
        <f>EXP(-LN(2)/2)*AB39+(1-EXP(-LN(2)/2))/(LN(2)/2)*V40*Y40*VLOOKUP('Données projet'!$B$9,Paramètres!$A$1:$I$89,3,0)*0.475*44/12</f>
        <v>2.7216908375515931</v>
      </c>
      <c r="AC40" s="22">
        <f t="shared" si="3"/>
        <v>50.462815665599166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18.600000000000001</v>
      </c>
      <c r="AI40" s="13">
        <f>IF('Données projet'!$A$62&gt;35,AI39+AH40-AQ39,IF(A40&lt;'Données projet'!$A$62,$AF$205^A40,IF(A40='Données projet'!$A$62,'Données projet'!$B$62,AI39+AH40-AQ39)))</f>
        <v>278.20000000000016</v>
      </c>
      <c r="AJ40" s="13">
        <f>AI40*VLOOKUP('Données projet'!$B$10,Paramètres!$A$1:$I$89,3,0)*VLOOKUP('Données projet'!$B$10,Paramètres!$A$1:$I$89,5,0)</f>
        <v>166.3636000000001</v>
      </c>
      <c r="AK40" s="13">
        <f t="shared" si="35"/>
        <v>42.274568875588933</v>
      </c>
      <c r="AL40" s="20">
        <f t="shared" si="4"/>
        <v>363.3781441249842</v>
      </c>
      <c r="AM40" s="59">
        <f t="shared" si="5"/>
        <v>656.71147745831752</v>
      </c>
      <c r="AN40" s="59">
        <f ca="1">AVERAGE(OFFSET($AM$3,0,0,'Données projet'!$E$10+1,1))-AVERAGE(OFFSET($H$3,0,0,'Données projet'!$E$10+1,1))</f>
        <v>247.08914525784144</v>
      </c>
      <c r="AO40" s="59">
        <f t="shared" si="36"/>
        <v>286.9617518796191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9.4685245245765142</v>
      </c>
      <c r="AV40" s="21">
        <f>EXP(-LN(2)/25)*AV39+(1-EXP(-LN(2)/25))/(LN(2)/25)*Calculateur!AQ40*Calculateur!AS40*VLOOKUP('Données projet'!$B$10,Paramètres!$A$1:$I$89,3,0)*0.475*44/12</f>
        <v>26.231405355792131</v>
      </c>
      <c r="AW40" s="21">
        <f>EXP(-LN(2)/2)*AW39+(1-EXP(-LN(2)/2))/(LN(2)/2)*AQ40*AT40*VLOOKUP('Données projet'!$B$10,Paramètres!$A$1:$I$89,3,0)*0.475*44/12</f>
        <v>6.0690837736886438</v>
      </c>
      <c r="AX40" s="21">
        <f t="shared" si="6"/>
        <v>41.769013654057289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11.4</v>
      </c>
      <c r="BD40" s="12">
        <f>IF('Données projet'!$A$88&gt;35,BD39+BC40-BL39,IF(A40&lt;'Données projet'!$A$88,$BA$205^A40,IF(A40='Données projet'!$A$88,'Données projet'!$B$88,BD39+BC40-BL39)))</f>
        <v>193.79999999999998</v>
      </c>
      <c r="BE40" s="13">
        <f>BD40*VLOOKUP('Données projet'!$B$11,Paramètres!$A$1:$I$89,3,0)*VLOOKUP('Données projet'!$B$11,Paramètres!$A$1:$I$89,5,0)</f>
        <v>154.18727999999999</v>
      </c>
      <c r="BF40" s="13">
        <f t="shared" si="37"/>
        <v>39.528629863903078</v>
      </c>
      <c r="BG40" s="20">
        <f t="shared" si="7"/>
        <v>337.38854301296448</v>
      </c>
      <c r="BH40" s="59">
        <f t="shared" si="8"/>
        <v>630.72187634629779</v>
      </c>
      <c r="BI40" s="59">
        <f ca="1">AVERAGE(OFFSET($BH$3,0,0,'Données projet'!$E$11+1,1))-AVERAGE(OFFSET($H$3,0,0,'Données projet'!$E$11+1,1))</f>
        <v>280.45463274302153</v>
      </c>
      <c r="BJ40" s="59">
        <f t="shared" si="38"/>
        <v>276.06968650495287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17.099339311313887</v>
      </c>
      <c r="BQ40" s="21">
        <f>EXP(-LN(2)/25)*BQ39+(1-EXP(-LN(2)/25))/(LN(2)/25)*Calculateur!BL40*Calculateur!BN40*VLOOKUP('Données projet'!$B$11,Paramètres!$A$1:$I$89,3,0)*0.475*44/12</f>
        <v>3.2327561622783181</v>
      </c>
      <c r="BR40" s="21">
        <f>EXP(-LN(2)/2)*BR39+(1-EXP(-LN(2)/2))/(LN(2)/2)*BL40*BO40*VLOOKUP('Données projet'!$B$11,Paramètres!$A$1:$I$89,3,0)*0.475*44/12</f>
        <v>1.9043417722913161</v>
      </c>
      <c r="BS40" s="22">
        <f t="shared" si="9"/>
        <v>22.236437245883522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17.783999999999999</v>
      </c>
      <c r="D41" s="11">
        <f t="shared" si="32"/>
        <v>5.862435622634961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182.5338890168313</v>
      </c>
      <c r="H41" s="67">
        <f t="shared" si="1"/>
        <v>334.51754204275585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12.666666666666666</v>
      </c>
      <c r="N41" s="13">
        <f>IF('Données projet'!$A$36&gt;35,N40+M41-V40,IF(A41&lt;'Données projet'!$A$36,$K$205^A41,IF(A41='Données projet'!$A$36,'Données projet'!$B$36,N40+M41-V40)))</f>
        <v>253.33333333333326</v>
      </c>
      <c r="O41" s="13">
        <f>N41*VLOOKUP('Données projet'!$B$9,Paramètres!$A$1:$I$89,3,0)*VLOOKUP('Données projet'!$B$9,Paramètres!$A$1:$I$89,5,0)</f>
        <v>158.07999999999996</v>
      </c>
      <c r="P41" s="13">
        <f t="shared" si="33"/>
        <v>40.409150238021176</v>
      </c>
      <c r="Q41" s="20">
        <f t="shared" si="53"/>
        <v>345.70193666455344</v>
      </c>
      <c r="R41" s="59">
        <f t="shared" si="0"/>
        <v>639.03526999788676</v>
      </c>
      <c r="S41" s="59">
        <f ca="1">AVERAGE(OFFSET($R$3,0,0,'Données projet'!$E$9+1,1))-AVERAGE(OFFSET($H$3,0,0,'Données projet'!$E$9+1,1))</f>
        <v>168.81286953191102</v>
      </c>
      <c r="T41" s="59">
        <f t="shared" si="34"/>
        <v>255.78677933103666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10.539171125154329</v>
      </c>
      <c r="AA41" s="21">
        <f>EXP(-LN(2)/25)*AA40+(1-EXP(-LN(2)/25))/(LN(2)/25)*Calculateur!V41*Calculateur!X41*VLOOKUP('Données projet'!$B$9,Paramètres!$A$1:$I$89,3,0)*0.475*44/12</f>
        <v>35.979628285652197</v>
      </c>
      <c r="AB41" s="21">
        <f>EXP(-LN(2)/2)*AB40+(1-EXP(-LN(2)/2))/(LN(2)/2)*V41*Y41*VLOOKUP('Données projet'!$B$9,Paramètres!$A$1:$I$89,3,0)*0.475*44/12</f>
        <v>1.9245260475260257</v>
      </c>
      <c r="AC41" s="22">
        <f t="shared" si="3"/>
        <v>48.443325458332545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18.600000000000001</v>
      </c>
      <c r="AI41" s="13">
        <f>IF('Données projet'!$A$62&gt;35,AI40+AH41-AQ40,IF(A41&lt;'Données projet'!$A$62,$AF$205^A41,IF(A41='Données projet'!$A$62,'Données projet'!$B$62,AI40+AH41-AQ40)))</f>
        <v>296.80000000000018</v>
      </c>
      <c r="AJ41" s="13">
        <f>AI41*VLOOKUP('Données projet'!$B$10,Paramètres!$A$1:$I$89,3,0)*VLOOKUP('Données projet'!$B$10,Paramètres!$A$1:$I$89,5,0)</f>
        <v>177.48640000000012</v>
      </c>
      <c r="AK41" s="13">
        <f t="shared" si="35"/>
        <v>44.762499594286361</v>
      </c>
      <c r="AL41" s="20">
        <f t="shared" si="4"/>
        <v>387.08350012671559</v>
      </c>
      <c r="AM41" s="59">
        <f t="shared" si="5"/>
        <v>680.41683346004891</v>
      </c>
      <c r="AN41" s="59">
        <f ca="1">AVERAGE(OFFSET($AM$3,0,0,'Données projet'!$E$10+1,1))-AVERAGE(OFFSET($H$3,0,0,'Données projet'!$E$10+1,1))</f>
        <v>247.08914525784144</v>
      </c>
      <c r="AO41" s="59">
        <f t="shared" si="36"/>
        <v>286.9617518796191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9.2828525338792716</v>
      </c>
      <c r="AV41" s="21">
        <f>EXP(-LN(2)/25)*AV40+(1-EXP(-LN(2)/25))/(LN(2)/25)*Calculateur!AQ41*Calculateur!AS41*VLOOKUP('Données projet'!$B$10,Paramètres!$A$1:$I$89,3,0)*0.475*44/12</f>
        <v>25.514106196888338</v>
      </c>
      <c r="AW41" s="21">
        <f>EXP(-LN(2)/2)*AW40+(1-EXP(-LN(2)/2))/(LN(2)/2)*AQ41*AT41*VLOOKUP('Données projet'!$B$10,Paramètres!$A$1:$I$89,3,0)*0.475*44/12</f>
        <v>4.2914902919644824</v>
      </c>
      <c r="AX41" s="21">
        <f t="shared" si="6"/>
        <v>39.088449022732092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11.4</v>
      </c>
      <c r="BD41" s="12">
        <f>IF('Données projet'!$A$88&gt;35,BD40+BC41-BL40,IF(A41&lt;'Données projet'!$A$88,$BA$205^A41,IF(A41='Données projet'!$A$88,'Données projet'!$B$88,BD40+BC41-BL40)))</f>
        <v>205.2</v>
      </c>
      <c r="BE41" s="13">
        <f>BD41*VLOOKUP('Données projet'!$B$11,Paramètres!$A$1:$I$89,3,0)*VLOOKUP('Données projet'!$B$11,Paramètres!$A$1:$I$89,5,0)</f>
        <v>163.25712000000001</v>
      </c>
      <c r="BF41" s="13">
        <f t="shared" si="37"/>
        <v>41.576304038313076</v>
      </c>
      <c r="BG41" s="20">
        <f t="shared" si="7"/>
        <v>356.75154686672863</v>
      </c>
      <c r="BH41" s="59">
        <f t="shared" si="8"/>
        <v>650.08488020006189</v>
      </c>
      <c r="BI41" s="59">
        <f ca="1">AVERAGE(OFFSET($BH$3,0,0,'Données projet'!$E$11+1,1))-AVERAGE(OFFSET($H$3,0,0,'Données projet'!$E$11+1,1))</f>
        <v>280.45463274302153</v>
      </c>
      <c r="BJ41" s="59">
        <f t="shared" si="38"/>
        <v>276.06968650495287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16.764031696986166</v>
      </c>
      <c r="BQ41" s="21">
        <f>EXP(-LN(2)/25)*BQ40+(1-EXP(-LN(2)/25))/(LN(2)/25)*Calculateur!BL41*Calculateur!BN41*VLOOKUP('Données projet'!$B$11,Paramètres!$A$1:$I$89,3,0)*0.475*44/12</f>
        <v>3.1443562750175595</v>
      </c>
      <c r="BR41" s="21">
        <f>EXP(-LN(2)/2)*BR40+(1-EXP(-LN(2)/2))/(LN(2)/2)*BL41*BO41*VLOOKUP('Données projet'!$B$11,Paramètres!$A$1:$I$89,3,0)*0.475*44/12</f>
        <v>1.3465729808839979</v>
      </c>
      <c r="BS41" s="22">
        <f t="shared" si="9"/>
        <v>21.254960952887725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18.251999999999999</v>
      </c>
      <c r="D42" s="11">
        <f t="shared" si="32"/>
        <v>5.9985459145634135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187.19719653347192</v>
      </c>
      <c r="H42" s="67">
        <f t="shared" si="1"/>
        <v>335.56970080119794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>
        <f>VLOOKUP(A42,'Données projet'!$A$35:$I$55,2,0)</f>
        <v>266</v>
      </c>
      <c r="L42" s="12">
        <f>VLOOKUP(A42,'Données projet'!$A$35:$I$55,9,0)</f>
        <v>12.666666666666666</v>
      </c>
      <c r="M42" s="12">
        <f t="array" ref="M42">INDEX(L:L,MIN(IF(ISNUMBER(L42:L238),ROW(L42:L238),"")))</f>
        <v>12.666666666666666</v>
      </c>
      <c r="N42" s="13">
        <f>IF('Données projet'!$A$36&gt;35,N41+M42-V41,IF(A42&lt;'Données projet'!$A$36,$K$205^A42,IF(A42='Données projet'!$A$36,'Données projet'!$B$36,N41+M42-V41)))</f>
        <v>265.99999999999994</v>
      </c>
      <c r="O42" s="13">
        <f>N42*VLOOKUP('Données projet'!$B$9,Paramètres!$A$1:$I$89,3,0)*VLOOKUP('Données projet'!$B$9,Paramètres!$A$1:$I$89,5,0)</f>
        <v>165.98399999999995</v>
      </c>
      <c r="P42" s="13">
        <f t="shared" si="33"/>
        <v>42.189325525922243</v>
      </c>
      <c r="Q42" s="20">
        <f t="shared" si="53"/>
        <v>362.56854195764782</v>
      </c>
      <c r="R42" s="59">
        <f t="shared" si="0"/>
        <v>655.90187529098114</v>
      </c>
      <c r="S42" s="59">
        <f ca="1">AVERAGE(OFFSET($R$3,0,0,'Données projet'!$E$9+1,1))-AVERAGE(OFFSET($H$3,0,0,'Données projet'!$E$9+1,1))</f>
        <v>168.81286953191102</v>
      </c>
      <c r="T42" s="59">
        <f t="shared" si="34"/>
        <v>255.78677933103666</v>
      </c>
      <c r="U42" s="15">
        <f>IF(ISNA(VLOOKUP(A42,'Données projet'!$A$35:$I$55,3,0)),0,VLOOKUP(A42,'Données projet'!$A$35:$I$55,3,0))</f>
        <v>6</v>
      </c>
      <c r="V42" s="15">
        <f>IF(ISNA(VLOOKUP(A42,'Données projet'!$A$35:$I$55,4,0)),0,VLOOKUP(A42,'Données projet'!$A$35:$I$55,4,0))</f>
        <v>67</v>
      </c>
      <c r="W42" s="16">
        <f>IF(ISNA(VLOOKUP(A42,'Données projet'!$A$35:$I$55,5,0)),0%,VLOOKUP(A42,'Données projet'!$A$35:$I$55,5,0)*VLOOKUP('Données projet'!$B$9,Paramètres!$A$1:$I$89,7,0))</f>
        <v>0.24</v>
      </c>
      <c r="X42" s="16">
        <f>IF(ISNA(VLOOKUP(A42,'Données projet'!$A$35:$I$55,6,0)),0%,VLOOKUP(A42,'Données projet'!$A$35:$I$55,6,0)*VLOOKUP('Données projet'!$B$9,Paramètres!$A$1:$I$89,7,0))</f>
        <v>0.24</v>
      </c>
      <c r="Y42" s="16">
        <f>IF(ISNA(VLOOKUP(A42,'Données projet'!$A$35:$I$55,7,0)),0%,VLOOKUP(A42,'Données projet'!$A$35:$I$55,7,0))</f>
        <v>0.2</v>
      </c>
      <c r="Z42" s="21">
        <f>EXP(-LN(2)/35)*Z41+(1-EXP(-LN(2)/35))/(LN(2)/35)*V42*W42*VLOOKUP('Données projet'!$B$9,Paramètres!$A$1:$I$89,3,0)*0.475*44/12</f>
        <v>23.643146028373614</v>
      </c>
      <c r="AA42" s="21">
        <f>EXP(-LN(2)/25)*AA41+(1-EXP(-LN(2)/25))/(LN(2)/25)*Calculateur!V42*Calculateur!X42*VLOOKUP('Données projet'!$B$9,Paramètres!$A$1:$I$89,3,0)*0.475*44/12</f>
        <v>48.253996011005668</v>
      </c>
      <c r="AB42" s="21">
        <f>EXP(-LN(2)/2)*AB41+(1-EXP(-LN(2)/2))/(LN(2)/2)*V42*Y42*VLOOKUP('Données projet'!$B$9,Paramètres!$A$1:$I$89,3,0)*0.475*44/12</f>
        <v>10.828118997773094</v>
      </c>
      <c r="AC42" s="22">
        <f t="shared" si="3"/>
        <v>82.725261037152364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18.600000000000001</v>
      </c>
      <c r="AI42" s="13">
        <f>IF('Données projet'!$A$62&gt;35,AI41+AH42-AQ41,IF(A42&lt;'Données projet'!$A$62,$AF$205^A42,IF(A42='Données projet'!$A$62,'Données projet'!$B$62,AI41+AH42-AQ41)))</f>
        <v>315.4000000000002</v>
      </c>
      <c r="AJ42" s="13">
        <f>AI42*VLOOKUP('Données projet'!$B$10,Paramètres!$A$1:$I$89,3,0)*VLOOKUP('Données projet'!$B$10,Paramètres!$A$1:$I$89,5,0)</f>
        <v>188.60920000000013</v>
      </c>
      <c r="AK42" s="13">
        <f t="shared" si="35"/>
        <v>47.232335363406804</v>
      </c>
      <c r="AL42" s="20">
        <f t="shared" si="4"/>
        <v>410.75734075793372</v>
      </c>
      <c r="AM42" s="59">
        <f t="shared" si="5"/>
        <v>704.09067409126703</v>
      </c>
      <c r="AN42" s="59">
        <f ca="1">AVERAGE(OFFSET($AM$3,0,0,'Données projet'!$E$10+1,1))-AVERAGE(OFFSET($H$3,0,0,'Données projet'!$E$10+1,1))</f>
        <v>247.08914525784144</v>
      </c>
      <c r="AO42" s="59">
        <f t="shared" si="36"/>
        <v>286.9617518796191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9.1008214576708699</v>
      </c>
      <c r="AV42" s="21">
        <f>EXP(-LN(2)/25)*AV41+(1-EXP(-LN(2)/25))/(LN(2)/25)*Calculateur!AQ42*Calculateur!AS42*VLOOKUP('Données projet'!$B$10,Paramètres!$A$1:$I$89,3,0)*0.475*44/12</f>
        <v>24.816421621205894</v>
      </c>
      <c r="AW42" s="21">
        <f>EXP(-LN(2)/2)*AW41+(1-EXP(-LN(2)/2))/(LN(2)/2)*AQ42*AT42*VLOOKUP('Données projet'!$B$10,Paramètres!$A$1:$I$89,3,0)*0.475*44/12</f>
        <v>3.0345418868443224</v>
      </c>
      <c r="AX42" s="21">
        <f t="shared" si="6"/>
        <v>36.951784965721089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11.4</v>
      </c>
      <c r="BD42" s="12">
        <f>IF('Données projet'!$A$88&gt;35,BD41+BC42-BL41,IF(A42&lt;'Données projet'!$A$88,$BA$205^A42,IF(A42='Données projet'!$A$88,'Données projet'!$B$88,BD41+BC42-BL41)))</f>
        <v>216.6</v>
      </c>
      <c r="BE42" s="13">
        <f>BD42*VLOOKUP('Données projet'!$B$11,Paramètres!$A$1:$I$89,3,0)*VLOOKUP('Données projet'!$B$11,Paramètres!$A$1:$I$89,5,0)</f>
        <v>172.32695999999999</v>
      </c>
      <c r="BF42" s="13">
        <f t="shared" si="37"/>
        <v>43.61077213808133</v>
      </c>
      <c r="BG42" s="20">
        <f t="shared" si="7"/>
        <v>376.09155014049156</v>
      </c>
      <c r="BH42" s="59">
        <f t="shared" si="8"/>
        <v>669.42488347382482</v>
      </c>
      <c r="BI42" s="59">
        <f ca="1">AVERAGE(OFFSET($BH$3,0,0,'Données projet'!$E$11+1,1))-AVERAGE(OFFSET($H$3,0,0,'Données projet'!$E$11+1,1))</f>
        <v>280.45463274302153</v>
      </c>
      <c r="BJ42" s="59">
        <f t="shared" si="38"/>
        <v>276.06968650495287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16.435299260457963</v>
      </c>
      <c r="BQ42" s="21">
        <f>EXP(-LN(2)/25)*BQ41+(1-EXP(-LN(2)/25))/(LN(2)/25)*Calculateur!BL42*Calculateur!BN42*VLOOKUP('Données projet'!$B$11,Paramètres!$A$1:$I$89,3,0)*0.475*44/12</f>
        <v>3.0583736873226943</v>
      </c>
      <c r="BR42" s="21">
        <f>EXP(-LN(2)/2)*BR41+(1-EXP(-LN(2)/2))/(LN(2)/2)*BL42*BO42*VLOOKUP('Données projet'!$B$11,Paramètres!$A$1:$I$89,3,0)*0.475*44/12</f>
        <v>0.95217088614565826</v>
      </c>
      <c r="BS42" s="22">
        <f t="shared" si="9"/>
        <v>20.445843833926318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18.72</v>
      </c>
      <c r="D43" s="11">
        <f t="shared" si="32"/>
        <v>6.1342505282708037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191.85737249893251</v>
      </c>
      <c r="H43" s="67">
        <f t="shared" si="1"/>
        <v>336.62115300340497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11</v>
      </c>
      <c r="N43" s="13">
        <f>IF('Données projet'!$A$36&gt;35,N42+M43-V42,IF(A43&lt;'Données projet'!$A$36,$K$205^A43,IF(A43='Données projet'!$A$36,'Données projet'!$B$36,N42+M43-V42)))</f>
        <v>209.99999999999994</v>
      </c>
      <c r="O43" s="13">
        <f>N43*VLOOKUP('Données projet'!$B$9,Paramètres!$A$1:$I$89,3,0)*VLOOKUP('Données projet'!$B$9,Paramètres!$A$1:$I$89,5,0)</f>
        <v>131.03999999999996</v>
      </c>
      <c r="P43" s="13">
        <f t="shared" si="33"/>
        <v>34.236561238949889</v>
      </c>
      <c r="Q43" s="20">
        <f t="shared" si="53"/>
        <v>287.85667749117101</v>
      </c>
      <c r="R43" s="59">
        <f t="shared" si="0"/>
        <v>581.19001082450427</v>
      </c>
      <c r="S43" s="59">
        <f ca="1">AVERAGE(OFFSET($R$3,0,0,'Données projet'!$E$9+1,1))-AVERAGE(OFFSET($H$3,0,0,'Données projet'!$E$9+1,1))</f>
        <v>168.81286953191102</v>
      </c>
      <c r="T43" s="59">
        <f t="shared" si="34"/>
        <v>255.78677933103666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23.179518355652341</v>
      </c>
      <c r="AA43" s="21">
        <f>EXP(-LN(2)/25)*AA42+(1-EXP(-LN(2)/25))/(LN(2)/25)*Calculateur!V43*Calculateur!X43*VLOOKUP('Données projet'!$B$9,Paramètres!$A$1:$I$89,3,0)*0.475*44/12</f>
        <v>46.934487952517351</v>
      </c>
      <c r="AB43" s="21">
        <f>EXP(-LN(2)/2)*AB42+(1-EXP(-LN(2)/2))/(LN(2)/2)*V43*Y43*VLOOKUP('Données projet'!$B$9,Paramètres!$A$1:$I$89,3,0)*0.475*44/12</f>
        <v>7.6566363708202383</v>
      </c>
      <c r="AC43" s="22">
        <f t="shared" si="3"/>
        <v>77.77064267898993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334</v>
      </c>
      <c r="AG43" s="12">
        <f>VLOOKUP(A43,'Données projet'!$A$61:$I$81,9,0)</f>
        <v>18.600000000000001</v>
      </c>
      <c r="AH43" s="12">
        <f t="array" ref="AH43">INDEX(AG:AG,MIN(IF(ISNUMBER(AG43:AG239),ROW(AG43:AG239),"")))</f>
        <v>18.600000000000001</v>
      </c>
      <c r="AI43" s="13">
        <f>IF('Données projet'!$A$62&gt;35,AI42+AH43-AQ42,IF(A43&lt;'Données projet'!$A$62,$AF$205^A43,IF(A43='Données projet'!$A$62,'Données projet'!$B$62,AI42+AH43-AQ42)))</f>
        <v>334.00000000000023</v>
      </c>
      <c r="AJ43" s="13">
        <f>AI43*VLOOKUP('Données projet'!$B$10,Paramètres!$A$1:$I$89,3,0)*VLOOKUP('Données projet'!$B$10,Paramètres!$A$1:$I$89,5,0)</f>
        <v>199.73200000000014</v>
      </c>
      <c r="AK43" s="13">
        <f t="shared" si="35"/>
        <v>49.685264841284457</v>
      </c>
      <c r="AL43" s="20">
        <f t="shared" si="4"/>
        <v>434.40173626523733</v>
      </c>
      <c r="AM43" s="59">
        <f t="shared" si="5"/>
        <v>727.73506959857059</v>
      </c>
      <c r="AN43" s="59">
        <f ca="1">AVERAGE(OFFSET($AM$3,0,0,'Données projet'!$E$10+1,1))-AVERAGE(OFFSET($H$3,0,0,'Données projet'!$E$10+1,1))</f>
        <v>247.08914525784144</v>
      </c>
      <c r="AO43" s="59">
        <f t="shared" si="36"/>
        <v>286.9617518796191</v>
      </c>
      <c r="AP43" s="15">
        <f>IF(ISNA(VLOOKUP(A43,'Données projet'!$A$61:$I$81,3,0)),0,VLOOKUP(A43,'Données projet'!$A$61:$I$81,3,0))</f>
        <v>5</v>
      </c>
      <c r="AQ43" s="15">
        <f>IF(ISNA(VLOOKUP(A43,'Données projet'!$A$61:$I$81,4,0)),0,VLOOKUP(A43,'Données projet'!$A$61:$I$81,4,0))</f>
        <v>49</v>
      </c>
      <c r="AR43" s="16">
        <f>IF(ISNA(VLOOKUP(A43,'Données projet'!$A$61:$I$81,5,0)),0%,VLOOKUP(A43,'Données projet'!$A$61:$I$81,5,0)*VLOOKUP('Données projet'!$B$10,Paramètres!$A$1:$I$89,7,0))</f>
        <v>0.18000000000000002</v>
      </c>
      <c r="AS43" s="16">
        <f>IF(ISNA(VLOOKUP(A43,'Données projet'!$A$61:$I$81,6,0)),0%,VLOOKUP(A43,'Données projet'!$A$61:$I$81,6,0)*VLOOKUP('Données projet'!$B$10,Paramètres!$A$1:$I$89,7,0))</f>
        <v>0.18000000000000002</v>
      </c>
      <c r="AT43" s="16">
        <f>IF(ISNA(VLOOKUP(A43,'Données projet'!$A$61:$I$81,7,0)),0%,VLOOKUP(A43,'Données projet'!$A$61:$I$81,7,0))</f>
        <v>0.2</v>
      </c>
      <c r="AU43" s="21">
        <f>EXP(-LN(2)/35)*AU42+(1-EXP(-LN(2)/35))/(LN(2)/35)*AQ43*AR43*VLOOKUP('Données projet'!$B$10,Paramètres!$A$1:$I$89,3,0)*0.475*44/12</f>
        <v>15.919138401031015</v>
      </c>
      <c r="AV43" s="21">
        <f>EXP(-LN(2)/25)*AV42+(1-EXP(-LN(2)/25))/(LN(2)/25)*Calculateur!AQ43*Calculateur!AS43*VLOOKUP('Données projet'!$B$10,Paramètres!$A$1:$I$89,3,0)*0.475*44/12</f>
        <v>31.107044785186407</v>
      </c>
      <c r="AW43" s="21">
        <f>EXP(-LN(2)/2)*AW42+(1-EXP(-LN(2)/2))/(LN(2)/2)*AQ43*AT43*VLOOKUP('Données projet'!$B$10,Paramètres!$A$1:$I$89,3,0)*0.475*44/12</f>
        <v>8.7810793024063418</v>
      </c>
      <c r="AX43" s="21">
        <f t="shared" si="6"/>
        <v>55.807262488623763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228</v>
      </c>
      <c r="BB43" s="12">
        <f>VLOOKUP(A43,'Données projet'!$A$87:$I$107,9,0)</f>
        <v>11.4</v>
      </c>
      <c r="BC43" s="12">
        <f t="array" ref="BC43">INDEX(BB:BB,MIN(IF(ISNUMBER(BB43:BB239),ROW(BB43:BB239),"")))</f>
        <v>11.4</v>
      </c>
      <c r="BD43" s="12">
        <f>IF('Données projet'!$A$88&gt;35,BD42+BC43-BL42,IF(A43&lt;'Données projet'!$A$88,$BA$205^A43,IF(A43='Données projet'!$A$88,'Données projet'!$B$88,BD42+BC43-BL42)))</f>
        <v>228</v>
      </c>
      <c r="BE43" s="13">
        <f>BD43*VLOOKUP('Données projet'!$B$11,Paramètres!$A$1:$I$89,3,0)*VLOOKUP('Données projet'!$B$11,Paramètres!$A$1:$I$89,5,0)</f>
        <v>181.39680000000001</v>
      </c>
      <c r="BF43" s="13">
        <f t="shared" si="37"/>
        <v>45.63280848550832</v>
      </c>
      <c r="BG43" s="20">
        <f t="shared" si="7"/>
        <v>395.40990144559368</v>
      </c>
      <c r="BH43" s="59">
        <f t="shared" si="8"/>
        <v>688.74323477892699</v>
      </c>
      <c r="BI43" s="59">
        <f ca="1">AVERAGE(OFFSET($BH$3,0,0,'Données projet'!$E$11+1,1))-AVERAGE(OFFSET($H$3,0,0,'Données projet'!$E$11+1,1))</f>
        <v>280.45463274302153</v>
      </c>
      <c r="BJ43" s="59">
        <f t="shared" si="38"/>
        <v>276.06968650495287</v>
      </c>
      <c r="BK43" s="15">
        <f>IF(ISNA(VLOOKUP(A43,'Données projet'!$A$87:$I$107,3,0)),0,VLOOKUP(A43,'Données projet'!$A$87:$I$107,3,0))</f>
        <v>6</v>
      </c>
      <c r="BL43" s="15">
        <f>IF(ISNA(VLOOKUP(A43,'Données projet'!$A$87:$I$107,4,0)),0,VLOOKUP(A43,'Données projet'!$A$87:$I$107,4,0))</f>
        <v>35</v>
      </c>
      <c r="BM43" s="16">
        <f>IF(ISNA(VLOOKUP(A43,'Données projet'!$A$87:$I$107,5,0)),0%,VLOOKUP(A43,'Données projet'!$A$87:$I$107,5,0)*VLOOKUP('Données projet'!$B$11,Paramètres!$A$1:$I$89,7,0))</f>
        <v>0.318</v>
      </c>
      <c r="BN43" s="16">
        <f>IF(ISNA(VLOOKUP(A43,'Données projet'!$A$87:$I$107,6,0)),0%,VLOOKUP(A43,'Données projet'!$A$87:$I$107,6,0)*VLOOKUP('Données projet'!$B$11,Paramètres!$A$1:$I$89,7,0))</f>
        <v>2.12E-2</v>
      </c>
      <c r="BO43" s="16">
        <f>IF(ISNA(VLOOKUP(A43,'Données projet'!$A$87:$I$107,7,0)),0%,VLOOKUP(A43,'Données projet'!$A$87:$I$107,7,0))</f>
        <v>0.06</v>
      </c>
      <c r="BP43" s="21">
        <f>EXP(-LN(2)/35)*BP42+(1-EXP(-LN(2)/35))/(LN(2)/35)*BL43*BM43*VLOOKUP('Données projet'!$B$11,Paramètres!$A$1:$I$89,3,0)*0.475*44/12</f>
        <v>25.901984230437993</v>
      </c>
      <c r="BQ43" s="21">
        <f>EXP(-LN(2)/25)*BQ42+(1-EXP(-LN(2)/25))/(LN(2)/25)*Calculateur!BL43*Calculateur!BN43*VLOOKUP('Données projet'!$B$11,Paramètres!$A$1:$I$89,3,0)*0.475*44/12</f>
        <v>3.6247708483147769</v>
      </c>
      <c r="BR43" s="21">
        <f>EXP(-LN(2)/2)*BR42+(1-EXP(-LN(2)/2))/(LN(2)/2)*BL43*BO43*VLOOKUP('Données projet'!$B$11,Paramètres!$A$1:$I$89,3,0)*0.475*44/12</f>
        <v>2.2496935182880975</v>
      </c>
      <c r="BS43" s="22">
        <f t="shared" si="9"/>
        <v>31.776448597040869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19.187999999999999</v>
      </c>
      <c r="D44" s="11">
        <f t="shared" si="32"/>
        <v>6.2695607721610704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196.51450420615564</v>
      </c>
      <c r="H44" s="67">
        <f t="shared" si="1"/>
        <v>337.6719183448472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11</v>
      </c>
      <c r="N44" s="13">
        <f>IF('Données projet'!$A$36&gt;35,N43+M44-V43,IF(A44&lt;'Données projet'!$A$36,$K$205^A44,IF(A44='Données projet'!$A$36,'Données projet'!$B$36,N43+M44-V43)))</f>
        <v>220.99999999999994</v>
      </c>
      <c r="O44" s="13">
        <f>N44*VLOOKUP('Données projet'!$B$9,Paramètres!$A$1:$I$89,3,0)*VLOOKUP('Données projet'!$B$9,Paramètres!$A$1:$I$89,5,0)</f>
        <v>137.90399999999997</v>
      </c>
      <c r="P44" s="13">
        <f t="shared" si="33"/>
        <v>35.816420593519346</v>
      </c>
      <c r="Q44" s="20">
        <f t="shared" si="53"/>
        <v>302.56306586704613</v>
      </c>
      <c r="R44" s="59">
        <f t="shared" si="0"/>
        <v>595.89639920037939</v>
      </c>
      <c r="S44" s="59">
        <f ca="1">AVERAGE(OFFSET($R$3,0,0,'Données projet'!$E$9+1,1))-AVERAGE(OFFSET($H$3,0,0,'Données projet'!$E$9+1,1))</f>
        <v>168.81286953191102</v>
      </c>
      <c r="T44" s="59">
        <f t="shared" si="34"/>
        <v>255.78677933103666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22.724982138808173</v>
      </c>
      <c r="AA44" s="21">
        <f>EXP(-LN(2)/25)*AA43+(1-EXP(-LN(2)/25))/(LN(2)/25)*Calculateur!V44*Calculateur!X44*VLOOKUP('Données projet'!$B$9,Paramètres!$A$1:$I$89,3,0)*0.475*44/12</f>
        <v>45.651061911278312</v>
      </c>
      <c r="AB44" s="21">
        <f>EXP(-LN(2)/2)*AB43+(1-EXP(-LN(2)/2))/(LN(2)/2)*V44*Y44*VLOOKUP('Données projet'!$B$9,Paramètres!$A$1:$I$89,3,0)*0.475*44/12</f>
        <v>5.414059498886548</v>
      </c>
      <c r="AC44" s="22">
        <f t="shared" si="3"/>
        <v>73.790103548973022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17.8</v>
      </c>
      <c r="AI44" s="13">
        <f>IF('Données projet'!$A$62&gt;35,AI43+AH44-AQ43,IF(A44&lt;'Données projet'!$A$62,$AF$205^A44,IF(A44='Données projet'!$A$62,'Données projet'!$B$62,AI43+AH44-AQ43)))</f>
        <v>302.80000000000024</v>
      </c>
      <c r="AJ44" s="13">
        <f>AI44*VLOOKUP('Données projet'!$B$10,Paramètres!$A$1:$I$89,3,0)*VLOOKUP('Données projet'!$B$10,Paramètres!$A$1:$I$89,5,0)</f>
        <v>181.07440000000017</v>
      </c>
      <c r="AK44" s="13">
        <f t="shared" si="35"/>
        <v>45.561137517850739</v>
      </c>
      <c r="AL44" s="20">
        <f t="shared" si="4"/>
        <v>394.72356117692362</v>
      </c>
      <c r="AM44" s="59">
        <f t="shared" si="5"/>
        <v>688.05689451025694</v>
      </c>
      <c r="AN44" s="59">
        <f ca="1">AVERAGE(OFFSET($AM$3,0,0,'Données projet'!$E$10+1,1))-AVERAGE(OFFSET($H$3,0,0,'Données projet'!$E$10+1,1))</f>
        <v>247.08914525784144</v>
      </c>
      <c r="AO44" s="59">
        <f t="shared" si="36"/>
        <v>286.9617518796191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15.606973806702467</v>
      </c>
      <c r="AV44" s="21">
        <f>EXP(-LN(2)/25)*AV43+(1-EXP(-LN(2)/25))/(LN(2)/25)*Calculateur!AQ44*Calculateur!AS44*VLOOKUP('Données projet'!$B$10,Paramètres!$A$1:$I$89,3,0)*0.475*44/12</f>
        <v>30.256421009687095</v>
      </c>
      <c r="AW44" s="21">
        <f>EXP(-LN(2)/2)*AW43+(1-EXP(-LN(2)/2))/(LN(2)/2)*AQ44*AT44*VLOOKUP('Données projet'!$B$10,Paramètres!$A$1:$I$89,3,0)*0.475*44/12</f>
        <v>6.209160720868363</v>
      </c>
      <c r="AX44" s="21">
        <f t="shared" si="6"/>
        <v>52.072555537257919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9.4</v>
      </c>
      <c r="BD44" s="12">
        <f>IF('Données projet'!$A$88&gt;35,BD43+BC44-BL43,IF(A44&lt;'Données projet'!$A$88,$BA$205^A44,IF(A44='Données projet'!$A$88,'Données projet'!$B$88,BD43+BC44-BL43)))</f>
        <v>202.4</v>
      </c>
      <c r="BE44" s="13">
        <f>BD44*VLOOKUP('Données projet'!$B$11,Paramètres!$A$1:$I$89,3,0)*VLOOKUP('Données projet'!$B$11,Paramètres!$A$1:$I$89,5,0)</f>
        <v>161.02944000000002</v>
      </c>
      <c r="BF44" s="13">
        <f t="shared" si="37"/>
        <v>41.074621732940685</v>
      </c>
      <c r="BG44" s="20">
        <f t="shared" si="7"/>
        <v>351.99790751820501</v>
      </c>
      <c r="BH44" s="59">
        <f t="shared" si="8"/>
        <v>645.33124085153827</v>
      </c>
      <c r="BI44" s="59">
        <f ca="1">AVERAGE(OFFSET($BH$3,0,0,'Données projet'!$E$11+1,1))-AVERAGE(OFFSET($H$3,0,0,'Données projet'!$E$11+1,1))</f>
        <v>280.45463274302153</v>
      </c>
      <c r="BJ44" s="59">
        <f t="shared" si="38"/>
        <v>276.06968650495287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25.394062118329497</v>
      </c>
      <c r="BQ44" s="21">
        <f>EXP(-LN(2)/25)*BQ43+(1-EXP(-LN(2)/25))/(LN(2)/25)*Calculateur!BL44*Calculateur!BN44*VLOOKUP('Données projet'!$B$11,Paramètres!$A$1:$I$89,3,0)*0.475*44/12</f>
        <v>3.525651298849195</v>
      </c>
      <c r="BR44" s="21">
        <f>EXP(-LN(2)/2)*BR43+(1-EXP(-LN(2)/2))/(LN(2)/2)*BL44*BO44*VLOOKUP('Données projet'!$B$11,Paramètres!$A$1:$I$89,3,0)*0.475*44/12</f>
        <v>1.5907735423729361</v>
      </c>
      <c r="BS44" s="22">
        <f t="shared" si="9"/>
        <v>30.510486959551628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19.655999999999999</v>
      </c>
      <c r="D45" s="11">
        <f t="shared" si="32"/>
        <v>6.4044873715575275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201.16867444711076</v>
      </c>
      <c r="H45" s="67">
        <f t="shared" si="1"/>
        <v>338.72201550546265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11</v>
      </c>
      <c r="N45" s="13">
        <f>IF('Données projet'!$A$36&gt;35,N44+M45-V44,IF(A45&lt;'Données projet'!$A$36,$K$205^A45,IF(A45='Données projet'!$A$36,'Données projet'!$B$36,N44+M45-V44)))</f>
        <v>231.99999999999994</v>
      </c>
      <c r="O45" s="13">
        <f>N45*VLOOKUP('Données projet'!$B$9,Paramètres!$A$1:$I$89,3,0)*VLOOKUP('Données projet'!$B$9,Paramètres!$A$1:$I$89,5,0)</f>
        <v>144.76799999999997</v>
      </c>
      <c r="P45" s="13">
        <f t="shared" si="33"/>
        <v>37.387149255707826</v>
      </c>
      <c r="Q45" s="20">
        <f t="shared" si="53"/>
        <v>317.25355162035771</v>
      </c>
      <c r="R45" s="59">
        <f t="shared" si="0"/>
        <v>610.58688495369097</v>
      </c>
      <c r="S45" s="59">
        <f ca="1">AVERAGE(OFFSET($R$3,0,0,'Données projet'!$E$9+1,1))-AVERAGE(OFFSET($H$3,0,0,'Données projet'!$E$9+1,1))</f>
        <v>168.81286953191102</v>
      </c>
      <c r="T45" s="59">
        <f t="shared" si="34"/>
        <v>255.78677933103666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22.279359099936602</v>
      </c>
      <c r="AA45" s="21">
        <f>EXP(-LN(2)/25)*AA44+(1-EXP(-LN(2)/25))/(LN(2)/25)*Calculateur!V45*Calculateur!X45*VLOOKUP('Données projet'!$B$9,Paramètres!$A$1:$I$89,3,0)*0.475*44/12</f>
        <v>44.402731222629399</v>
      </c>
      <c r="AB45" s="21">
        <f>EXP(-LN(2)/2)*AB44+(1-EXP(-LN(2)/2))/(LN(2)/2)*V45*Y45*VLOOKUP('Données projet'!$B$9,Paramètres!$A$1:$I$89,3,0)*0.475*44/12</f>
        <v>3.8283181854101196</v>
      </c>
      <c r="AC45" s="22">
        <f t="shared" si="3"/>
        <v>70.510408507976123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17.8</v>
      </c>
      <c r="AI45" s="13">
        <f>IF('Données projet'!$A$62&gt;35,AI44+AH45-AQ44,IF(A45&lt;'Données projet'!$A$62,$AF$205^A45,IF(A45='Données projet'!$A$62,'Données projet'!$B$62,AI44+AH45-AQ44)))</f>
        <v>320.60000000000025</v>
      </c>
      <c r="AJ45" s="13">
        <f>AI45*VLOOKUP('Données projet'!$B$10,Paramètres!$A$1:$I$89,3,0)*VLOOKUP('Données projet'!$B$10,Paramètres!$A$1:$I$89,5,0)</f>
        <v>191.71880000000016</v>
      </c>
      <c r="AK45" s="13">
        <f t="shared" si="35"/>
        <v>47.919755728135037</v>
      </c>
      <c r="AL45" s="20">
        <f t="shared" si="4"/>
        <v>417.37048455983546</v>
      </c>
      <c r="AM45" s="59">
        <f t="shared" si="5"/>
        <v>710.70381789316878</v>
      </c>
      <c r="AN45" s="59">
        <f ca="1">AVERAGE(OFFSET($AM$3,0,0,'Données projet'!$E$10+1,1))-AVERAGE(OFFSET($H$3,0,0,'Données projet'!$E$10+1,1))</f>
        <v>247.08914525784144</v>
      </c>
      <c r="AO45" s="59">
        <f t="shared" si="36"/>
        <v>286.9617518796191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15.300930569667099</v>
      </c>
      <c r="AV45" s="21">
        <f>EXP(-LN(2)/25)*AV44+(1-EXP(-LN(2)/25))/(LN(2)/25)*Calculateur!AQ45*Calculateur!AS45*VLOOKUP('Données projet'!$B$10,Paramètres!$A$1:$I$89,3,0)*0.475*44/12</f>
        <v>29.429057586061173</v>
      </c>
      <c r="AW45" s="21">
        <f>EXP(-LN(2)/2)*AW44+(1-EXP(-LN(2)/2))/(LN(2)/2)*AQ45*AT45*VLOOKUP('Données projet'!$B$10,Paramètres!$A$1:$I$89,3,0)*0.475*44/12</f>
        <v>4.3905396512031718</v>
      </c>
      <c r="AX45" s="21">
        <f t="shared" si="6"/>
        <v>49.120527806931442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9.4</v>
      </c>
      <c r="BD45" s="12">
        <f>IF('Données projet'!$A$88&gt;35,BD44+BC45-BL44,IF(A45&lt;'Données projet'!$A$88,$BA$205^A45,IF(A45='Données projet'!$A$88,'Données projet'!$B$88,BD44+BC45-BL44)))</f>
        <v>211.8</v>
      </c>
      <c r="BE45" s="13">
        <f>BD45*VLOOKUP('Données projet'!$B$11,Paramètres!$A$1:$I$89,3,0)*VLOOKUP('Données projet'!$B$11,Paramètres!$A$1:$I$89,5,0)</f>
        <v>168.50808000000001</v>
      </c>
      <c r="BF45" s="13">
        <f t="shared" si="37"/>
        <v>42.755711908378153</v>
      </c>
      <c r="BG45" s="20">
        <f t="shared" si="7"/>
        <v>367.95110424042531</v>
      </c>
      <c r="BH45" s="59">
        <f t="shared" si="8"/>
        <v>661.28443757375862</v>
      </c>
      <c r="BI45" s="59">
        <f ca="1">AVERAGE(OFFSET($BH$3,0,0,'Données projet'!$E$11+1,1))-AVERAGE(OFFSET($H$3,0,0,'Données projet'!$E$11+1,1))</f>
        <v>280.45463274302153</v>
      </c>
      <c r="BJ45" s="59">
        <f t="shared" si="38"/>
        <v>276.06968650495287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24.89610004903755</v>
      </c>
      <c r="BQ45" s="21">
        <f>EXP(-LN(2)/25)*BQ44+(1-EXP(-LN(2)/25))/(LN(2)/25)*Calculateur!BL45*Calculateur!BN45*VLOOKUP('Données projet'!$B$11,Paramètres!$A$1:$I$89,3,0)*0.475*44/12</f>
        <v>3.4292421786762199</v>
      </c>
      <c r="BR45" s="21">
        <f>EXP(-LN(2)/2)*BR44+(1-EXP(-LN(2)/2))/(LN(2)/2)*BL45*BO45*VLOOKUP('Données projet'!$B$11,Paramètres!$A$1:$I$89,3,0)*0.475*44/12</f>
        <v>1.124846759144049</v>
      </c>
      <c r="BS45" s="22">
        <f t="shared" si="9"/>
        <v>29.450188986857817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20.123999999999999</v>
      </c>
      <c r="D46" s="11">
        <f t="shared" si="32"/>
        <v>6.539040511923969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205.81996184643063</v>
      </c>
      <c r="H46" s="67">
        <f t="shared" si="1"/>
        <v>339.77146222493423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11</v>
      </c>
      <c r="N46" s="13">
        <f>IF('Données projet'!$A$36&gt;35,N45+M46-V45,IF(A46&lt;'Données projet'!$A$36,$K$205^A46,IF(A46='Données projet'!$A$36,'Données projet'!$B$36,N45+M46-V45)))</f>
        <v>242.99999999999994</v>
      </c>
      <c r="O46" s="13">
        <f>N46*VLOOKUP('Données projet'!$B$9,Paramètres!$A$1:$I$89,3,0)*VLOOKUP('Données projet'!$B$9,Paramètres!$A$1:$I$89,5,0)</f>
        <v>151.63199999999998</v>
      </c>
      <c r="P46" s="13">
        <f t="shared" si="33"/>
        <v>38.949229576680324</v>
      </c>
      <c r="Q46" s="20">
        <f t="shared" si="53"/>
        <v>331.92897484605152</v>
      </c>
      <c r="R46" s="59">
        <f t="shared" si="0"/>
        <v>625.26230817938483</v>
      </c>
      <c r="S46" s="59">
        <f ca="1">AVERAGE(OFFSET($R$3,0,0,'Données projet'!$E$9+1,1))-AVERAGE(OFFSET($H$3,0,0,'Données projet'!$E$9+1,1))</f>
        <v>168.81286953191102</v>
      </c>
      <c r="T46" s="59">
        <f t="shared" si="34"/>
        <v>255.78677933103666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21.842474457054088</v>
      </c>
      <c r="AA46" s="21">
        <f>EXP(-LN(2)/25)*AA45+(1-EXP(-LN(2)/25))/(LN(2)/25)*Calculateur!V46*Calculateur!X46*VLOOKUP('Données projet'!$B$9,Paramètres!$A$1:$I$89,3,0)*0.475*44/12</f>
        <v>43.188536202308448</v>
      </c>
      <c r="AB46" s="21">
        <f>EXP(-LN(2)/2)*AB45+(1-EXP(-LN(2)/2))/(LN(2)/2)*V46*Y46*VLOOKUP('Données projet'!$B$9,Paramètres!$A$1:$I$89,3,0)*0.475*44/12</f>
        <v>2.7070297494432745</v>
      </c>
      <c r="AC46" s="22">
        <f t="shared" si="3"/>
        <v>67.738040408805816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17.8</v>
      </c>
      <c r="AI46" s="13">
        <f>IF('Données projet'!$A$62&gt;35,AI45+AH46-AQ45,IF(A46&lt;'Données projet'!$A$62,$AF$205^A46,IF(A46='Données projet'!$A$62,'Données projet'!$B$62,AI45+AH46-AQ45)))</f>
        <v>338.40000000000026</v>
      </c>
      <c r="AJ46" s="13">
        <f>AI46*VLOOKUP('Données projet'!$B$10,Paramètres!$A$1:$I$89,3,0)*VLOOKUP('Données projet'!$B$10,Paramètres!$A$1:$I$89,5,0)</f>
        <v>202.36320000000018</v>
      </c>
      <c r="AK46" s="13">
        <f t="shared" si="35"/>
        <v>50.263171959975224</v>
      </c>
      <c r="AL46" s="20">
        <f t="shared" si="4"/>
        <v>439.99093116362383</v>
      </c>
      <c r="AM46" s="59">
        <f t="shared" si="5"/>
        <v>733.32426449695708</v>
      </c>
      <c r="AN46" s="59">
        <f ca="1">AVERAGE(OFFSET($AM$3,0,0,'Données projet'!$E$10+1,1))-AVERAGE(OFFSET($H$3,0,0,'Données projet'!$E$10+1,1))</f>
        <v>247.08914525784144</v>
      </c>
      <c r="AO46" s="59">
        <f t="shared" si="36"/>
        <v>286.9617518796191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15.000888653842052</v>
      </c>
      <c r="AV46" s="21">
        <f>EXP(-LN(2)/25)*AV45+(1-EXP(-LN(2)/25))/(LN(2)/25)*Calculateur!AQ46*Calculateur!AS46*VLOOKUP('Données projet'!$B$10,Paramètres!$A$1:$I$89,3,0)*0.475*44/12</f>
        <v>28.624318458763454</v>
      </c>
      <c r="AW46" s="21">
        <f>EXP(-LN(2)/2)*AW45+(1-EXP(-LN(2)/2))/(LN(2)/2)*AQ46*AT46*VLOOKUP('Données projet'!$B$10,Paramètres!$A$1:$I$89,3,0)*0.475*44/12</f>
        <v>3.104580360434182</v>
      </c>
      <c r="AX46" s="21">
        <f t="shared" si="6"/>
        <v>46.729787473039693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9.4</v>
      </c>
      <c r="BD46" s="12">
        <f>IF('Données projet'!$A$88&gt;35,BD45+BC46-BL45,IF(A46&lt;'Données projet'!$A$88,$BA$205^A46,IF(A46='Données projet'!$A$88,'Données projet'!$B$88,BD45+BC46-BL45)))</f>
        <v>221.20000000000002</v>
      </c>
      <c r="BE46" s="13">
        <f>BD46*VLOOKUP('Données projet'!$B$11,Paramètres!$A$1:$I$89,3,0)*VLOOKUP('Données projet'!$B$11,Paramètres!$A$1:$I$89,5,0)</f>
        <v>175.98672000000002</v>
      </c>
      <c r="BF46" s="13">
        <f t="shared" si="37"/>
        <v>44.42813695214268</v>
      </c>
      <c r="BG46" s="20">
        <f t="shared" si="7"/>
        <v>383.88920919164849</v>
      </c>
      <c r="BH46" s="59">
        <f t="shared" si="8"/>
        <v>677.2225425249818</v>
      </c>
      <c r="BI46" s="59">
        <f ca="1">AVERAGE(OFFSET($BH$3,0,0,'Données projet'!$E$11+1,1))-AVERAGE(OFFSET($H$3,0,0,'Données projet'!$E$11+1,1))</f>
        <v>280.45463274302153</v>
      </c>
      <c r="BJ46" s="59">
        <f t="shared" si="38"/>
        <v>276.06968650495287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24.407902712197547</v>
      </c>
      <c r="BQ46" s="21">
        <f>EXP(-LN(2)/25)*BQ45+(1-EXP(-LN(2)/25))/(LN(2)/25)*Calculateur!BL46*Calculateur!BN46*VLOOKUP('Données projet'!$B$11,Paramètres!$A$1:$I$89,3,0)*0.475*44/12</f>
        <v>3.3354693709643102</v>
      </c>
      <c r="BR46" s="21">
        <f>EXP(-LN(2)/2)*BR45+(1-EXP(-LN(2)/2))/(LN(2)/2)*BL46*BO46*VLOOKUP('Données projet'!$B$11,Paramètres!$A$1:$I$89,3,0)*0.475*44/12</f>
        <v>0.79538677118646817</v>
      </c>
      <c r="BS46" s="22">
        <f t="shared" si="9"/>
        <v>28.538758854348327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20.591999999999999</v>
      </c>
      <c r="D47" s="11">
        <f t="shared" si="32"/>
        <v>6.6732298779519512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210.46844116313787</v>
      </c>
      <c r="H47" s="67">
        <f t="shared" si="1"/>
        <v>340.8202753707663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11</v>
      </c>
      <c r="N47" s="13">
        <f>IF('Données projet'!$A$36&gt;35,N46+M47-V46,IF(A47&lt;'Données projet'!$A$36,$K$205^A47,IF(A47='Données projet'!$A$36,'Données projet'!$B$36,N46+M47-V46)))</f>
        <v>253.99999999999994</v>
      </c>
      <c r="O47" s="13">
        <f>N47*VLOOKUP('Données projet'!$B$9,Paramètres!$A$1:$I$89,3,0)*VLOOKUP('Données projet'!$B$9,Paramètres!$A$1:$I$89,5,0)</f>
        <v>158.49599999999998</v>
      </c>
      <c r="P47" s="13">
        <f t="shared" si="33"/>
        <v>40.503097769376929</v>
      </c>
      <c r="Q47" s="20">
        <f t="shared" si="53"/>
        <v>346.59009528166479</v>
      </c>
      <c r="R47" s="59">
        <f t="shared" si="0"/>
        <v>639.9234286149981</v>
      </c>
      <c r="S47" s="59">
        <f ca="1">AVERAGE(OFFSET($R$3,0,0,'Données projet'!$E$9+1,1))-AVERAGE(OFFSET($H$3,0,0,'Données projet'!$E$9+1,1))</f>
        <v>168.81286953191102</v>
      </c>
      <c r="T47" s="59">
        <f t="shared" si="34"/>
        <v>255.78677933103666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21.41415685554518</v>
      </c>
      <c r="AA47" s="21">
        <f>EXP(-LN(2)/25)*AA46+(1-EXP(-LN(2)/25))/(LN(2)/25)*Calculateur!V47*Calculateur!X47*VLOOKUP('Données projet'!$B$9,Paramètres!$A$1:$I$89,3,0)*0.475*44/12</f>
        <v>42.00754340866991</v>
      </c>
      <c r="AB47" s="21">
        <f>EXP(-LN(2)/2)*AB46+(1-EXP(-LN(2)/2))/(LN(2)/2)*V47*Y47*VLOOKUP('Données projet'!$B$9,Paramètres!$A$1:$I$89,3,0)*0.475*44/12</f>
        <v>1.9141590927050602</v>
      </c>
      <c r="AC47" s="22">
        <f t="shared" si="3"/>
        <v>65.335859356920153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17.8</v>
      </c>
      <c r="AI47" s="13">
        <f>IF('Données projet'!$A$62&gt;35,AI46+AH47-AQ46,IF(A47&lt;'Données projet'!$A$62,$AF$205^A47,IF(A47='Données projet'!$A$62,'Données projet'!$B$62,AI46+AH47-AQ46)))</f>
        <v>356.20000000000027</v>
      </c>
      <c r="AJ47" s="13">
        <f>AI47*VLOOKUP('Données projet'!$B$10,Paramètres!$A$1:$I$89,3,0)*VLOOKUP('Données projet'!$B$10,Paramètres!$A$1:$I$89,5,0)</f>
        <v>213.0076000000002</v>
      </c>
      <c r="AK47" s="13">
        <f t="shared" si="35"/>
        <v>52.592277036887687</v>
      </c>
      <c r="AL47" s="20">
        <f t="shared" si="4"/>
        <v>462.58645250591309</v>
      </c>
      <c r="AM47" s="59">
        <f t="shared" si="5"/>
        <v>755.9197858392464</v>
      </c>
      <c r="AN47" s="59">
        <f ca="1">AVERAGE(OFFSET($AM$3,0,0,'Données projet'!$E$10+1,1))-AVERAGE(OFFSET($H$3,0,0,'Données projet'!$E$10+1,1))</f>
        <v>247.08914525784144</v>
      </c>
      <c r="AO47" s="59">
        <f t="shared" si="36"/>
        <v>286.9617518796191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14.706730376978836</v>
      </c>
      <c r="AV47" s="21">
        <f>EXP(-LN(2)/25)*AV46+(1-EXP(-LN(2)/25))/(LN(2)/25)*Calculateur!AQ47*Calculateur!AS47*VLOOKUP('Données projet'!$B$10,Paramètres!$A$1:$I$89,3,0)*0.475*44/12</f>
        <v>27.841584965221081</v>
      </c>
      <c r="AW47" s="21">
        <f>EXP(-LN(2)/2)*AW46+(1-EXP(-LN(2)/2))/(LN(2)/2)*AQ47*AT47*VLOOKUP('Données projet'!$B$10,Paramètres!$A$1:$I$89,3,0)*0.475*44/12</f>
        <v>2.1952698256015859</v>
      </c>
      <c r="AX47" s="21">
        <f t="shared" si="6"/>
        <v>44.743585167801498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9.4</v>
      </c>
      <c r="BD47" s="12">
        <f>IF('Données projet'!$A$88&gt;35,BD46+BC47-BL46,IF(A47&lt;'Données projet'!$A$88,$BA$205^A47,IF(A47='Données projet'!$A$88,'Données projet'!$B$88,BD46+BC47-BL46)))</f>
        <v>230.60000000000002</v>
      </c>
      <c r="BE47" s="13">
        <f>BD47*VLOOKUP('Données projet'!$B$11,Paramètres!$A$1:$I$89,3,0)*VLOOKUP('Données projet'!$B$11,Paramètres!$A$1:$I$89,5,0)</f>
        <v>183.46536000000003</v>
      </c>
      <c r="BF47" s="13">
        <f t="shared" si="37"/>
        <v>46.092307191940968</v>
      </c>
      <c r="BG47" s="20">
        <f t="shared" si="7"/>
        <v>399.81293702596389</v>
      </c>
      <c r="BH47" s="59">
        <f t="shared" si="8"/>
        <v>693.1462703592972</v>
      </c>
      <c r="BI47" s="59">
        <f ca="1">AVERAGE(OFFSET($BH$3,0,0,'Données projet'!$E$11+1,1))-AVERAGE(OFFSET($H$3,0,0,'Données projet'!$E$11+1,1))</f>
        <v>280.45463274302153</v>
      </c>
      <c r="BJ47" s="59">
        <f t="shared" si="38"/>
        <v>276.06968650495287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23.929278627362002</v>
      </c>
      <c r="BQ47" s="21">
        <f>EXP(-LN(2)/25)*BQ46+(1-EXP(-LN(2)/25))/(LN(2)/25)*Calculateur!BL47*Calculateur!BN47*VLOOKUP('Données projet'!$B$11,Paramètres!$A$1:$I$89,3,0)*0.475*44/12</f>
        <v>3.2442607856105803</v>
      </c>
      <c r="BR47" s="21">
        <f>EXP(-LN(2)/2)*BR46+(1-EXP(-LN(2)/2))/(LN(2)/2)*BL47*BO47*VLOOKUP('Données projet'!$B$11,Paramètres!$A$1:$I$89,3,0)*0.475*44/12</f>
        <v>0.56242337957202448</v>
      </c>
      <c r="BS47" s="22">
        <f t="shared" si="9"/>
        <v>27.735962792544608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21.06</v>
      </c>
      <c r="D48" s="11">
        <f t="shared" si="32"/>
        <v>6.8070646889944983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215.11418356416803</v>
      </c>
      <c r="H48" s="67">
        <f t="shared" si="1"/>
        <v>341.86847099999875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265</v>
      </c>
      <c r="L48" s="12">
        <f>VLOOKUP(A48,'Données projet'!$A$35:$I$55,9,0)</f>
        <v>11</v>
      </c>
      <c r="M48" s="12">
        <f t="array" ref="M48">INDEX(L:L,MIN(IF(ISNUMBER(L48:L244),ROW(L48:L244),"")))</f>
        <v>11</v>
      </c>
      <c r="N48" s="13">
        <f>IF('Données projet'!$A$36&gt;35,N47+M48-V47,IF(A48&lt;'Données projet'!$A$36,$K$205^A48,IF(A48='Données projet'!$A$36,'Données projet'!$B$36,N47+M48-V47)))</f>
        <v>264.99999999999994</v>
      </c>
      <c r="O48" s="13">
        <f>N48*VLOOKUP('Données projet'!$B$9,Paramètres!$A$1:$I$89,3,0)*VLOOKUP('Données projet'!$B$9,Paramètres!$A$1:$I$89,5,0)</f>
        <v>165.35999999999999</v>
      </c>
      <c r="P48" s="13">
        <f t="shared" si="33"/>
        <v>42.04915012784209</v>
      </c>
      <c r="Q48" s="20">
        <f t="shared" si="53"/>
        <v>361.2376031393249</v>
      </c>
      <c r="R48" s="59">
        <f t="shared" si="0"/>
        <v>654.57093647265822</v>
      </c>
      <c r="S48" s="59">
        <f ca="1">AVERAGE(OFFSET($R$3,0,0,'Données projet'!$E$9+1,1))-AVERAGE(OFFSET($H$3,0,0,'Données projet'!$E$9+1,1))</f>
        <v>168.81286953191102</v>
      </c>
      <c r="T48" s="59">
        <f t="shared" si="34"/>
        <v>255.78677933103666</v>
      </c>
      <c r="U48" s="15">
        <f>IF(ISNA(VLOOKUP(A48,'Données projet'!$A$35:$I$55,3,0)),0,VLOOKUP(A48,'Données projet'!$A$35:$I$55,3,0))</f>
        <v>7</v>
      </c>
      <c r="V48" s="15">
        <f>IF(ISNA(VLOOKUP(A48,'Données projet'!$A$35:$I$55,4,0)),0,VLOOKUP(A48,'Données projet'!$A$35:$I$55,4,0))</f>
        <v>67</v>
      </c>
      <c r="W48" s="16">
        <f>IF(ISNA(VLOOKUP(A48,'Données projet'!$A$35:$I$55,5,0)),0%,VLOOKUP(A48,'Données projet'!$A$35:$I$55,5,0)*VLOOKUP('Données projet'!$B$9,Paramètres!$A$1:$I$89,7,0))</f>
        <v>0.3</v>
      </c>
      <c r="X48" s="16">
        <f>IF(ISNA(VLOOKUP(A48,'Données projet'!$A$35:$I$55,6,0)),0%,VLOOKUP(A48,'Données projet'!$A$35:$I$55,6,0)*VLOOKUP('Données projet'!$B$9,Paramètres!$A$1:$I$89,7,0))</f>
        <v>0.18</v>
      </c>
      <c r="Y48" s="16">
        <f>IF(ISNA(VLOOKUP(A48,'Données projet'!$A$35:$I$55,7,0)),0%,VLOOKUP(A48,'Données projet'!$A$35:$I$55,7,0))</f>
        <v>0.2</v>
      </c>
      <c r="Z48" s="21">
        <f>EXP(-LN(2)/35)*Z47+(1-EXP(-LN(2)/35))/(LN(2)/35)*V48*W48*VLOOKUP('Données projet'!$B$9,Paramètres!$A$1:$I$89,3,0)*0.475*44/12</f>
        <v>37.632540326858809</v>
      </c>
      <c r="AA48" s="21">
        <f>EXP(-LN(2)/25)*AA47+(1-EXP(-LN(2)/25))/(LN(2)/25)*Calculateur!V48*Calculateur!X48*VLOOKUP('Données projet'!$B$9,Paramètres!$A$1:$I$89,3,0)*0.475*44/12</f>
        <v>50.802519339762419</v>
      </c>
      <c r="AB48" s="21">
        <f>EXP(-LN(2)/2)*AB47+(1-EXP(-LN(2)/2))/(LN(2)/2)*V48*Y48*VLOOKUP('Données projet'!$B$9,Paramètres!$A$1:$I$89,3,0)*0.475*44/12</f>
        <v>10.820788453718935</v>
      </c>
      <c r="AC48" s="22">
        <f t="shared" si="3"/>
        <v>99.255848120340161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374</v>
      </c>
      <c r="AG48" s="12">
        <f>VLOOKUP(A48,'Données projet'!$A$61:$I$81,9,0)</f>
        <v>17.8</v>
      </c>
      <c r="AH48" s="12">
        <f t="array" ref="AH48">INDEX(AG:AG,MIN(IF(ISNUMBER(AG48:AG244),ROW(AG48:AG244),"")))</f>
        <v>17.8</v>
      </c>
      <c r="AI48" s="13">
        <f>IF('Données projet'!$A$62&gt;35,AI47+AH48-AQ47,IF(A48&lt;'Données projet'!$A$62,$AF$205^A48,IF(A48='Données projet'!$A$62,'Données projet'!$B$62,AI47+AH48-AQ47)))</f>
        <v>374.00000000000028</v>
      </c>
      <c r="AJ48" s="13">
        <f>AI48*VLOOKUP('Données projet'!$B$10,Paramètres!$A$1:$I$89,3,0)*VLOOKUP('Données projet'!$B$10,Paramètres!$A$1:$I$89,5,0)</f>
        <v>223.65200000000019</v>
      </c>
      <c r="AK48" s="13">
        <f t="shared" si="35"/>
        <v>54.907867720650273</v>
      </c>
      <c r="AL48" s="20">
        <f t="shared" si="4"/>
        <v>485.15843628013289</v>
      </c>
      <c r="AM48" s="59">
        <f t="shared" si="5"/>
        <v>778.4917696134662</v>
      </c>
      <c r="AN48" s="59">
        <f ca="1">AVERAGE(OFFSET($AM$3,0,0,'Données projet'!$E$10+1,1))-AVERAGE(OFFSET($H$3,0,0,'Données projet'!$E$10+1,1))</f>
        <v>247.08914525784144</v>
      </c>
      <c r="AO48" s="59">
        <f t="shared" si="36"/>
        <v>286.9617518796191</v>
      </c>
      <c r="AP48" s="15">
        <f>IF(ISNA(VLOOKUP(A48,'Données projet'!$A$61:$I$81,3,0)),0,VLOOKUP(A48,'Données projet'!$A$61:$I$81,3,0))</f>
        <v>6</v>
      </c>
      <c r="AQ48" s="15">
        <f>IF(ISNA(VLOOKUP(A48,'Données projet'!$A$61:$I$81,4,0)),0,VLOOKUP(A48,'Données projet'!$A$61:$I$81,4,0))</f>
        <v>49</v>
      </c>
      <c r="AR48" s="16">
        <f>IF(ISNA(VLOOKUP(A48,'Données projet'!$A$61:$I$81,5,0)),0%,VLOOKUP(A48,'Données projet'!$A$61:$I$81,5,0)*VLOOKUP('Données projet'!$B$10,Paramètres!$A$1:$I$89,7,0))</f>
        <v>0.22500000000000001</v>
      </c>
      <c r="AS48" s="16">
        <f>IF(ISNA(VLOOKUP(A48,'Données projet'!$A$61:$I$81,6,0)),0%,VLOOKUP(A48,'Données projet'!$A$61:$I$81,6,0)*VLOOKUP('Données projet'!$B$10,Paramètres!$A$1:$I$89,7,0))</f>
        <v>0.13500000000000001</v>
      </c>
      <c r="AT48" s="16">
        <f>IF(ISNA(VLOOKUP(A48,'Données projet'!$A$61:$I$81,7,0)),0%,VLOOKUP(A48,'Données projet'!$A$61:$I$81,7,0))</f>
        <v>0.2</v>
      </c>
      <c r="AU48" s="21">
        <f>EXP(-LN(2)/35)*AU47+(1-EXP(-LN(2)/35))/(LN(2)/35)*AQ48*AR48*VLOOKUP('Données projet'!$B$10,Paramètres!$A$1:$I$89,3,0)*0.475*44/12</f>
        <v>23.164313490996193</v>
      </c>
      <c r="AV48" s="21">
        <f>EXP(-LN(2)/25)*AV47+(1-EXP(-LN(2)/25))/(LN(2)/25)*Calculateur!AQ48*Calculateur!AS48*VLOOKUP('Données projet'!$B$10,Paramètres!$A$1:$I$89,3,0)*0.475*44/12</f>
        <v>32.307177498910249</v>
      </c>
      <c r="AW48" s="21">
        <f>EXP(-LN(2)/2)*AW47+(1-EXP(-LN(2)/2))/(LN(2)/2)*AQ48*AT48*VLOOKUP('Données projet'!$B$10,Paramètres!$A$1:$I$89,3,0)*0.475*44/12</f>
        <v>8.1876243366411909</v>
      </c>
      <c r="AX48" s="21">
        <f t="shared" si="6"/>
        <v>63.659115326547635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240</v>
      </c>
      <c r="BB48" s="12">
        <f>VLOOKUP(A48,'Données projet'!$A$87:$I$107,9,0)</f>
        <v>9.4</v>
      </c>
      <c r="BC48" s="12">
        <f t="array" ref="BC48">INDEX(BB:BB,MIN(IF(ISNUMBER(BB48:BB244),ROW(BB48:BB244),"")))</f>
        <v>9.4</v>
      </c>
      <c r="BD48" s="12">
        <f>IF('Données projet'!$A$88&gt;35,BD47+BC48-BL47,IF(A48&lt;'Données projet'!$A$88,$BA$205^A48,IF(A48='Données projet'!$A$88,'Données projet'!$B$88,BD47+BC48-BL47)))</f>
        <v>240.00000000000003</v>
      </c>
      <c r="BE48" s="13">
        <f>BD48*VLOOKUP('Données projet'!$B$11,Paramètres!$A$1:$I$89,3,0)*VLOOKUP('Données projet'!$B$11,Paramètres!$A$1:$I$89,5,0)</f>
        <v>190.94400000000005</v>
      </c>
      <c r="BF48" s="13">
        <f t="shared" si="37"/>
        <v>47.748597609826597</v>
      </c>
      <c r="BG48" s="20">
        <f t="shared" si="7"/>
        <v>415.72294083711472</v>
      </c>
      <c r="BH48" s="59">
        <f t="shared" si="8"/>
        <v>709.05627417044798</v>
      </c>
      <c r="BI48" s="59">
        <f ca="1">AVERAGE(OFFSET($BH$3,0,0,'Données projet'!$E$11+1,1))-AVERAGE(OFFSET($H$3,0,0,'Données projet'!$E$11+1,1))</f>
        <v>280.45463274302153</v>
      </c>
      <c r="BJ48" s="59">
        <f t="shared" si="38"/>
        <v>276.06968650495287</v>
      </c>
      <c r="BK48" s="15">
        <f>IF(ISNA(VLOOKUP(A48,'Données projet'!$A$87:$I$107,3,0)),0,VLOOKUP(A48,'Données projet'!$A$87:$I$107,3,0))</f>
        <v>7</v>
      </c>
      <c r="BL48" s="15">
        <f>IF(ISNA(VLOOKUP(A48,'Données projet'!$A$87:$I$107,4,0)),0,VLOOKUP(A48,'Données projet'!$A$87:$I$107,4,0))</f>
        <v>24</v>
      </c>
      <c r="BM48" s="16">
        <f>IF(ISNA(VLOOKUP(A48,'Données projet'!$A$87:$I$107,5,0)),0%,VLOOKUP(A48,'Données projet'!$A$87:$I$107,5,0)*VLOOKUP('Données projet'!$B$11,Paramètres!$A$1:$I$89,7,0))</f>
        <v>0.318</v>
      </c>
      <c r="BN48" s="16">
        <f>IF(ISNA(VLOOKUP(A48,'Données projet'!$A$87:$I$107,6,0)),0%,VLOOKUP(A48,'Données projet'!$A$87:$I$107,6,0)*VLOOKUP('Données projet'!$B$11,Paramètres!$A$1:$I$89,7,0))</f>
        <v>2.12E-2</v>
      </c>
      <c r="BO48" s="16">
        <f>IF(ISNA(VLOOKUP(A48,'Données projet'!$A$87:$I$107,7,0)),0%,VLOOKUP(A48,'Données projet'!$A$87:$I$107,7,0))</f>
        <v>0.06</v>
      </c>
      <c r="BP48" s="21">
        <f>EXP(-LN(2)/35)*BP47+(1-EXP(-LN(2)/35))/(LN(2)/35)*BL48*BM48*VLOOKUP('Données projet'!$B$11,Paramètres!$A$1:$I$89,3,0)*0.475*44/12</f>
        <v>30.17247743845358</v>
      </c>
      <c r="BQ48" s="21">
        <f>EXP(-LN(2)/25)*BQ47+(1-EXP(-LN(2)/25))/(LN(2)/25)*Calculateur!BL48*Calculateur!BN48*VLOOKUP('Données projet'!$B$11,Paramètres!$A$1:$I$89,3,0)*0.475*44/12</f>
        <v>3.6012801668859504</v>
      </c>
      <c r="BR48" s="21">
        <f>EXP(-LN(2)/2)*BR47+(1-EXP(-LN(2)/2))/(LN(2)/2)*BL48*BO48*VLOOKUP('Données projet'!$B$11,Paramètres!$A$1:$I$89,3,0)*0.475*44/12</f>
        <v>1.4786582046877013</v>
      </c>
      <c r="BS48" s="22">
        <f t="shared" si="9"/>
        <v>35.252415810027237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49" s="11">
        <f t="shared" si="32"/>
        <v>6.9405537312613585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219.75725687289471</v>
      </c>
      <c r="H49" s="67">
        <f t="shared" si="1"/>
        <v>342.91606441528018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197.99999999999994</v>
      </c>
      <c r="O49" s="13">
        <f>N49*VLOOKUP('Données projet'!$B$9,Paramètres!$A$1:$I$89,3,0)*VLOOKUP('Données projet'!$B$9,Paramètres!$A$1:$I$89,5,0)</f>
        <v>123.55199999999995</v>
      </c>
      <c r="P49" s="13">
        <f t="shared" si="33"/>
        <v>32.502033262579566</v>
      </c>
      <c r="Q49" s="20">
        <f t="shared" si="53"/>
        <v>271.79410793232597</v>
      </c>
      <c r="R49" s="59">
        <f t="shared" si="0"/>
        <v>565.12744126565929</v>
      </c>
      <c r="S49" s="59">
        <f ca="1">AVERAGE(OFFSET($R$3,0,0,'Données projet'!$E$9+1,1))-AVERAGE(OFFSET($H$3,0,0,'Données projet'!$E$9+1,1))</f>
        <v>168.81286953191102</v>
      </c>
      <c r="T49" s="59">
        <f t="shared" si="34"/>
        <v>255.78677933103666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36.894589164632229</v>
      </c>
      <c r="AA49" s="21">
        <f>EXP(-LN(2)/25)*AA48+(1-EXP(-LN(2)/25))/(LN(2)/25)*Calculateur!V49*Calculateur!X49*VLOOKUP('Données projet'!$B$9,Paramètres!$A$1:$I$89,3,0)*0.475*44/12</f>
        <v>49.413321776828234</v>
      </c>
      <c r="AB49" s="21">
        <f>EXP(-LN(2)/2)*AB48+(1-EXP(-LN(2)/2))/(LN(2)/2)*V49*Y49*VLOOKUP('Données projet'!$B$9,Paramètres!$A$1:$I$89,3,0)*0.475*44/12</f>
        <v>7.651452893409755</v>
      </c>
      <c r="AC49" s="22">
        <f t="shared" si="3"/>
        <v>93.959363834870217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16.399999999999999</v>
      </c>
      <c r="AI49" s="13">
        <f>IF('Données projet'!$A$62&gt;35,AI48+AH49-AQ48,IF(A49&lt;'Données projet'!$A$62,$AF$205^A49,IF(A49='Données projet'!$A$62,'Données projet'!$B$62,AI48+AH49-AQ48)))</f>
        <v>341.40000000000026</v>
      </c>
      <c r="AJ49" s="13">
        <f>AI49*VLOOKUP('Données projet'!$B$10,Paramètres!$A$1:$I$89,3,0)*VLOOKUP('Données projet'!$B$10,Paramètres!$A$1:$I$89,5,0)</f>
        <v>204.15720000000016</v>
      </c>
      <c r="AK49" s="13">
        <f t="shared" si="35"/>
        <v>50.656697660408305</v>
      </c>
      <c r="AL49" s="20">
        <f t="shared" si="4"/>
        <v>443.8008717585447</v>
      </c>
      <c r="AM49" s="59">
        <f t="shared" si="5"/>
        <v>737.13420509187802</v>
      </c>
      <c r="AN49" s="59">
        <f ca="1">AVERAGE(OFFSET($AM$3,0,0,'Données projet'!$E$10+1,1))-AVERAGE(OFFSET($H$3,0,0,'Données projet'!$E$10+1,1))</f>
        <v>247.08914525784144</v>
      </c>
      <c r="AO49" s="59">
        <f t="shared" si="36"/>
        <v>286.9617518796191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22.710075432273879</v>
      </c>
      <c r="AV49" s="21">
        <f>EXP(-LN(2)/25)*AV48+(1-EXP(-LN(2)/25))/(LN(2)/25)*Calculateur!AQ49*Calculateur!AS49*VLOOKUP('Données projet'!$B$10,Paramètres!$A$1:$I$89,3,0)*0.475*44/12</f>
        <v>31.423736031241923</v>
      </c>
      <c r="AW49" s="21">
        <f>EXP(-LN(2)/2)*AW48+(1-EXP(-LN(2)/2))/(LN(2)/2)*AQ49*AT49*VLOOKUP('Données projet'!$B$10,Paramètres!$A$1:$I$89,3,0)*0.475*44/12</f>
        <v>5.7895246902469939</v>
      </c>
      <c r="AX49" s="21">
        <f t="shared" si="6"/>
        <v>59.92333615376279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9</v>
      </c>
      <c r="BD49" s="12">
        <f>IF('Données projet'!$A$88&gt;35,BD48+BC49-BL48,IF(A49&lt;'Données projet'!$A$88,$BA$205^A49,IF(A49='Données projet'!$A$88,'Données projet'!$B$88,BD48+BC49-BL48)))</f>
        <v>225.00000000000003</v>
      </c>
      <c r="BE49" s="13">
        <f>BD49*VLOOKUP('Données projet'!$B$11,Paramètres!$A$1:$I$89,3,0)*VLOOKUP('Données projet'!$B$11,Paramètres!$A$1:$I$89,5,0)</f>
        <v>179.01000000000002</v>
      </c>
      <c r="BF49" s="13">
        <f t="shared" si="37"/>
        <v>45.101858757318141</v>
      </c>
      <c r="BG49" s="20">
        <f t="shared" si="7"/>
        <v>390.32815400232903</v>
      </c>
      <c r="BH49" s="59">
        <f t="shared" si="8"/>
        <v>683.66148733566229</v>
      </c>
      <c r="BI49" s="59">
        <f ca="1">AVERAGE(OFFSET($BH$3,0,0,'Données projet'!$E$11+1,1))-AVERAGE(OFFSET($H$3,0,0,'Données projet'!$E$11+1,1))</f>
        <v>280.45463274302153</v>
      </c>
      <c r="BJ49" s="59">
        <f t="shared" si="38"/>
        <v>276.06968650495287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29.580813559279559</v>
      </c>
      <c r="BQ49" s="21">
        <f>EXP(-LN(2)/25)*BQ48+(1-EXP(-LN(2)/25))/(LN(2)/25)*Calculateur!BL49*Calculateur!BN49*VLOOKUP('Données projet'!$B$11,Paramètres!$A$1:$I$89,3,0)*0.475*44/12</f>
        <v>3.5028029713393609</v>
      </c>
      <c r="BR49" s="21">
        <f>EXP(-LN(2)/2)*BR48+(1-EXP(-LN(2)/2))/(LN(2)/2)*BL49*BO49*VLOOKUP('Données projet'!$B$11,Paramètres!$A$1:$I$89,3,0)*0.475*44/12</f>
        <v>1.0455692435917996</v>
      </c>
      <c r="BS49" s="22">
        <f t="shared" si="9"/>
        <v>34.129185774210718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21.995999999999999</v>
      </c>
      <c r="D50" s="11">
        <f t="shared" si="32"/>
        <v>7.0737053871356732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224.39772579543327</v>
      </c>
      <c r="H50" s="67">
        <f t="shared" si="1"/>
        <v>343.96307021592793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197.99999999999994</v>
      </c>
      <c r="O50" s="13">
        <f>N50*VLOOKUP('Données projet'!$B$9,Paramètres!$A$1:$I$89,3,0)*VLOOKUP('Données projet'!$B$9,Paramètres!$A$1:$I$89,5,0)</f>
        <v>123.55199999999995</v>
      </c>
      <c r="P50" s="13">
        <f t="shared" si="33"/>
        <v>32.502033262579566</v>
      </c>
      <c r="Q50" s="20">
        <f t="shared" si="53"/>
        <v>271.79410793232597</v>
      </c>
      <c r="R50" s="59">
        <f t="shared" si="0"/>
        <v>565.12744126565929</v>
      </c>
      <c r="S50" s="59">
        <f ca="1">AVERAGE(OFFSET($R$3,0,0,'Données projet'!$E$9+1,1))-AVERAGE(OFFSET($H$3,0,0,'Données projet'!$E$9+1,1))</f>
        <v>168.81286953191102</v>
      </c>
      <c r="T50" s="59">
        <f t="shared" si="34"/>
        <v>255.78677933103666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36.171108774591147</v>
      </c>
      <c r="AA50" s="21">
        <f>EXP(-LN(2)/25)*AA49+(1-EXP(-LN(2)/25))/(LN(2)/25)*Calculateur!V50*Calculateur!X50*VLOOKUP('Données projet'!$B$9,Paramètres!$A$1:$I$89,3,0)*0.475*44/12</f>
        <v>48.062111894307208</v>
      </c>
      <c r="AB50" s="21">
        <f>EXP(-LN(2)/2)*AB49+(1-EXP(-LN(2)/2))/(LN(2)/2)*V50*Y50*VLOOKUP('Données projet'!$B$9,Paramètres!$A$1:$I$89,3,0)*0.475*44/12</f>
        <v>5.4103942268594682</v>
      </c>
      <c r="AC50" s="22">
        <f t="shared" si="3"/>
        <v>89.643614895757821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16.399999999999999</v>
      </c>
      <c r="AI50" s="13">
        <f>IF('Données projet'!$A$62&gt;35,AI49+AH50-AQ49,IF(A50&lt;'Données projet'!$A$62,$AF$205^A50,IF(A50='Données projet'!$A$62,'Données projet'!$B$62,AI49+AH50-AQ49)))</f>
        <v>357.80000000000024</v>
      </c>
      <c r="AJ50" s="13">
        <f>AI50*VLOOKUP('Données projet'!$B$10,Paramètres!$A$1:$I$89,3,0)*VLOOKUP('Données projet'!$B$10,Paramètres!$A$1:$I$89,5,0)</f>
        <v>213.96440000000015</v>
      </c>
      <c r="AK50" s="13">
        <f t="shared" si="35"/>
        <v>52.800961630419025</v>
      </c>
      <c r="AL50" s="20">
        <f t="shared" si="4"/>
        <v>464.61633817298008</v>
      </c>
      <c r="AM50" s="59">
        <f t="shared" si="5"/>
        <v>757.94967150631339</v>
      </c>
      <c r="AN50" s="59">
        <f ca="1">AVERAGE(OFFSET($AM$3,0,0,'Données projet'!$E$10+1,1))-AVERAGE(OFFSET($H$3,0,0,'Données projet'!$E$10+1,1))</f>
        <v>247.08914525784144</v>
      </c>
      <c r="AO50" s="59">
        <f t="shared" si="36"/>
        <v>286.9617518796191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22.264744704825251</v>
      </c>
      <c r="AV50" s="21">
        <f>EXP(-LN(2)/25)*AV49+(1-EXP(-LN(2)/25))/(LN(2)/25)*Calculateur!AQ50*Calculateur!AS50*VLOOKUP('Données projet'!$B$10,Paramètres!$A$1:$I$89,3,0)*0.475*44/12</f>
        <v>30.564452316965156</v>
      </c>
      <c r="AW50" s="21">
        <f>EXP(-LN(2)/2)*AW49+(1-EXP(-LN(2)/2))/(LN(2)/2)*AQ50*AT50*VLOOKUP('Données projet'!$B$10,Paramètres!$A$1:$I$89,3,0)*0.475*44/12</f>
        <v>4.0938121683205955</v>
      </c>
      <c r="AX50" s="21">
        <f t="shared" si="6"/>
        <v>56.923009190111003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9</v>
      </c>
      <c r="BD50" s="12">
        <f>IF('Données projet'!$A$88&gt;35,BD49+BC50-BL49,IF(A50&lt;'Données projet'!$A$88,$BA$205^A50,IF(A50='Données projet'!$A$88,'Données projet'!$B$88,BD49+BC50-BL49)))</f>
        <v>234.00000000000003</v>
      </c>
      <c r="BE50" s="13">
        <f>BD50*VLOOKUP('Données projet'!$B$11,Paramètres!$A$1:$I$89,3,0)*VLOOKUP('Données projet'!$B$11,Paramètres!$A$1:$I$89,5,0)</f>
        <v>186.17040000000003</v>
      </c>
      <c r="BF50" s="13">
        <f t="shared" si="37"/>
        <v>46.692281933796018</v>
      </c>
      <c r="BG50" s="20">
        <f t="shared" si="7"/>
        <v>405.56917103469476</v>
      </c>
      <c r="BH50" s="59">
        <f t="shared" si="8"/>
        <v>698.90250436802808</v>
      </c>
      <c r="BI50" s="59">
        <f ca="1">AVERAGE(OFFSET($BH$3,0,0,'Données projet'!$E$11+1,1))-AVERAGE(OFFSET($H$3,0,0,'Données projet'!$E$11+1,1))</f>
        <v>280.45463274302153</v>
      </c>
      <c r="BJ50" s="59">
        <f t="shared" si="38"/>
        <v>276.06968650495287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29.000751847896808</v>
      </c>
      <c r="BQ50" s="21">
        <f>EXP(-LN(2)/25)*BQ49+(1-EXP(-LN(2)/25))/(LN(2)/25)*Calculateur!BL50*Calculateur!BN50*VLOOKUP('Données projet'!$B$11,Paramètres!$A$1:$I$89,3,0)*0.475*44/12</f>
        <v>3.4070186398836837</v>
      </c>
      <c r="BR50" s="21">
        <f>EXP(-LN(2)/2)*BR49+(1-EXP(-LN(2)/2))/(LN(2)/2)*BL50*BO50*VLOOKUP('Données projet'!$B$11,Paramètres!$A$1:$I$89,3,0)*0.475*44/12</f>
        <v>0.73932910234385074</v>
      </c>
      <c r="BS50" s="22">
        <f t="shared" si="9"/>
        <v>33.147099590124341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22.463999999999999</v>
      </c>
      <c r="D51" s="11">
        <f t="shared" si="32"/>
        <v>7.2065276619252296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229.03565212714213</v>
      </c>
      <c r="H51" s="67">
        <f t="shared" si="1"/>
        <v>345.00950234451977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197.99999999999994</v>
      </c>
      <c r="O51" s="13">
        <f>N51*VLOOKUP('Données projet'!$B$9,Paramètres!$A$1:$I$89,3,0)*VLOOKUP('Données projet'!$B$9,Paramètres!$A$1:$I$89,5,0)</f>
        <v>123.55199999999995</v>
      </c>
      <c r="P51" s="13">
        <f t="shared" si="33"/>
        <v>32.502033262579566</v>
      </c>
      <c r="Q51" s="20">
        <f t="shared" si="53"/>
        <v>271.79410793232597</v>
      </c>
      <c r="R51" s="59">
        <f t="shared" si="0"/>
        <v>565.12744126565929</v>
      </c>
      <c r="S51" s="59">
        <f ca="1">AVERAGE(OFFSET($R$3,0,0,'Données projet'!$E$9+1,1))-AVERAGE(OFFSET($H$3,0,0,'Données projet'!$E$9+1,1))</f>
        <v>168.81286953191102</v>
      </c>
      <c r="T51" s="59">
        <f t="shared" si="34"/>
        <v>255.78677933103666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35.461815393719306</v>
      </c>
      <c r="AA51" s="21">
        <f>EXP(-LN(2)/25)*AA50+(1-EXP(-LN(2)/25))/(LN(2)/25)*Calculateur!V51*Calculateur!X51*VLOOKUP('Données projet'!$B$9,Paramètres!$A$1:$I$89,3,0)*0.475*44/12</f>
        <v>46.747850917080761</v>
      </c>
      <c r="AB51" s="21">
        <f>EXP(-LN(2)/2)*AB50+(1-EXP(-LN(2)/2))/(LN(2)/2)*V51*Y51*VLOOKUP('Données projet'!$B$9,Paramètres!$A$1:$I$89,3,0)*0.475*44/12</f>
        <v>3.8257264467048784</v>
      </c>
      <c r="AC51" s="22">
        <f t="shared" si="3"/>
        <v>86.035392757504937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16.399999999999999</v>
      </c>
      <c r="AI51" s="13">
        <f>IF('Données projet'!$A$62&gt;35,AI50+AH51-AQ50,IF(A51&lt;'Données projet'!$A$62,$AF$205^A51,IF(A51='Données projet'!$A$62,'Données projet'!$B$62,AI50+AH51-AQ50)))</f>
        <v>374.20000000000022</v>
      </c>
      <c r="AJ51" s="13">
        <f>AI51*VLOOKUP('Données projet'!$B$10,Paramètres!$A$1:$I$89,3,0)*VLOOKUP('Données projet'!$B$10,Paramètres!$A$1:$I$89,5,0)</f>
        <v>223.77160000000015</v>
      </c>
      <c r="AK51" s="13">
        <f t="shared" si="35"/>
        <v>54.933811614894488</v>
      </c>
      <c r="AL51" s="20">
        <f t="shared" si="4"/>
        <v>485.41192522927469</v>
      </c>
      <c r="AM51" s="59">
        <f t="shared" si="5"/>
        <v>778.745258562608</v>
      </c>
      <c r="AN51" s="59">
        <f ca="1">AVERAGE(OFFSET($AM$3,0,0,'Données projet'!$E$10+1,1))-AVERAGE(OFFSET($H$3,0,0,'Données projet'!$E$10+1,1))</f>
        <v>247.08914525784144</v>
      </c>
      <c r="AO51" s="59">
        <f t="shared" si="36"/>
        <v>286.9617518796191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21.82814664131697</v>
      </c>
      <c r="AV51" s="21">
        <f>EXP(-LN(2)/25)*AV50+(1-EXP(-LN(2)/25))/(LN(2)/25)*Calculateur!AQ51*Calculateur!AS51*VLOOKUP('Données projet'!$B$10,Paramètres!$A$1:$I$89,3,0)*0.475*44/12</f>
        <v>29.728665761043054</v>
      </c>
      <c r="AW51" s="21">
        <f>EXP(-LN(2)/2)*AW50+(1-EXP(-LN(2)/2))/(LN(2)/2)*AQ51*AT51*VLOOKUP('Données projet'!$B$10,Paramètres!$A$1:$I$89,3,0)*0.475*44/12</f>
        <v>2.8947623451234969</v>
      </c>
      <c r="AX51" s="21">
        <f t="shared" si="6"/>
        <v>54.451574747483519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9</v>
      </c>
      <c r="BD51" s="12">
        <f>IF('Données projet'!$A$88&gt;35,BD50+BC51-BL50,IF(A51&lt;'Données projet'!$A$88,$BA$205^A51,IF(A51='Données projet'!$A$88,'Données projet'!$B$88,BD50+BC51-BL50)))</f>
        <v>243.00000000000003</v>
      </c>
      <c r="BE51" s="13">
        <f>BD51*VLOOKUP('Données projet'!$B$11,Paramètres!$A$1:$I$89,3,0)*VLOOKUP('Données projet'!$B$11,Paramètres!$A$1:$I$89,5,0)</f>
        <v>193.33080000000004</v>
      </c>
      <c r="BF51" s="13">
        <f t="shared" si="37"/>
        <v>48.275598972103694</v>
      </c>
      <c r="BG51" s="20">
        <f t="shared" si="7"/>
        <v>420.79781154308063</v>
      </c>
      <c r="BH51" s="59">
        <f t="shared" si="8"/>
        <v>714.13114487641394</v>
      </c>
      <c r="BI51" s="59">
        <f ca="1">AVERAGE(OFFSET($BH$3,0,0,'Données projet'!$E$11+1,1))-AVERAGE(OFFSET($H$3,0,0,'Données projet'!$E$11+1,1))</f>
        <v>280.45463274302153</v>
      </c>
      <c r="BJ51" s="59">
        <f t="shared" si="38"/>
        <v>276.06968650495287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28.432064792871564</v>
      </c>
      <c r="BQ51" s="21">
        <f>EXP(-LN(2)/25)*BQ50+(1-EXP(-LN(2)/25))/(LN(2)/25)*Calculateur!BL51*Calculateur!BN51*VLOOKUP('Données projet'!$B$11,Paramètres!$A$1:$I$89,3,0)*0.475*44/12</f>
        <v>3.3138535360087409</v>
      </c>
      <c r="BR51" s="21">
        <f>EXP(-LN(2)/2)*BR50+(1-EXP(-LN(2)/2))/(LN(2)/2)*BL51*BO51*VLOOKUP('Données projet'!$B$11,Paramètres!$A$1:$I$89,3,0)*0.475*44/12</f>
        <v>0.52278462179589991</v>
      </c>
      <c r="BS51" s="22">
        <f t="shared" si="9"/>
        <v>32.268702950676207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22.931999999999999</v>
      </c>
      <c r="D52" s="11">
        <f t="shared" si="32"/>
        <v>7.3390282083215084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233.67109494142917</v>
      </c>
      <c r="H52" s="67">
        <f t="shared" si="1"/>
        <v>346.05537412949326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197.99999999999994</v>
      </c>
      <c r="O52" s="13">
        <f>N52*VLOOKUP('Données projet'!$B$9,Paramètres!$A$1:$I$89,3,0)*VLOOKUP('Données projet'!$B$9,Paramètres!$A$1:$I$89,5,0)</f>
        <v>123.55199999999995</v>
      </c>
      <c r="P52" s="13">
        <f t="shared" si="33"/>
        <v>32.502033262579566</v>
      </c>
      <c r="Q52" s="20">
        <f t="shared" si="53"/>
        <v>271.79410793232597</v>
      </c>
      <c r="R52" s="59">
        <f t="shared" si="0"/>
        <v>565.12744126565929</v>
      </c>
      <c r="S52" s="59">
        <f ca="1">AVERAGE(OFFSET($R$3,0,0,'Données projet'!$E$9+1,1))-AVERAGE(OFFSET($H$3,0,0,'Données projet'!$E$9+1,1))</f>
        <v>168.81286953191102</v>
      </c>
      <c r="T52" s="59">
        <f t="shared" si="34"/>
        <v>255.78677933103666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34.766430823420116</v>
      </c>
      <c r="AA52" s="21">
        <f>EXP(-LN(2)/25)*AA51+(1-EXP(-LN(2)/25))/(LN(2)/25)*Calculateur!V52*Calculateur!X52*VLOOKUP('Données projet'!$B$9,Paramètres!$A$1:$I$89,3,0)*0.475*44/12</f>
        <v>45.469528475390554</v>
      </c>
      <c r="AB52" s="21">
        <f>EXP(-LN(2)/2)*AB51+(1-EXP(-LN(2)/2))/(LN(2)/2)*V52*Y52*VLOOKUP('Données projet'!$B$9,Paramètres!$A$1:$I$89,3,0)*0.475*44/12</f>
        <v>2.7051971134297346</v>
      </c>
      <c r="AC52" s="22">
        <f t="shared" si="3"/>
        <v>82.941156412240403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16.399999999999999</v>
      </c>
      <c r="AI52" s="13">
        <f>IF('Données projet'!$A$62&gt;35,AI51+AH52-AQ51,IF(A52&lt;'Données projet'!$A$62,$AF$205^A52,IF(A52='Données projet'!$A$62,'Données projet'!$B$62,AI51+AH52-AQ51)))</f>
        <v>390.60000000000019</v>
      </c>
      <c r="AJ52" s="13">
        <f>AI52*VLOOKUP('Données projet'!$B$10,Paramètres!$A$1:$I$89,3,0)*VLOOKUP('Données projet'!$B$10,Paramètres!$A$1:$I$89,5,0)</f>
        <v>233.57880000000014</v>
      </c>
      <c r="AK52" s="13">
        <f t="shared" si="35"/>
        <v>57.055805022709997</v>
      </c>
      <c r="AL52" s="20">
        <f t="shared" si="4"/>
        <v>506.18860374788687</v>
      </c>
      <c r="AM52" s="59">
        <f t="shared" si="5"/>
        <v>799.52193708122013</v>
      </c>
      <c r="AN52" s="59">
        <f ca="1">AVERAGE(OFFSET($AM$3,0,0,'Données projet'!$E$10+1,1))-AVERAGE(OFFSET($H$3,0,0,'Données projet'!$E$10+1,1))</f>
        <v>247.08914525784144</v>
      </c>
      <c r="AO52" s="59">
        <f t="shared" si="36"/>
        <v>286.9617518796191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21.400109999535562</v>
      </c>
      <c r="AV52" s="21">
        <f>EXP(-LN(2)/25)*AV51+(1-EXP(-LN(2)/25))/(LN(2)/25)*Calculateur!AQ52*Calculateur!AS52*VLOOKUP('Données projet'!$B$10,Paramètres!$A$1:$I$89,3,0)*0.475*44/12</f>
        <v>28.915733832444744</v>
      </c>
      <c r="AW52" s="21">
        <f>EXP(-LN(2)/2)*AW51+(1-EXP(-LN(2)/2))/(LN(2)/2)*AQ52*AT52*VLOOKUP('Données projet'!$B$10,Paramètres!$A$1:$I$89,3,0)*0.475*44/12</f>
        <v>2.0469060841602977</v>
      </c>
      <c r="AX52" s="21">
        <f t="shared" si="6"/>
        <v>52.362749916140601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9</v>
      </c>
      <c r="BD52" s="12">
        <f>IF('Données projet'!$A$88&gt;35,BD51+BC52-BL51,IF(A52&lt;'Données projet'!$A$88,$BA$205^A52,IF(A52='Données projet'!$A$88,'Données projet'!$B$88,BD51+BC52-BL51)))</f>
        <v>252.00000000000003</v>
      </c>
      <c r="BE52" s="13">
        <f>BD52*VLOOKUP('Données projet'!$B$11,Paramètres!$A$1:$I$89,3,0)*VLOOKUP('Données projet'!$B$11,Paramètres!$A$1:$I$89,5,0)</f>
        <v>200.49120000000002</v>
      </c>
      <c r="BF52" s="13">
        <f t="shared" si="37"/>
        <v>49.852103201908299</v>
      </c>
      <c r="BG52" s="20">
        <f t="shared" si="7"/>
        <v>436.01458640999027</v>
      </c>
      <c r="BH52" s="59">
        <f t="shared" si="8"/>
        <v>729.34791974332359</v>
      </c>
      <c r="BI52" s="59">
        <f ca="1">AVERAGE(OFFSET($BH$3,0,0,'Données projet'!$E$11+1,1))-AVERAGE(OFFSET($H$3,0,0,'Données projet'!$E$11+1,1))</f>
        <v>280.45463274302153</v>
      </c>
      <c r="BJ52" s="59">
        <f t="shared" si="38"/>
        <v>276.06968650495287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27.874529344130512</v>
      </c>
      <c r="BQ52" s="21">
        <f>EXP(-LN(2)/25)*BQ51+(1-EXP(-LN(2)/25))/(LN(2)/25)*Calculateur!BL52*Calculateur!BN52*VLOOKUP('Données projet'!$B$11,Paramètres!$A$1:$I$89,3,0)*0.475*44/12</f>
        <v>3.2232360367985984</v>
      </c>
      <c r="BR52" s="21">
        <f>EXP(-LN(2)/2)*BR51+(1-EXP(-LN(2)/2))/(LN(2)/2)*BL52*BO52*VLOOKUP('Données projet'!$B$11,Paramètres!$A$1:$I$89,3,0)*0.475*44/12</f>
        <v>0.36966455117192543</v>
      </c>
      <c r="BS52" s="22">
        <f t="shared" si="9"/>
        <v>31.467429932101037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</v>
      </c>
      <c r="D53" s="11">
        <f t="shared" si="32"/>
        <v>7.4712143488056828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238.30411076271048</v>
      </c>
      <c r="H53" s="67">
        <f t="shared" si="1"/>
        <v>347.10069832416985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197.99999999999994</v>
      </c>
      <c r="O53" s="13">
        <f>N53*VLOOKUP('Données projet'!$B$9,Paramètres!$A$1:$I$89,3,0)*VLOOKUP('Données projet'!$B$9,Paramètres!$A$1:$I$89,5,0)</f>
        <v>123.55199999999995</v>
      </c>
      <c r="P53" s="13">
        <f t="shared" si="33"/>
        <v>32.502033262579566</v>
      </c>
      <c r="Q53" s="20">
        <f t="shared" si="53"/>
        <v>271.79410793232597</v>
      </c>
      <c r="R53" s="59">
        <f t="shared" si="0"/>
        <v>565.12744126565929</v>
      </c>
      <c r="S53" s="59">
        <f ca="1">AVERAGE(OFFSET($R$3,0,0,'Données projet'!$E$9+1,1))-AVERAGE(OFFSET($H$3,0,0,'Données projet'!$E$9+1,1))</f>
        <v>168.81286953191102</v>
      </c>
      <c r="T53" s="59">
        <f t="shared" si="34"/>
        <v>255.78677933103666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34.084682320401789</v>
      </c>
      <c r="AA53" s="21">
        <f>EXP(-LN(2)/25)*AA52+(1-EXP(-LN(2)/25))/(LN(2)/25)*Calculateur!V53*Calculateur!X53*VLOOKUP('Données projet'!$B$9,Paramètres!$A$1:$I$89,3,0)*0.475*44/12</f>
        <v>44.226161828092415</v>
      </c>
      <c r="AB53" s="21">
        <f>EXP(-LN(2)/2)*AB52+(1-EXP(-LN(2)/2))/(LN(2)/2)*V53*Y53*VLOOKUP('Données projet'!$B$9,Paramètres!$A$1:$I$89,3,0)*0.475*44/12</f>
        <v>1.9128632233524394</v>
      </c>
      <c r="AC53" s="22">
        <f t="shared" si="3"/>
        <v>80.223707371846643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407</v>
      </c>
      <c r="AG53" s="12">
        <f>VLOOKUP(A53,'Données projet'!$A$61:$I$81,9,0)</f>
        <v>16.399999999999999</v>
      </c>
      <c r="AH53" s="12">
        <f t="array" ref="AH53">INDEX(AG:AG,MIN(IF(ISNUMBER(AG53:AG249),ROW(AG53:AG249),"")))</f>
        <v>16.399999999999999</v>
      </c>
      <c r="AI53" s="13">
        <f>IF('Données projet'!$A$62&gt;35,AI52+AH53-AQ52,IF(A53&lt;'Données projet'!$A$62,$AF$205^A53,IF(A53='Données projet'!$A$62,'Données projet'!$B$62,AI52+AH53-AQ52)))</f>
        <v>407.00000000000017</v>
      </c>
      <c r="AJ53" s="13">
        <f>AI53*VLOOKUP('Données projet'!$B$10,Paramètres!$A$1:$I$89,3,0)*VLOOKUP('Données projet'!$B$10,Paramètres!$A$1:$I$89,5,0)</f>
        <v>243.38600000000011</v>
      </c>
      <c r="AK53" s="13">
        <f t="shared" si="35"/>
        <v>59.167449807285649</v>
      </c>
      <c r="AL53" s="20">
        <f t="shared" si="4"/>
        <v>526.94725841435593</v>
      </c>
      <c r="AM53" s="59">
        <f t="shared" si="5"/>
        <v>820.28059174768919</v>
      </c>
      <c r="AN53" s="59">
        <f ca="1">AVERAGE(OFFSET($AM$3,0,0,'Données projet'!$E$10+1,1))-AVERAGE(OFFSET($H$3,0,0,'Données projet'!$E$10+1,1))</f>
        <v>247.08914525784144</v>
      </c>
      <c r="AO53" s="59">
        <f t="shared" si="36"/>
        <v>286.9617518796191</v>
      </c>
      <c r="AP53" s="15">
        <f>IF(ISNA(VLOOKUP(A53,'Données projet'!$A$61:$I$81,3,0)),0,VLOOKUP(A53,'Données projet'!$A$61:$I$81,3,0))</f>
        <v>7</v>
      </c>
      <c r="AQ53" s="15">
        <f>IF(ISNA(VLOOKUP(A53,'Données projet'!$A$61:$I$81,4,0)),0,VLOOKUP(A53,'Données projet'!$A$61:$I$81,4,0))</f>
        <v>45</v>
      </c>
      <c r="AR53" s="16">
        <f>IF(ISNA(VLOOKUP(A53,'Données projet'!$A$61:$I$81,5,0)),0%,VLOOKUP(A53,'Données projet'!$A$61:$I$81,5,0)*VLOOKUP('Données projet'!$B$10,Paramètres!$A$1:$I$89,7,0))</f>
        <v>0.22500000000000001</v>
      </c>
      <c r="AS53" s="16">
        <f>IF(ISNA(VLOOKUP(A53,'Données projet'!$A$61:$I$81,6,0)),0%,VLOOKUP(A53,'Données projet'!$A$61:$I$81,6,0)*VLOOKUP('Données projet'!$B$10,Paramètres!$A$1:$I$89,7,0))</f>
        <v>0.13500000000000001</v>
      </c>
      <c r="AT53" s="16">
        <f>IF(ISNA(VLOOKUP(A53,'Données projet'!$A$61:$I$81,7,0)),0%,VLOOKUP(A53,'Données projet'!$A$61:$I$81,7,0))</f>
        <v>0.2</v>
      </c>
      <c r="AU53" s="21">
        <f>EXP(-LN(2)/35)*AU52+(1-EXP(-LN(2)/35))/(LN(2)/35)*AQ53*AR53*VLOOKUP('Données projet'!$B$10,Paramètres!$A$1:$I$89,3,0)*0.475*44/12</f>
        <v>29.012483031795469</v>
      </c>
      <c r="AV53" s="21">
        <f>EXP(-LN(2)/25)*AV52+(1-EXP(-LN(2)/25))/(LN(2)/25)*Calculateur!AQ53*Calculateur!AS53*VLOOKUP('Données projet'!$B$10,Paramètres!$A$1:$I$89,3,0)*0.475*44/12</f>
        <v>32.925266187347063</v>
      </c>
      <c r="AW53" s="21">
        <f>EXP(-LN(2)/2)*AW52+(1-EXP(-LN(2)/2))/(LN(2)/2)*AQ53*AT53*VLOOKUP('Données projet'!$B$10,Paramètres!$A$1:$I$89,3,0)*0.475*44/12</f>
        <v>7.5410553978491883</v>
      </c>
      <c r="AX53" s="21">
        <f t="shared" si="6"/>
        <v>69.478804616991724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261</v>
      </c>
      <c r="BB53" s="12">
        <f>VLOOKUP(A53,'Données projet'!$A$87:$I$107,9,0)</f>
        <v>9</v>
      </c>
      <c r="BC53" s="12">
        <f t="array" ref="BC53">INDEX(BB:BB,MIN(IF(ISNUMBER(BB53:BB249),ROW(BB53:BB249),"")))</f>
        <v>9</v>
      </c>
      <c r="BD53" s="12">
        <f>IF('Données projet'!$A$88&gt;35,BD52+BC53-BL52,IF(A53&lt;'Données projet'!$A$88,$BA$205^A53,IF(A53='Données projet'!$A$88,'Données projet'!$B$88,BD52+BC53-BL52)))</f>
        <v>261</v>
      </c>
      <c r="BE53" s="13">
        <f>BD53*VLOOKUP('Données projet'!$B$11,Paramètres!$A$1:$I$89,3,0)*VLOOKUP('Données projet'!$B$11,Paramètres!$A$1:$I$89,5,0)</f>
        <v>207.65160000000003</v>
      </c>
      <c r="BF53" s="13">
        <f t="shared" si="37"/>
        <v>51.422065813018108</v>
      </c>
      <c r="BG53" s="20">
        <f t="shared" si="7"/>
        <v>451.21996795767319</v>
      </c>
      <c r="BH53" s="59">
        <f t="shared" si="8"/>
        <v>744.55330129100651</v>
      </c>
      <c r="BI53" s="59">
        <f ca="1">AVERAGE(OFFSET($BH$3,0,0,'Données projet'!$E$11+1,1))-AVERAGE(OFFSET($H$3,0,0,'Données projet'!$E$11+1,1))</f>
        <v>280.45463274302153</v>
      </c>
      <c r="BJ53" s="59">
        <f t="shared" si="38"/>
        <v>276.06968650495287</v>
      </c>
      <c r="BK53" s="15">
        <f>IF(ISNA(VLOOKUP(A53,'Données projet'!$A$87:$I$107,3,0)),0,VLOOKUP(A53,'Données projet'!$A$87:$I$107,3,0))</f>
        <v>8</v>
      </c>
      <c r="BL53" s="15">
        <f>IF(ISNA(VLOOKUP(A53,'Données projet'!$A$87:$I$107,4,0)),0,VLOOKUP(A53,'Données projet'!$A$87:$I$107,4,0))</f>
        <v>19</v>
      </c>
      <c r="BM53" s="16">
        <f>IF(ISNA(VLOOKUP(A53,'Données projet'!$A$87:$I$107,5,0)),0%,VLOOKUP(A53,'Données projet'!$A$87:$I$107,5,0)*VLOOKUP('Données projet'!$B$11,Paramètres!$A$1:$I$89,7,0))</f>
        <v>0.318</v>
      </c>
      <c r="BN53" s="16">
        <f>IF(ISNA(VLOOKUP(A53,'Données projet'!$A$87:$I$107,6,0)),0%,VLOOKUP(A53,'Données projet'!$A$87:$I$107,6,0)*VLOOKUP('Données projet'!$B$11,Paramètres!$A$1:$I$89,7,0))</f>
        <v>2.12E-2</v>
      </c>
      <c r="BO53" s="16">
        <f>IF(ISNA(VLOOKUP(A53,'Données projet'!$A$87:$I$107,7,0)),0%,VLOOKUP(A53,'Données projet'!$A$87:$I$107,7,0))</f>
        <v>0.06</v>
      </c>
      <c r="BP53" s="21">
        <f>EXP(-LN(2)/35)*BP52+(1-EXP(-LN(2)/35))/(LN(2)/35)*BL53*BM53*VLOOKUP('Données projet'!$B$11,Paramètres!$A$1:$I$89,3,0)*0.475*44/12</f>
        <v>32.641939743040886</v>
      </c>
      <c r="BQ53" s="21">
        <f>EXP(-LN(2)/25)*BQ52+(1-EXP(-LN(2)/25))/(LN(2)/25)*Calculateur!BL53*Calculateur!BN53*VLOOKUP('Données projet'!$B$11,Paramètres!$A$1:$I$89,3,0)*0.475*44/12</f>
        <v>3.4879691194637603</v>
      </c>
      <c r="BR53" s="21">
        <f>EXP(-LN(2)/2)*BR52+(1-EXP(-LN(2)/2))/(LN(2)/2)*BL53*BO53*VLOOKUP('Données projet'!$B$11,Paramètres!$A$1:$I$89,3,0)*0.475*44/12</f>
        <v>1.1171561260144034</v>
      </c>
      <c r="BS53" s="22">
        <f t="shared" si="9"/>
        <v>37.24706498851905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23.867999999999999</v>
      </c>
      <c r="D54" s="11">
        <f t="shared" si="32"/>
        <v>7.6030930962115368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242.93475372514169</v>
      </c>
      <c r="H54" s="67">
        <f t="shared" si="1"/>
        <v>348.14548714256841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197.99999999999994</v>
      </c>
      <c r="O54" s="13">
        <f>N54*VLOOKUP('Données projet'!$B$9,Paramètres!$A$1:$I$89,3,0)*VLOOKUP('Données projet'!$B$9,Paramètres!$A$1:$I$89,5,0)</f>
        <v>123.55199999999995</v>
      </c>
      <c r="P54" s="13">
        <f t="shared" si="33"/>
        <v>32.502033262579566</v>
      </c>
      <c r="Q54" s="20">
        <f t="shared" si="53"/>
        <v>271.79410793232597</v>
      </c>
      <c r="R54" s="59">
        <f t="shared" si="0"/>
        <v>565.12744126565929</v>
      </c>
      <c r="S54" s="59">
        <f ca="1">AVERAGE(OFFSET($R$3,0,0,'Données projet'!$E$9+1,1))-AVERAGE(OFFSET($H$3,0,0,'Données projet'!$E$9+1,1))</f>
        <v>168.81286953191102</v>
      </c>
      <c r="T54" s="59">
        <f t="shared" si="34"/>
        <v>255.78677933103666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33.416302489702126</v>
      </c>
      <c r="AA54" s="21">
        <f>EXP(-LN(2)/25)*AA53+(1-EXP(-LN(2)/25))/(LN(2)/25)*Calculateur!V54*Calculateur!X54*VLOOKUP('Données projet'!$B$9,Paramètres!$A$1:$I$89,3,0)*0.475*44/12</f>
        <v>43.016795107150458</v>
      </c>
      <c r="AB54" s="21">
        <f>EXP(-LN(2)/2)*AB53+(1-EXP(-LN(2)/2))/(LN(2)/2)*V54*Y54*VLOOKUP('Données projet'!$B$9,Paramètres!$A$1:$I$89,3,0)*0.475*44/12</f>
        <v>1.3525985567148675</v>
      </c>
      <c r="AC54" s="22">
        <f t="shared" si="3"/>
        <v>77.785696153567443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15.2</v>
      </c>
      <c r="AI54" s="13">
        <f>IF('Données projet'!$A$62&gt;35,AI53+AH54-AQ53,IF(A54&lt;'Données projet'!$A$62,$AF$205^A54,IF(A54='Données projet'!$A$62,'Données projet'!$B$62,AI53+AH54-AQ53)))</f>
        <v>377.20000000000016</v>
      </c>
      <c r="AJ54" s="13">
        <f>AI54*VLOOKUP('Données projet'!$B$10,Paramètres!$A$1:$I$89,3,0)*VLOOKUP('Données projet'!$B$10,Paramètres!$A$1:$I$89,5,0)</f>
        <v>225.56560000000013</v>
      </c>
      <c r="AK54" s="13">
        <f t="shared" si="35"/>
        <v>55.322776886773624</v>
      </c>
      <c r="AL54" s="20">
        <f t="shared" si="4"/>
        <v>489.21392307779769</v>
      </c>
      <c r="AM54" s="59">
        <f t="shared" si="5"/>
        <v>782.547256411131</v>
      </c>
      <c r="AN54" s="59">
        <f ca="1">AVERAGE(OFFSET($AM$3,0,0,'Données projet'!$E$10+1,1))-AVERAGE(OFFSET($H$3,0,0,'Données projet'!$E$10+1,1))</f>
        <v>247.08914525784144</v>
      </c>
      <c r="AO54" s="59">
        <f t="shared" si="36"/>
        <v>286.9617518796191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28.443565935409289</v>
      </c>
      <c r="AV54" s="21">
        <f>EXP(-LN(2)/25)*AV53+(1-EXP(-LN(2)/25))/(LN(2)/25)*Calculateur!AQ54*Calculateur!AS54*VLOOKUP('Données projet'!$B$10,Paramètres!$A$1:$I$89,3,0)*0.475*44/12</f>
        <v>32.02492305198956</v>
      </c>
      <c r="AW54" s="21">
        <f>EXP(-LN(2)/2)*AW53+(1-EXP(-LN(2)/2))/(LN(2)/2)*AQ54*AT54*VLOOKUP('Données projet'!$B$10,Paramètres!$A$1:$I$89,3,0)*0.475*44/12</f>
        <v>5.3323314091225793</v>
      </c>
      <c r="AX54" s="21">
        <f t="shared" si="6"/>
        <v>65.800820396521431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7.4</v>
      </c>
      <c r="BD54" s="12">
        <f>IF('Données projet'!$A$88&gt;35,BD53+BC54-BL53,IF(A54&lt;'Données projet'!$A$88,$BA$205^A54,IF(A54='Données projet'!$A$88,'Données projet'!$B$88,BD53+BC54-BL53)))</f>
        <v>249.39999999999998</v>
      </c>
      <c r="BE54" s="13">
        <f>BD54*VLOOKUP('Données projet'!$B$11,Paramètres!$A$1:$I$89,3,0)*VLOOKUP('Données projet'!$B$11,Paramètres!$A$1:$I$89,5,0)</f>
        <v>198.42264</v>
      </c>
      <c r="BF54" s="13">
        <f t="shared" si="37"/>
        <v>49.397352151183256</v>
      </c>
      <c r="BG54" s="20">
        <f t="shared" si="7"/>
        <v>431.61981966331086</v>
      </c>
      <c r="BH54" s="59">
        <f t="shared" si="8"/>
        <v>724.95315299664412</v>
      </c>
      <c r="BI54" s="59">
        <f ca="1">AVERAGE(OFFSET($BH$3,0,0,'Données projet'!$E$11+1,1))-AVERAGE(OFFSET($H$3,0,0,'Données projet'!$E$11+1,1))</f>
        <v>280.45463274302153</v>
      </c>
      <c r="BJ54" s="59">
        <f t="shared" si="38"/>
        <v>276.06968650495287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32.001851214297183</v>
      </c>
      <c r="BQ54" s="21">
        <f>EXP(-LN(2)/25)*BQ53+(1-EXP(-LN(2)/25))/(LN(2)/25)*Calculateur!BL54*Calculateur!BN54*VLOOKUP('Données projet'!$B$11,Paramètres!$A$1:$I$89,3,0)*0.475*44/12</f>
        <v>3.3925904204676995</v>
      </c>
      <c r="BR54" s="21">
        <f>EXP(-LN(2)/2)*BR53+(1-EXP(-LN(2)/2))/(LN(2)/2)*BL54*BO54*VLOOKUP('Données projet'!$B$11,Paramètres!$A$1:$I$89,3,0)*0.475*44/12</f>
        <v>0.78994867234887789</v>
      </c>
      <c r="BS54" s="22">
        <f t="shared" si="9"/>
        <v>36.184390307113759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24.335999999999999</v>
      </c>
      <c r="D55" s="11">
        <f t="shared" si="32"/>
        <v>7.7346711726299766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247.56307571854714</v>
      </c>
      <c r="H55" s="67">
        <f t="shared" si="1"/>
        <v>349.18975229233052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197.99999999999994</v>
      </c>
      <c r="O55" s="13">
        <f>N55*VLOOKUP('Données projet'!$B$9,Paramètres!$A$1:$I$89,3,0)*VLOOKUP('Données projet'!$B$9,Paramètres!$A$1:$I$89,5,0)</f>
        <v>123.55199999999995</v>
      </c>
      <c r="P55" s="13">
        <f t="shared" si="33"/>
        <v>32.502033262579566</v>
      </c>
      <c r="Q55" s="20">
        <f t="shared" si="53"/>
        <v>271.79410793232597</v>
      </c>
      <c r="R55" s="59">
        <f t="shared" si="0"/>
        <v>565.12744126565929</v>
      </c>
      <c r="S55" s="59">
        <f ca="1">AVERAGE(OFFSET($R$3,0,0,'Données projet'!$E$9+1,1))-AVERAGE(OFFSET($H$3,0,0,'Données projet'!$E$9+1,1))</f>
        <v>168.81286953191102</v>
      </c>
      <c r="T55" s="59">
        <f t="shared" si="34"/>
        <v>255.78677933103666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32.76102917981104</v>
      </c>
      <c r="AA55" s="21">
        <f>EXP(-LN(2)/25)*AA54+(1-EXP(-LN(2)/25))/(LN(2)/25)*Calculateur!V55*Calculateur!X55*VLOOKUP('Données projet'!$B$9,Paramètres!$A$1:$I$89,3,0)*0.475*44/12</f>
        <v>41.840498582790488</v>
      </c>
      <c r="AB55" s="21">
        <f>EXP(-LN(2)/2)*AB54+(1-EXP(-LN(2)/2))/(LN(2)/2)*V55*Y55*VLOOKUP('Données projet'!$B$9,Paramètres!$A$1:$I$89,3,0)*0.475*44/12</f>
        <v>0.95643161167621993</v>
      </c>
      <c r="AC55" s="22">
        <f t="shared" si="3"/>
        <v>75.557959374277758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15.2</v>
      </c>
      <c r="AI55" s="13">
        <f>IF('Données projet'!$A$62&gt;35,AI54+AH55-AQ54,IF(A55&lt;'Données projet'!$A$62,$AF$205^A55,IF(A55='Données projet'!$A$62,'Données projet'!$B$62,AI54+AH55-AQ54)))</f>
        <v>392.40000000000015</v>
      </c>
      <c r="AJ55" s="13">
        <f>AI55*VLOOKUP('Données projet'!$B$10,Paramètres!$A$1:$I$89,3,0)*VLOOKUP('Données projet'!$B$10,Paramètres!$A$1:$I$89,5,0)</f>
        <v>234.65520000000009</v>
      </c>
      <c r="AK55" s="13">
        <f t="shared" si="35"/>
        <v>57.288067746850999</v>
      </c>
      <c r="AL55" s="20">
        <f t="shared" si="4"/>
        <v>508.46785799243236</v>
      </c>
      <c r="AM55" s="59">
        <f t="shared" si="5"/>
        <v>801.80119132576567</v>
      </c>
      <c r="AN55" s="59">
        <f ca="1">AVERAGE(OFFSET($AM$3,0,0,'Données projet'!$E$10+1,1))-AVERAGE(OFFSET($H$3,0,0,'Données projet'!$E$10+1,1))</f>
        <v>247.08914525784144</v>
      </c>
      <c r="AO55" s="59">
        <f t="shared" si="36"/>
        <v>286.9617518796191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27.885804956278076</v>
      </c>
      <c r="AV55" s="21">
        <f>EXP(-LN(2)/25)*AV54+(1-EXP(-LN(2)/25))/(LN(2)/25)*Calculateur!AQ55*Calculateur!AS55*VLOOKUP('Données projet'!$B$10,Paramètres!$A$1:$I$89,3,0)*0.475*44/12</f>
        <v>31.149199847015396</v>
      </c>
      <c r="AW55" s="21">
        <f>EXP(-LN(2)/2)*AW54+(1-EXP(-LN(2)/2))/(LN(2)/2)*AQ55*AT55*VLOOKUP('Données projet'!$B$10,Paramètres!$A$1:$I$89,3,0)*0.475*44/12</f>
        <v>3.7705276989245946</v>
      </c>
      <c r="AX55" s="21">
        <f t="shared" si="6"/>
        <v>62.805532502218071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7.4</v>
      </c>
      <c r="BD55" s="12">
        <f>IF('Données projet'!$A$88&gt;35,BD54+BC55-BL54,IF(A55&lt;'Données projet'!$A$88,$BA$205^A55,IF(A55='Données projet'!$A$88,'Données projet'!$B$88,BD54+BC55-BL54)))</f>
        <v>256.79999999999995</v>
      </c>
      <c r="BE55" s="13">
        <f>BD55*VLOOKUP('Données projet'!$B$11,Paramètres!$A$1:$I$89,3,0)*VLOOKUP('Données projet'!$B$11,Paramètres!$A$1:$I$89,5,0)</f>
        <v>204.31008</v>
      </c>
      <c r="BF55" s="13">
        <f t="shared" si="37"/>
        <v>50.690214235398379</v>
      </c>
      <c r="BG55" s="20">
        <f t="shared" si="7"/>
        <v>444.12551245998549</v>
      </c>
      <c r="BH55" s="59">
        <f t="shared" si="8"/>
        <v>737.4588457933188</v>
      </c>
      <c r="BI55" s="59">
        <f ca="1">AVERAGE(OFFSET($BH$3,0,0,'Données projet'!$E$11+1,1))-AVERAGE(OFFSET($H$3,0,0,'Données projet'!$E$11+1,1))</f>
        <v>280.45463274302153</v>
      </c>
      <c r="BJ55" s="59">
        <f t="shared" si="38"/>
        <v>276.06968650495287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31.374314431186693</v>
      </c>
      <c r="BQ55" s="21">
        <f>EXP(-LN(2)/25)*BQ54+(1-EXP(-LN(2)/25))/(LN(2)/25)*Calculateur!BL55*Calculateur!BN55*VLOOKUP('Données projet'!$B$11,Paramètres!$A$1:$I$89,3,0)*0.475*44/12</f>
        <v>3.2998198570114341</v>
      </c>
      <c r="BR55" s="21">
        <f>EXP(-LN(2)/2)*BR54+(1-EXP(-LN(2)/2))/(LN(2)/2)*BL55*BO55*VLOOKUP('Données projet'!$B$11,Paramètres!$A$1:$I$89,3,0)*0.475*44/12</f>
        <v>0.55857806300720181</v>
      </c>
      <c r="BS55" s="22">
        <f t="shared" si="9"/>
        <v>35.232712351205329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24.803999999999998</v>
      </c>
      <c r="D56" s="11">
        <f t="shared" si="32"/>
        <v>7.8659550268183116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252.18912652280798</v>
      </c>
      <c r="H56" s="67">
        <f t="shared" si="1"/>
        <v>350.23350500504188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197.99999999999994</v>
      </c>
      <c r="O56" s="13">
        <f>N56*VLOOKUP('Données projet'!$B$9,Paramètres!$A$1:$I$89,3,0)*VLOOKUP('Données projet'!$B$9,Paramètres!$A$1:$I$89,5,0)</f>
        <v>123.55199999999995</v>
      </c>
      <c r="P56" s="13">
        <f t="shared" si="33"/>
        <v>32.502033262579566</v>
      </c>
      <c r="Q56" s="20">
        <f t="shared" si="53"/>
        <v>271.79410793232597</v>
      </c>
      <c r="R56" s="59">
        <f t="shared" si="0"/>
        <v>565.12744126565929</v>
      </c>
      <c r="S56" s="59">
        <f ca="1">AVERAGE(OFFSET($R$3,0,0,'Données projet'!$E$9+1,1))-AVERAGE(OFFSET($H$3,0,0,'Données projet'!$E$9+1,1))</f>
        <v>168.81286953191102</v>
      </c>
      <c r="T56" s="59">
        <f t="shared" si="34"/>
        <v>255.78677933103666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32.118605379849662</v>
      </c>
      <c r="AA56" s="21">
        <f>EXP(-LN(2)/25)*AA55+(1-EXP(-LN(2)/25))/(LN(2)/25)*Calculateur!V56*Calculateur!X56*VLOOKUP('Données projet'!$B$9,Paramètres!$A$1:$I$89,3,0)*0.475*44/12</f>
        <v>40.696367948747891</v>
      </c>
      <c r="AB56" s="21">
        <f>EXP(-LN(2)/2)*AB55+(1-EXP(-LN(2)/2))/(LN(2)/2)*V56*Y56*VLOOKUP('Données projet'!$B$9,Paramètres!$A$1:$I$89,3,0)*0.475*44/12</f>
        <v>0.67629927835743386</v>
      </c>
      <c r="AC56" s="22">
        <f t="shared" si="3"/>
        <v>73.491272606954979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15.2</v>
      </c>
      <c r="AI56" s="13">
        <f>IF('Données projet'!$A$62&gt;35,AI55+AH56-AQ55,IF(A56&lt;'Données projet'!$A$62,$AF$205^A56,IF(A56='Données projet'!$A$62,'Données projet'!$B$62,AI55+AH56-AQ55)))</f>
        <v>407.60000000000014</v>
      </c>
      <c r="AJ56" s="13">
        <f>AI56*VLOOKUP('Données projet'!$B$10,Paramètres!$A$1:$I$89,3,0)*VLOOKUP('Données projet'!$B$10,Paramètres!$A$1:$I$89,5,0)</f>
        <v>243.74480000000008</v>
      </c>
      <c r="AK56" s="13">
        <f t="shared" si="35"/>
        <v>59.244514980058433</v>
      </c>
      <c r="AL56" s="20">
        <f t="shared" si="4"/>
        <v>527.70639025693515</v>
      </c>
      <c r="AM56" s="59">
        <f t="shared" si="5"/>
        <v>821.03972359026852</v>
      </c>
      <c r="AN56" s="59">
        <f ca="1">AVERAGE(OFFSET($AM$3,0,0,'Données projet'!$E$10+1,1))-AVERAGE(OFFSET($H$3,0,0,'Données projet'!$E$10+1,1))</f>
        <v>247.08914525784144</v>
      </c>
      <c r="AO56" s="59">
        <f t="shared" si="36"/>
        <v>286.9617518796191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27.338981329747021</v>
      </c>
      <c r="AV56" s="21">
        <f>EXP(-LN(2)/25)*AV55+(1-EXP(-LN(2)/25))/(LN(2)/25)*Calculateur!AQ56*Calculateur!AS56*VLOOKUP('Données projet'!$B$10,Paramètres!$A$1:$I$89,3,0)*0.475*44/12</f>
        <v>30.297423339133534</v>
      </c>
      <c r="AW56" s="21">
        <f>EXP(-LN(2)/2)*AW55+(1-EXP(-LN(2)/2))/(LN(2)/2)*AQ56*AT56*VLOOKUP('Données projet'!$B$10,Paramètres!$A$1:$I$89,3,0)*0.475*44/12</f>
        <v>2.6661657045612901</v>
      </c>
      <c r="AX56" s="21">
        <f t="shared" si="6"/>
        <v>60.302570373441846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7.4</v>
      </c>
      <c r="BD56" s="12">
        <f>IF('Données projet'!$A$88&gt;35,BD55+BC56-BL55,IF(A56&lt;'Données projet'!$A$88,$BA$205^A56,IF(A56='Données projet'!$A$88,'Données projet'!$B$88,BD55+BC56-BL55)))</f>
        <v>264.19999999999993</v>
      </c>
      <c r="BE56" s="13">
        <f>BD56*VLOOKUP('Données projet'!$B$11,Paramètres!$A$1:$I$89,3,0)*VLOOKUP('Données projet'!$B$11,Paramètres!$A$1:$I$89,5,0)</f>
        <v>210.19751999999994</v>
      </c>
      <c r="BF56" s="13">
        <f t="shared" si="37"/>
        <v>51.978746425856556</v>
      </c>
      <c r="BG56" s="20">
        <f t="shared" si="7"/>
        <v>456.62366402503341</v>
      </c>
      <c r="BH56" s="59">
        <f t="shared" si="8"/>
        <v>749.95699735836672</v>
      </c>
      <c r="BI56" s="59">
        <f ca="1">AVERAGE(OFFSET($BH$3,0,0,'Données projet'!$E$11+1,1))-AVERAGE(OFFSET($H$3,0,0,'Données projet'!$E$11+1,1))</f>
        <v>280.45463274302153</v>
      </c>
      <c r="BJ56" s="59">
        <f t="shared" si="38"/>
        <v>276.06968650495287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30.759083261633357</v>
      </c>
      <c r="BQ56" s="21">
        <f>EXP(-LN(2)/25)*BQ55+(1-EXP(-LN(2)/25))/(LN(2)/25)*Calculateur!BL56*Calculateur!BN56*VLOOKUP('Données projet'!$B$11,Paramètres!$A$1:$I$89,3,0)*0.475*44/12</f>
        <v>3.2095861094914722</v>
      </c>
      <c r="BR56" s="21">
        <f>EXP(-LN(2)/2)*BR55+(1-EXP(-LN(2)/2))/(LN(2)/2)*BL56*BO56*VLOOKUP('Données projet'!$B$11,Paramètres!$A$1:$I$89,3,0)*0.475*44/12</f>
        <v>0.39497433617443906</v>
      </c>
      <c r="BS56" s="22">
        <f t="shared" si="9"/>
        <v>34.363643707299275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25.271999999999998</v>
      </c>
      <c r="D57" s="11">
        <f t="shared" si="32"/>
        <v>7.996950850258413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256.81295393181932</v>
      </c>
      <c r="H57" s="67">
        <f t="shared" si="1"/>
        <v>351.27675606420007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197.99999999999994</v>
      </c>
      <c r="O57" s="13">
        <f>N57*VLOOKUP('Données projet'!$B$9,Paramètres!$A$1:$I$89,3,0)*VLOOKUP('Données projet'!$B$9,Paramètres!$A$1:$I$89,5,0)</f>
        <v>123.55199999999995</v>
      </c>
      <c r="P57" s="13">
        <f t="shared" si="33"/>
        <v>32.502033262579566</v>
      </c>
      <c r="Q57" s="20">
        <f t="shared" si="53"/>
        <v>271.79410793232597</v>
      </c>
      <c r="R57" s="59">
        <f t="shared" si="0"/>
        <v>565.12744126565929</v>
      </c>
      <c r="S57" s="59">
        <f ca="1">AVERAGE(OFFSET($R$3,0,0,'Données projet'!$E$9+1,1))-AVERAGE(OFFSET($H$3,0,0,'Données projet'!$E$9+1,1))</f>
        <v>168.81286953191102</v>
      </c>
      <c r="T57" s="59">
        <f t="shared" si="34"/>
        <v>255.78677933103666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31.488779118765699</v>
      </c>
      <c r="AA57" s="21">
        <f>EXP(-LN(2)/25)*AA56+(1-EXP(-LN(2)/25))/(LN(2)/25)*Calculateur!V57*Calculateur!X57*VLOOKUP('Données projet'!$B$9,Paramètres!$A$1:$I$89,3,0)*0.475*44/12</f>
        <v>39.583523627060401</v>
      </c>
      <c r="AB57" s="21">
        <f>EXP(-LN(2)/2)*AB56+(1-EXP(-LN(2)/2))/(LN(2)/2)*V57*Y57*VLOOKUP('Données projet'!$B$9,Paramètres!$A$1:$I$89,3,0)*0.475*44/12</f>
        <v>0.47821580583811002</v>
      </c>
      <c r="AC57" s="22">
        <f t="shared" si="3"/>
        <v>71.550518551664211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15.2</v>
      </c>
      <c r="AI57" s="13">
        <f>IF('Données projet'!$A$62&gt;35,AI56+AH57-AQ56,IF(A57&lt;'Données projet'!$A$62,$AF$205^A57,IF(A57='Données projet'!$A$62,'Données projet'!$B$62,AI56+AH57-AQ56)))</f>
        <v>422.80000000000013</v>
      </c>
      <c r="AJ57" s="13">
        <f>AI57*VLOOKUP('Données projet'!$B$10,Paramètres!$A$1:$I$89,3,0)*VLOOKUP('Données projet'!$B$10,Paramètres!$A$1:$I$89,5,0)</f>
        <v>252.83440000000007</v>
      </c>
      <c r="AK57" s="13">
        <f t="shared" si="35"/>
        <v>61.192486141379483</v>
      </c>
      <c r="AL57" s="20">
        <f t="shared" si="4"/>
        <v>546.93016002956938</v>
      </c>
      <c r="AM57" s="59">
        <f t="shared" si="5"/>
        <v>840.26349336290264</v>
      </c>
      <c r="AN57" s="59">
        <f ca="1">AVERAGE(OFFSET($AM$3,0,0,'Données projet'!$E$10+1,1))-AVERAGE(OFFSET($H$3,0,0,'Données projet'!$E$10+1,1))</f>
        <v>247.08914525784144</v>
      </c>
      <c r="AO57" s="59">
        <f t="shared" si="36"/>
        <v>286.9617518796191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26.802880581002761</v>
      </c>
      <c r="AV57" s="21">
        <f>EXP(-LN(2)/25)*AV56+(1-EXP(-LN(2)/25))/(LN(2)/25)*Calculateur!AQ57*Calculateur!AS57*VLOOKUP('Données projet'!$B$10,Paramètres!$A$1:$I$89,3,0)*0.475*44/12</f>
        <v>29.468938704652679</v>
      </c>
      <c r="AW57" s="21">
        <f>EXP(-LN(2)/2)*AW56+(1-EXP(-LN(2)/2))/(LN(2)/2)*AQ57*AT57*VLOOKUP('Données projet'!$B$10,Paramètres!$A$1:$I$89,3,0)*0.475*44/12</f>
        <v>1.8852638494622975</v>
      </c>
      <c r="AX57" s="21">
        <f t="shared" si="6"/>
        <v>58.157083135117738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7.4</v>
      </c>
      <c r="BD57" s="12">
        <f>IF('Données projet'!$A$88&gt;35,BD56+BC57-BL56,IF(A57&lt;'Données projet'!$A$88,$BA$205^A57,IF(A57='Données projet'!$A$88,'Données projet'!$B$88,BD56+BC57-BL56)))</f>
        <v>271.59999999999991</v>
      </c>
      <c r="BE57" s="13">
        <f>BD57*VLOOKUP('Données projet'!$B$11,Paramètres!$A$1:$I$89,3,0)*VLOOKUP('Données projet'!$B$11,Paramètres!$A$1:$I$89,5,0)</f>
        <v>216.08495999999994</v>
      </c>
      <c r="BF57" s="13">
        <f t="shared" si="37"/>
        <v>53.26308393083157</v>
      </c>
      <c r="BG57" s="20">
        <f t="shared" si="7"/>
        <v>469.11450984619819</v>
      </c>
      <c r="BH57" s="59">
        <f t="shared" si="8"/>
        <v>762.44784317953145</v>
      </c>
      <c r="BI57" s="59">
        <f ca="1">AVERAGE(OFFSET($BH$3,0,0,'Données projet'!$E$11+1,1))-AVERAGE(OFFSET($H$3,0,0,'Données projet'!$E$11+1,1))</f>
        <v>280.45463274302153</v>
      </c>
      <c r="BJ57" s="59">
        <f t="shared" si="38"/>
        <v>276.06968650495287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30.155916400061002</v>
      </c>
      <c r="BQ57" s="21">
        <f>EXP(-LN(2)/25)*BQ56+(1-EXP(-LN(2)/25))/(LN(2)/25)*Calculateur!BL57*Calculateur!BN57*VLOOKUP('Données projet'!$B$11,Paramètres!$A$1:$I$89,3,0)*0.475*44/12</f>
        <v>3.1218198085426301</v>
      </c>
      <c r="BR57" s="21">
        <f>EXP(-LN(2)/2)*BR56+(1-EXP(-LN(2)/2))/(LN(2)/2)*BL57*BO57*VLOOKUP('Données projet'!$B$11,Paramètres!$A$1:$I$89,3,0)*0.475*44/12</f>
        <v>0.27928903150360096</v>
      </c>
      <c r="BS57" s="22">
        <f t="shared" si="9"/>
        <v>33.557025240107237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25.74</v>
      </c>
      <c r="D58" s="11">
        <f t="shared" si="32"/>
        <v>8.1276645919917723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261.43460386800666</v>
      </c>
      <c r="H58" s="67">
        <f t="shared" si="1"/>
        <v>352.31951583105229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197.99999999999994</v>
      </c>
      <c r="O58" s="13">
        <f>N58*VLOOKUP('Données projet'!$B$9,Paramètres!$A$1:$I$89,3,0)*VLOOKUP('Données projet'!$B$9,Paramètres!$A$1:$I$89,5,0)</f>
        <v>123.55199999999995</v>
      </c>
      <c r="P58" s="13">
        <f t="shared" si="33"/>
        <v>32.502033262579566</v>
      </c>
      <c r="Q58" s="20">
        <f t="shared" si="53"/>
        <v>271.79410793232597</v>
      </c>
      <c r="R58" s="59">
        <f t="shared" si="0"/>
        <v>565.12744126565929</v>
      </c>
      <c r="S58" s="59">
        <f ca="1">AVERAGE(OFFSET($R$3,0,0,'Données projet'!$E$9+1,1))-AVERAGE(OFFSET($H$3,0,0,'Données projet'!$E$9+1,1))</f>
        <v>168.81286953191102</v>
      </c>
      <c r="T58" s="59">
        <f t="shared" si="34"/>
        <v>255.78677933103666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30.871303366505504</v>
      </c>
      <c r="AA58" s="21">
        <f>EXP(-LN(2)/25)*AA57+(1-EXP(-LN(2)/25))/(LN(2)/25)*Calculateur!V58*Calculateur!X58*VLOOKUP('Données projet'!$B$9,Paramètres!$A$1:$I$89,3,0)*0.475*44/12</f>
        <v>38.501110091871396</v>
      </c>
      <c r="AB58" s="21">
        <f>EXP(-LN(2)/2)*AB57+(1-EXP(-LN(2)/2))/(LN(2)/2)*V58*Y58*VLOOKUP('Données projet'!$B$9,Paramètres!$A$1:$I$89,3,0)*0.475*44/12</f>
        <v>0.33814963917871699</v>
      </c>
      <c r="AC58" s="22">
        <f t="shared" si="3"/>
        <v>69.710563097555621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438</v>
      </c>
      <c r="AG58" s="12">
        <f>VLOOKUP(A58,'Données projet'!$A$61:$I$81,9,0)</f>
        <v>15.2</v>
      </c>
      <c r="AH58" s="12">
        <f t="array" ref="AH58">INDEX(AG:AG,MIN(IF(ISNUMBER(AG58:AG254),ROW(AG58:AG254),"")))</f>
        <v>15.2</v>
      </c>
      <c r="AI58" s="13">
        <f>IF('Données projet'!$A$62&gt;35,AI57+AH58-AQ57,IF(A58&lt;'Données projet'!$A$62,$AF$205^A58,IF(A58='Données projet'!$A$62,'Données projet'!$B$62,AI57+AH58-AQ57)))</f>
        <v>438.00000000000011</v>
      </c>
      <c r="AJ58" s="13">
        <f>AI58*VLOOKUP('Données projet'!$B$10,Paramètres!$A$1:$I$89,3,0)*VLOOKUP('Données projet'!$B$10,Paramètres!$A$1:$I$89,5,0)</f>
        <v>261.92400000000009</v>
      </c>
      <c r="AK58" s="13">
        <f t="shared" si="35"/>
        <v>63.132320859995644</v>
      </c>
      <c r="AL58" s="20">
        <f t="shared" si="4"/>
        <v>566.13975883115916</v>
      </c>
      <c r="AM58" s="59">
        <f t="shared" si="5"/>
        <v>859.47309216449253</v>
      </c>
      <c r="AN58" s="59">
        <f ca="1">AVERAGE(OFFSET($AM$3,0,0,'Données projet'!$E$10+1,1))-AVERAGE(OFFSET($H$3,0,0,'Données projet'!$E$10+1,1))</f>
        <v>247.08914525784144</v>
      </c>
      <c r="AO58" s="59">
        <f t="shared" si="36"/>
        <v>286.9617518796191</v>
      </c>
      <c r="AP58" s="15">
        <f>IF(ISNA(VLOOKUP(A58,'Données projet'!$A$61:$I$81,3,0)),0,VLOOKUP(A58,'Données projet'!$A$61:$I$81,3,0))</f>
        <v>8</v>
      </c>
      <c r="AQ58" s="15">
        <f>IF(ISNA(VLOOKUP(A58,'Données projet'!$A$61:$I$81,4,0)),0,VLOOKUP(A58,'Données projet'!$A$61:$I$81,4,0))</f>
        <v>38</v>
      </c>
      <c r="AR58" s="16">
        <f>IF(ISNA(VLOOKUP(A58,'Données projet'!$A$61:$I$81,5,0)),0%,VLOOKUP(A58,'Données projet'!$A$61:$I$81,5,0)*VLOOKUP('Données projet'!$B$10,Paramètres!$A$1:$I$89,7,0))</f>
        <v>0.22500000000000001</v>
      </c>
      <c r="AS58" s="16">
        <f>IF(ISNA(VLOOKUP(A58,'Données projet'!$A$61:$I$81,6,0)),0%,VLOOKUP(A58,'Données projet'!$A$61:$I$81,6,0)*VLOOKUP('Données projet'!$B$10,Paramètres!$A$1:$I$89,7,0))</f>
        <v>0.13500000000000001</v>
      </c>
      <c r="AT58" s="16">
        <f>IF(ISNA(VLOOKUP(A58,'Données projet'!$A$61:$I$81,7,0)),0%,VLOOKUP(A58,'Données projet'!$A$61:$I$81,7,0))</f>
        <v>0.2</v>
      </c>
      <c r="AU58" s="21">
        <f>EXP(-LN(2)/35)*AU57+(1-EXP(-LN(2)/35))/(LN(2)/35)*AQ58*AR58*VLOOKUP('Données projet'!$B$10,Paramètres!$A$1:$I$89,3,0)*0.475*44/12</f>
        <v>33.059883845169033</v>
      </c>
      <c r="AV58" s="21">
        <f>EXP(-LN(2)/25)*AV57+(1-EXP(-LN(2)/25))/(LN(2)/25)*Calculateur!AQ58*Calculateur!AS58*VLOOKUP('Données projet'!$B$10,Paramètres!$A$1:$I$89,3,0)*0.475*44/12</f>
        <v>32.716640480562909</v>
      </c>
      <c r="AW58" s="21">
        <f>EXP(-LN(2)/2)*AW57+(1-EXP(-LN(2)/2))/(LN(2)/2)*AQ58*AT58*VLOOKUP('Données projet'!$B$10,Paramètres!$A$1:$I$89,3,0)*0.475*44/12</f>
        <v>6.4788521980789273</v>
      </c>
      <c r="AX58" s="21">
        <f t="shared" si="6"/>
        <v>72.255376523810867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>
        <f>VLOOKUP(A58,'Données projet'!$A$87:$I$107,2,0)</f>
        <v>279</v>
      </c>
      <c r="BB58" s="12">
        <f>VLOOKUP(A58,'Données projet'!$A$87:$I$107,9,0)</f>
        <v>7.4</v>
      </c>
      <c r="BC58" s="12">
        <f t="array" ref="BC58">INDEX(BB:BB,MIN(IF(ISNUMBER(BB58:BB254),ROW(BB58:BB254),"")))</f>
        <v>7.4</v>
      </c>
      <c r="BD58" s="12">
        <f>IF('Données projet'!$A$88&gt;35,BD57+BC58-BL57,IF(A58&lt;'Données projet'!$A$88,$BA$205^A58,IF(A58='Données projet'!$A$88,'Données projet'!$B$88,BD57+BC58-BL57)))</f>
        <v>278.99999999999989</v>
      </c>
      <c r="BE58" s="13">
        <f>BD58*VLOOKUP('Données projet'!$B$11,Paramètres!$A$1:$I$89,3,0)*VLOOKUP('Données projet'!$B$11,Paramètres!$A$1:$I$89,5,0)</f>
        <v>221.97239999999991</v>
      </c>
      <c r="BF58" s="13">
        <f t="shared" si="37"/>
        <v>54.543354171476771</v>
      </c>
      <c r="BG58" s="20">
        <f t="shared" si="7"/>
        <v>481.5982718486552</v>
      </c>
      <c r="BH58" s="59">
        <f t="shared" si="8"/>
        <v>774.93160518198852</v>
      </c>
      <c r="BI58" s="59">
        <f ca="1">AVERAGE(OFFSET($BH$3,0,0,'Données projet'!$E$11+1,1))-AVERAGE(OFFSET($H$3,0,0,'Données projet'!$E$11+1,1))</f>
        <v>280.45463274302153</v>
      </c>
      <c r="BJ58" s="59">
        <f t="shared" si="38"/>
        <v>276.06968650495287</v>
      </c>
      <c r="BK58" s="15">
        <f>IF(ISNA(VLOOKUP(A58,'Données projet'!$A$87:$I$107,3,0)),0,VLOOKUP(A58,'Données projet'!$A$87:$I$107,3,0))</f>
        <v>9</v>
      </c>
      <c r="BL58" s="15">
        <f>IF(ISNA(VLOOKUP(A58,'Données projet'!$A$87:$I$107,4,0)),0,VLOOKUP(A58,'Données projet'!$A$87:$I$107,4,0))</f>
        <v>16</v>
      </c>
      <c r="BM58" s="16">
        <f>IF(ISNA(VLOOKUP(A58,'Données projet'!$A$87:$I$107,5,0)),0%,VLOOKUP(A58,'Données projet'!$A$87:$I$107,5,0)*VLOOKUP('Données projet'!$B$11,Paramètres!$A$1:$I$89,7,0))</f>
        <v>0.42400000000000004</v>
      </c>
      <c r="BN58" s="16">
        <f>IF(ISNA(VLOOKUP(A58,'Données projet'!$A$87:$I$107,6,0)),0%,VLOOKUP(A58,'Données projet'!$A$87:$I$107,6,0)*VLOOKUP('Données projet'!$B$11,Paramètres!$A$1:$I$89,7,0))</f>
        <v>2.12E-2</v>
      </c>
      <c r="BO58" s="16">
        <f>IF(ISNA(VLOOKUP(A58,'Données projet'!$A$87:$I$107,7,0)),0%,VLOOKUP(A58,'Données projet'!$A$87:$I$107,7,0))</f>
        <v>0.06</v>
      </c>
      <c r="BP58" s="21">
        <f>EXP(-LN(2)/35)*BP57+(1-EXP(-LN(2)/35))/(LN(2)/35)*BL58*BM58*VLOOKUP('Données projet'!$B$11,Paramètres!$A$1:$I$89,3,0)*0.475*44/12</f>
        <v>35.531188267908945</v>
      </c>
      <c r="BQ58" s="21">
        <f>EXP(-LN(2)/25)*BQ57+(1-EXP(-LN(2)/25))/(LN(2)/25)*Calculateur!BL58*Calculateur!BN58*VLOOKUP('Données projet'!$B$11,Paramètres!$A$1:$I$89,3,0)*0.475*44/12</f>
        <v>3.3336093904194306</v>
      </c>
      <c r="BR58" s="21">
        <f>EXP(-LN(2)/2)*BR57+(1-EXP(-LN(2)/2))/(LN(2)/2)*BL58*BO58*VLOOKUP('Données projet'!$B$11,Paramètres!$A$1:$I$89,3,0)*0.475*44/12</f>
        <v>0.91813038081686449</v>
      </c>
      <c r="BS58" s="22">
        <f t="shared" si="9"/>
        <v>39.78292803914524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26.207999999999998</v>
      </c>
      <c r="D59" s="11">
        <f t="shared" si="32"/>
        <v>8.2581019723450986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266.05412048827799</v>
      </c>
      <c r="H59" s="67">
        <f t="shared" si="1"/>
        <v>353.361794268501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197.99999999999994</v>
      </c>
      <c r="O59" s="13">
        <f>N59*VLOOKUP('Données projet'!$B$9,Paramètres!$A$1:$I$89,3,0)*VLOOKUP('Données projet'!$B$9,Paramètres!$A$1:$I$89,5,0)</f>
        <v>123.55199999999995</v>
      </c>
      <c r="P59" s="13">
        <f t="shared" si="33"/>
        <v>32.502033262579566</v>
      </c>
      <c r="Q59" s="20">
        <f t="shared" si="53"/>
        <v>271.79410793232597</v>
      </c>
      <c r="R59" s="59">
        <f t="shared" si="0"/>
        <v>565.12744126565929</v>
      </c>
      <c r="S59" s="59">
        <f ca="1">AVERAGE(OFFSET($R$3,0,0,'Données projet'!$E$9+1,1))-AVERAGE(OFFSET($H$3,0,0,'Données projet'!$E$9+1,1))</f>
        <v>168.81286953191102</v>
      </c>
      <c r="T59" s="59">
        <f t="shared" si="34"/>
        <v>255.78677933103666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30.265935937124112</v>
      </c>
      <c r="AA59" s="21">
        <f>EXP(-LN(2)/25)*AA58+(1-EXP(-LN(2)/25))/(LN(2)/25)*Calculateur!V59*Calculateur!X59*VLOOKUP('Données projet'!$B$9,Paramètres!$A$1:$I$89,3,0)*0.475*44/12</f>
        <v>37.448295211723789</v>
      </c>
      <c r="AB59" s="21">
        <f>EXP(-LN(2)/2)*AB58+(1-EXP(-LN(2)/2))/(LN(2)/2)*V59*Y59*VLOOKUP('Données projet'!$B$9,Paramètres!$A$1:$I$89,3,0)*0.475*44/12</f>
        <v>0.23910790291905504</v>
      </c>
      <c r="AC59" s="22">
        <f t="shared" si="3"/>
        <v>67.95333905176696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13.6</v>
      </c>
      <c r="AI59" s="13">
        <f>IF('Données projet'!$A$62&gt;35,AI58+AH59-AQ58,IF(A59&lt;'Données projet'!$A$62,$AF$205^A59,IF(A59='Données projet'!$A$62,'Données projet'!$B$62,AI58+AH59-AQ58)))</f>
        <v>413.60000000000014</v>
      </c>
      <c r="AJ59" s="13">
        <f>AI59*VLOOKUP('Données projet'!$B$10,Paramètres!$A$1:$I$89,3,0)*VLOOKUP('Données projet'!$B$10,Paramètres!$A$1:$I$89,5,0)</f>
        <v>247.33280000000008</v>
      </c>
      <c r="AK59" s="13">
        <f t="shared" si="35"/>
        <v>60.014444064381088</v>
      </c>
      <c r="AL59" s="20">
        <f t="shared" si="4"/>
        <v>535.29645007879719</v>
      </c>
      <c r="AM59" s="59">
        <f t="shared" si="5"/>
        <v>828.62978341213056</v>
      </c>
      <c r="AN59" s="59">
        <f ca="1">AVERAGE(OFFSET($AM$3,0,0,'Données projet'!$E$10+1,1))-AVERAGE(OFFSET($H$3,0,0,'Données projet'!$E$10+1,1))</f>
        <v>247.08914525784144</v>
      </c>
      <c r="AO59" s="59">
        <f t="shared" si="36"/>
        <v>286.9617518796191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32.411599687503333</v>
      </c>
      <c r="AV59" s="21">
        <f>EXP(-LN(2)/25)*AV58+(1-EXP(-LN(2)/25))/(LN(2)/25)*Calculateur!AQ59*Calculateur!AS59*VLOOKUP('Données projet'!$B$10,Paramètres!$A$1:$I$89,3,0)*0.475*44/12</f>
        <v>31.822002226128568</v>
      </c>
      <c r="AW59" s="21">
        <f>EXP(-LN(2)/2)*AW58+(1-EXP(-LN(2)/2))/(LN(2)/2)*AQ59*AT59*VLOOKUP('Données projet'!$B$10,Paramètres!$A$1:$I$89,3,0)*0.475*44/12</f>
        <v>4.5812403235669787</v>
      </c>
      <c r="AX59" s="21">
        <f t="shared" si="6"/>
        <v>68.814842237198874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6.2</v>
      </c>
      <c r="BD59" s="12">
        <f>IF('Données projet'!$A$88&gt;35,BD58+BC59-BL58,IF(A59&lt;'Données projet'!$A$88,$BA$205^A59,IF(A59='Données projet'!$A$88,'Données projet'!$B$88,BD58+BC59-BL58)))</f>
        <v>269.19999999999987</v>
      </c>
      <c r="BE59" s="13">
        <f>BD59*VLOOKUP('Données projet'!$B$11,Paramètres!$A$1:$I$89,3,0)*VLOOKUP('Données projet'!$B$11,Paramètres!$A$1:$I$89,5,0)</f>
        <v>214.17551999999992</v>
      </c>
      <c r="BF59" s="13">
        <f t="shared" si="37"/>
        <v>52.846993696165399</v>
      </c>
      <c r="BG59" s="20">
        <f t="shared" si="7"/>
        <v>465.06421135415462</v>
      </c>
      <c r="BH59" s="59">
        <f t="shared" si="8"/>
        <v>758.39754468748788</v>
      </c>
      <c r="BI59" s="59">
        <f ca="1">AVERAGE(OFFSET($BH$3,0,0,'Données projet'!$E$11+1,1))-AVERAGE(OFFSET($H$3,0,0,'Données projet'!$E$11+1,1))</f>
        <v>280.45463274302153</v>
      </c>
      <c r="BJ59" s="59">
        <f t="shared" si="38"/>
        <v>276.06968650495287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34.834443337860172</v>
      </c>
      <c r="BQ59" s="21">
        <f>EXP(-LN(2)/25)*BQ58+(1-EXP(-LN(2)/25))/(LN(2)/25)*Calculateur!BL59*Calculateur!BN59*VLOOKUP('Données projet'!$B$11,Paramètres!$A$1:$I$89,3,0)*0.475*44/12</f>
        <v>3.2424516663315126</v>
      </c>
      <c r="BR59" s="21">
        <f>EXP(-LN(2)/2)*BR58+(1-EXP(-LN(2)/2))/(LN(2)/2)*BL59*BO59*VLOOKUP('Données projet'!$B$11,Paramètres!$A$1:$I$89,3,0)*0.475*44/12</f>
        <v>0.64921621828899223</v>
      </c>
      <c r="BS59" s="22">
        <f t="shared" si="9"/>
        <v>38.726111222480675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26.675999999999998</v>
      </c>
      <c r="D60" s="11">
        <f t="shared" si="32"/>
        <v>8.388268495647786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270.67154628219339</v>
      </c>
      <c r="H60" s="67">
        <f t="shared" si="1"/>
        <v>354.40360096325321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197.99999999999994</v>
      </c>
      <c r="O60" s="13">
        <f>N60*VLOOKUP('Données projet'!$B$9,Paramètres!$A$1:$I$89,3,0)*VLOOKUP('Données projet'!$B$9,Paramètres!$A$1:$I$89,5,0)</f>
        <v>123.55199999999995</v>
      </c>
      <c r="P60" s="13">
        <f t="shared" si="33"/>
        <v>32.502033262579566</v>
      </c>
      <c r="Q60" s="20">
        <f t="shared" si="53"/>
        <v>271.79410793232597</v>
      </c>
      <c r="R60" s="59">
        <f t="shared" si="0"/>
        <v>565.12744126565929</v>
      </c>
      <c r="S60" s="59">
        <f ca="1">AVERAGE(OFFSET($R$3,0,0,'Données projet'!$E$9+1,1))-AVERAGE(OFFSET($H$3,0,0,'Données projet'!$E$9+1,1))</f>
        <v>168.81286953191102</v>
      </c>
      <c r="T60" s="59">
        <f t="shared" si="34"/>
        <v>255.78677933103666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29.672439393795216</v>
      </c>
      <c r="AA60" s="21">
        <f>EXP(-LN(2)/25)*AA59+(1-EXP(-LN(2)/25))/(LN(2)/25)*Calculateur!V60*Calculateur!X60*VLOOKUP('Données projet'!$B$9,Paramètres!$A$1:$I$89,3,0)*0.475*44/12</f>
        <v>36.424269609838944</v>
      </c>
      <c r="AB60" s="21">
        <f>EXP(-LN(2)/2)*AB59+(1-EXP(-LN(2)/2))/(LN(2)/2)*V60*Y60*VLOOKUP('Données projet'!$B$9,Paramètres!$A$1:$I$89,3,0)*0.475*44/12</f>
        <v>0.16907481958935852</v>
      </c>
      <c r="AC60" s="22">
        <f t="shared" si="3"/>
        <v>66.265783823223515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13.6</v>
      </c>
      <c r="AI60" s="13">
        <f>IF('Données projet'!$A$62&gt;35,AI59+AH60-AQ59,IF(A60&lt;'Données projet'!$A$62,$AF$205^A60,IF(A60='Données projet'!$A$62,'Données projet'!$B$62,AI59+AH60-AQ59)))</f>
        <v>427.20000000000016</v>
      </c>
      <c r="AJ60" s="13">
        <f>AI60*VLOOKUP('Données projet'!$B$10,Paramètres!$A$1:$I$89,3,0)*VLOOKUP('Données projet'!$B$10,Paramètres!$A$1:$I$89,5,0)</f>
        <v>255.46560000000011</v>
      </c>
      <c r="AK60" s="13">
        <f t="shared" si="35"/>
        <v>61.754839632117942</v>
      </c>
      <c r="AL60" s="20">
        <f t="shared" si="4"/>
        <v>552.49226569260554</v>
      </c>
      <c r="AM60" s="59">
        <f t="shared" si="5"/>
        <v>845.8255990259388</v>
      </c>
      <c r="AN60" s="59">
        <f ca="1">AVERAGE(OFFSET($AM$3,0,0,'Données projet'!$E$10+1,1))-AVERAGE(OFFSET($H$3,0,0,'Données projet'!$E$10+1,1))</f>
        <v>247.08914525784144</v>
      </c>
      <c r="AO60" s="59">
        <f t="shared" si="36"/>
        <v>286.9617518796191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31.776027986755164</v>
      </c>
      <c r="AV60" s="21">
        <f>EXP(-LN(2)/25)*AV59+(1-EXP(-LN(2)/25))/(LN(2)/25)*Calculateur!AQ60*Calculateur!AS60*VLOOKUP('Données projet'!$B$10,Paramètres!$A$1:$I$89,3,0)*0.475*44/12</f>
        <v>30.951827901808716</v>
      </c>
      <c r="AW60" s="21">
        <f>EXP(-LN(2)/2)*AW59+(1-EXP(-LN(2)/2))/(LN(2)/2)*AQ60*AT60*VLOOKUP('Données projet'!$B$10,Paramètres!$A$1:$I$89,3,0)*0.475*44/12</f>
        <v>3.2394260990394641</v>
      </c>
      <c r="AX60" s="21">
        <f t="shared" si="6"/>
        <v>65.967281987603343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6.2</v>
      </c>
      <c r="BD60" s="12">
        <f>IF('Données projet'!$A$88&gt;35,BD59+BC60-BL59,IF(A60&lt;'Données projet'!$A$88,$BA$205^A60,IF(A60='Données projet'!$A$88,'Données projet'!$B$88,BD59+BC60-BL59)))</f>
        <v>275.39999999999986</v>
      </c>
      <c r="BE60" s="13">
        <f>BD60*VLOOKUP('Données projet'!$B$11,Paramètres!$A$1:$I$89,3,0)*VLOOKUP('Données projet'!$B$11,Paramètres!$A$1:$I$89,5,0)</f>
        <v>219.10823999999988</v>
      </c>
      <c r="BF60" s="13">
        <f t="shared" si="37"/>
        <v>53.921020297295854</v>
      </c>
      <c r="BG60" s="20">
        <f t="shared" si="7"/>
        <v>475.52596168445672</v>
      </c>
      <c r="BH60" s="59">
        <f t="shared" si="8"/>
        <v>768.85929501779003</v>
      </c>
      <c r="BI60" s="59">
        <f ca="1">AVERAGE(OFFSET($BH$3,0,0,'Données projet'!$E$11+1,1))-AVERAGE(OFFSET($H$3,0,0,'Données projet'!$E$11+1,1))</f>
        <v>280.45463274302153</v>
      </c>
      <c r="BJ60" s="59">
        <f t="shared" si="38"/>
        <v>276.06968650495287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34.151361150917211</v>
      </c>
      <c r="BQ60" s="21">
        <f>EXP(-LN(2)/25)*BQ59+(1-EXP(-LN(2)/25))/(LN(2)/25)*Calculateur!BL60*Calculateur!BN60*VLOOKUP('Données projet'!$B$11,Paramètres!$A$1:$I$89,3,0)*0.475*44/12</f>
        <v>3.1537866550025551</v>
      </c>
      <c r="BR60" s="21">
        <f>EXP(-LN(2)/2)*BR59+(1-EXP(-LN(2)/2))/(LN(2)/2)*BL60*BO60*VLOOKUP('Données projet'!$B$11,Paramètres!$A$1:$I$89,3,0)*0.475*44/12</f>
        <v>0.45906519040843236</v>
      </c>
      <c r="BS60" s="22">
        <f t="shared" si="9"/>
        <v>37.764212996328197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27.143999999999998</v>
      </c>
      <c r="D61" s="11">
        <f t="shared" si="32"/>
        <v>8.5181694620316346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275.2869221630512</v>
      </c>
      <c r="H61" s="67">
        <f t="shared" si="1"/>
        <v>355.44494514637177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197.99999999999994</v>
      </c>
      <c r="O61" s="13">
        <f>N61*VLOOKUP('Données projet'!$B$9,Paramètres!$A$1:$I$89,3,0)*VLOOKUP('Données projet'!$B$9,Paramètres!$A$1:$I$89,5,0)</f>
        <v>123.55199999999995</v>
      </c>
      <c r="P61" s="13">
        <f t="shared" si="33"/>
        <v>32.502033262579566</v>
      </c>
      <c r="Q61" s="20">
        <f t="shared" si="53"/>
        <v>271.79410793232597</v>
      </c>
      <c r="R61" s="59">
        <f t="shared" si="0"/>
        <v>565.12744126565929</v>
      </c>
      <c r="S61" s="59">
        <f ca="1">AVERAGE(OFFSET($R$3,0,0,'Données projet'!$E$9+1,1))-AVERAGE(OFFSET($H$3,0,0,'Données projet'!$E$9+1,1))</f>
        <v>168.81286953191102</v>
      </c>
      <c r="T61" s="59">
        <f t="shared" si="34"/>
        <v>255.78677933103666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29.090580955683855</v>
      </c>
      <c r="AA61" s="21">
        <f>EXP(-LN(2)/25)*AA60+(1-EXP(-LN(2)/25))/(LN(2)/25)*Calculateur!V61*Calculateur!X61*VLOOKUP('Données projet'!$B$9,Paramètres!$A$1:$I$89,3,0)*0.475*44/12</f>
        <v>35.428246041888805</v>
      </c>
      <c r="AB61" s="21">
        <f>EXP(-LN(2)/2)*AB60+(1-EXP(-LN(2)/2))/(LN(2)/2)*V61*Y61*VLOOKUP('Données projet'!$B$9,Paramètres!$A$1:$I$89,3,0)*0.475*44/12</f>
        <v>0.11955395145952755</v>
      </c>
      <c r="AC61" s="22">
        <f t="shared" si="3"/>
        <v>64.638380949032182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13.6</v>
      </c>
      <c r="AI61" s="13">
        <f>IF('Données projet'!$A$62&gt;35,AI60+AH61-AQ60,IF(A61&lt;'Données projet'!$A$62,$AF$205^A61,IF(A61='Données projet'!$A$62,'Données projet'!$B$62,AI60+AH61-AQ60)))</f>
        <v>440.80000000000018</v>
      </c>
      <c r="AJ61" s="13">
        <f>AI61*VLOOKUP('Données projet'!$B$10,Paramètres!$A$1:$I$89,3,0)*VLOOKUP('Données projet'!$B$10,Paramètres!$A$1:$I$89,5,0)</f>
        <v>263.59840000000014</v>
      </c>
      <c r="AK61" s="13">
        <f t="shared" si="35"/>
        <v>63.488796744229134</v>
      </c>
      <c r="AL61" s="20">
        <f t="shared" si="4"/>
        <v>569.67686766286602</v>
      </c>
      <c r="AM61" s="59">
        <f t="shared" si="5"/>
        <v>863.01020099619927</v>
      </c>
      <c r="AN61" s="59">
        <f ca="1">AVERAGE(OFFSET($AM$3,0,0,'Données projet'!$E$10+1,1))-AVERAGE(OFFSET($H$3,0,0,'Données projet'!$E$10+1,1))</f>
        <v>247.08914525784144</v>
      </c>
      <c r="AO61" s="59">
        <f t="shared" si="36"/>
        <v>286.9617518796191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31.152919459398206</v>
      </c>
      <c r="AV61" s="21">
        <f>EXP(-LN(2)/25)*AV60+(1-EXP(-LN(2)/25))/(LN(2)/25)*Calculateur!AQ61*Calculateur!AS61*VLOOKUP('Données projet'!$B$10,Paramètres!$A$1:$I$89,3,0)*0.475*44/12</f>
        <v>30.105448540147869</v>
      </c>
      <c r="AW61" s="21">
        <f>EXP(-LN(2)/2)*AW60+(1-EXP(-LN(2)/2))/(LN(2)/2)*AQ61*AT61*VLOOKUP('Données projet'!$B$10,Paramètres!$A$1:$I$89,3,0)*0.475*44/12</f>
        <v>2.2906201617834898</v>
      </c>
      <c r="AX61" s="21">
        <f t="shared" si="6"/>
        <v>63.548988161329561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6.2</v>
      </c>
      <c r="BD61" s="12">
        <f>IF('Données projet'!$A$88&gt;35,BD60+BC61-BL60,IF(A61&lt;'Données projet'!$A$88,$BA$205^A61,IF(A61='Données projet'!$A$88,'Données projet'!$B$88,BD60+BC61-BL60)))</f>
        <v>281.59999999999985</v>
      </c>
      <c r="BE61" s="13">
        <f>BD61*VLOOKUP('Données projet'!$B$11,Paramètres!$A$1:$I$89,3,0)*VLOOKUP('Données projet'!$B$11,Paramètres!$A$1:$I$89,5,0)</f>
        <v>224.0409599999999</v>
      </c>
      <c r="BF61" s="13">
        <f t="shared" si="37"/>
        <v>54.992235867381233</v>
      </c>
      <c r="BG61" s="20">
        <f t="shared" si="7"/>
        <v>485.98281613568884</v>
      </c>
      <c r="BH61" s="59">
        <f t="shared" si="8"/>
        <v>779.31614946902209</v>
      </c>
      <c r="BI61" s="59">
        <f ca="1">AVERAGE(OFFSET($BH$3,0,0,'Données projet'!$E$11+1,1))-AVERAGE(OFFSET($H$3,0,0,'Données projet'!$E$11+1,1))</f>
        <v>280.45463274302153</v>
      </c>
      <c r="BJ61" s="59">
        <f t="shared" si="38"/>
        <v>276.06968650495287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33.481673789021208</v>
      </c>
      <c r="BQ61" s="21">
        <f>EXP(-LN(2)/25)*BQ60+(1-EXP(-LN(2)/25))/(LN(2)/25)*Calculateur!BL61*Calculateur!BN61*VLOOKUP('Données projet'!$B$11,Paramètres!$A$1:$I$89,3,0)*0.475*44/12</f>
        <v>3.0675461930710779</v>
      </c>
      <c r="BR61" s="21">
        <f>EXP(-LN(2)/2)*BR60+(1-EXP(-LN(2)/2))/(LN(2)/2)*BL61*BO61*VLOOKUP('Données projet'!$B$11,Paramètres!$A$1:$I$89,3,0)*0.475*44/12</f>
        <v>0.32460810914449617</v>
      </c>
      <c r="BS61" s="22">
        <f t="shared" si="9"/>
        <v>36.873828091236788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27.611999999999998</v>
      </c>
      <c r="D62" s="11">
        <f t="shared" si="32"/>
        <v>8.6478099783937541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279.90028755251325</v>
      </c>
      <c r="H62" s="67">
        <f t="shared" si="1"/>
        <v>356.48583571236912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197.99999999999994</v>
      </c>
      <c r="O62" s="13">
        <f>N62*VLOOKUP('Données projet'!$B$9,Paramètres!$A$1:$I$89,3,0)*VLOOKUP('Données projet'!$B$9,Paramètres!$A$1:$I$89,5,0)</f>
        <v>123.55199999999995</v>
      </c>
      <c r="P62" s="13">
        <f t="shared" si="33"/>
        <v>32.502033262579566</v>
      </c>
      <c r="Q62" s="20">
        <f t="shared" si="53"/>
        <v>271.79410793232597</v>
      </c>
      <c r="R62" s="59">
        <f t="shared" si="0"/>
        <v>565.12744126565929</v>
      </c>
      <c r="S62" s="59">
        <f ca="1">AVERAGE(OFFSET($R$3,0,0,'Données projet'!$E$9+1,1))-AVERAGE(OFFSET($H$3,0,0,'Données projet'!$E$9+1,1))</f>
        <v>168.81286953191102</v>
      </c>
      <c r="T62" s="59">
        <f t="shared" si="34"/>
        <v>255.78677933103666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28.520132406645253</v>
      </c>
      <c r="AA62" s="21">
        <f>EXP(-LN(2)/25)*AA61+(1-EXP(-LN(2)/25))/(LN(2)/25)*Calculateur!V62*Calculateur!X62*VLOOKUP('Données projet'!$B$9,Paramètres!$A$1:$I$89,3,0)*0.475*44/12</f>
        <v>34.459458790782868</v>
      </c>
      <c r="AB62" s="21">
        <f>EXP(-LN(2)/2)*AB61+(1-EXP(-LN(2)/2))/(LN(2)/2)*V62*Y62*VLOOKUP('Données projet'!$B$9,Paramètres!$A$1:$I$89,3,0)*0.475*44/12</f>
        <v>8.4537409794679275E-2</v>
      </c>
      <c r="AC62" s="22">
        <f t="shared" si="3"/>
        <v>63.064128607222798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13.6</v>
      </c>
      <c r="AI62" s="13">
        <f>IF('Données projet'!$A$62&gt;35,AI61+AH62-AQ61,IF(A62&lt;'Données projet'!$A$62,$AF$205^A62,IF(A62='Données projet'!$A$62,'Données projet'!$B$62,AI61+AH62-AQ61)))</f>
        <v>454.4000000000002</v>
      </c>
      <c r="AJ62" s="13">
        <f>AI62*VLOOKUP('Données projet'!$B$10,Paramètres!$A$1:$I$89,3,0)*VLOOKUP('Données projet'!$B$10,Paramètres!$A$1:$I$89,5,0)</f>
        <v>271.73120000000017</v>
      </c>
      <c r="AK62" s="13">
        <f t="shared" si="35"/>
        <v>65.216536842235598</v>
      </c>
      <c r="AL62" s="20">
        <f t="shared" si="4"/>
        <v>586.85064166689392</v>
      </c>
      <c r="AM62" s="59">
        <f t="shared" si="5"/>
        <v>880.18397500022729</v>
      </c>
      <c r="AN62" s="59">
        <f ca="1">AVERAGE(OFFSET($AM$3,0,0,'Données projet'!$E$10+1,1))-AVERAGE(OFFSET($H$3,0,0,'Données projet'!$E$10+1,1))</f>
        <v>247.08914525784144</v>
      </c>
      <c r="AO62" s="59">
        <f t="shared" si="36"/>
        <v>286.9617518796191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30.542029710204044</v>
      </c>
      <c r="AV62" s="21">
        <f>EXP(-LN(2)/25)*AV61+(1-EXP(-LN(2)/25))/(LN(2)/25)*Calculateur!AQ62*Calculateur!AS62*VLOOKUP('Données projet'!$B$10,Paramètres!$A$1:$I$89,3,0)*0.475*44/12</f>
        <v>29.282213466640794</v>
      </c>
      <c r="AW62" s="21">
        <f>EXP(-LN(2)/2)*AW61+(1-EXP(-LN(2)/2))/(LN(2)/2)*AQ62*AT62*VLOOKUP('Données projet'!$B$10,Paramètres!$A$1:$I$89,3,0)*0.475*44/12</f>
        <v>1.6197130495197323</v>
      </c>
      <c r="AX62" s="21">
        <f t="shared" si="6"/>
        <v>61.44395622636457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6.2</v>
      </c>
      <c r="BD62" s="12">
        <f>IF('Données projet'!$A$88&gt;35,BD61+BC62-BL61,IF(A62&lt;'Données projet'!$A$88,$BA$205^A62,IF(A62='Données projet'!$A$88,'Données projet'!$B$88,BD61+BC62-BL61)))</f>
        <v>287.79999999999984</v>
      </c>
      <c r="BE62" s="13">
        <f>BD62*VLOOKUP('Données projet'!$B$11,Paramètres!$A$1:$I$89,3,0)*VLOOKUP('Données projet'!$B$11,Paramètres!$A$1:$I$89,5,0)</f>
        <v>228.97367999999992</v>
      </c>
      <c r="BF62" s="13">
        <f t="shared" si="37"/>
        <v>56.060709423888284</v>
      </c>
      <c r="BG62" s="20">
        <f t="shared" si="7"/>
        <v>496.43489491327199</v>
      </c>
      <c r="BH62" s="59">
        <f t="shared" si="8"/>
        <v>789.7682282466053</v>
      </c>
      <c r="BI62" s="59">
        <f ca="1">AVERAGE(OFFSET($BH$3,0,0,'Données projet'!$E$11+1,1))-AVERAGE(OFFSET($H$3,0,0,'Données projet'!$E$11+1,1))</f>
        <v>280.45463274302153</v>
      </c>
      <c r="BJ62" s="59">
        <f t="shared" si="38"/>
        <v>276.06968650495287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32.825118587823027</v>
      </c>
      <c r="BQ62" s="21">
        <f>EXP(-LN(2)/25)*BQ61+(1-EXP(-LN(2)/25))/(LN(2)/25)*Calculateur!BL62*Calculateur!BN62*VLOOKUP('Données projet'!$B$11,Paramètres!$A$1:$I$89,3,0)*0.475*44/12</f>
        <v>2.9836639811063059</v>
      </c>
      <c r="BR62" s="21">
        <f>EXP(-LN(2)/2)*BR61+(1-EXP(-LN(2)/2))/(LN(2)/2)*BL62*BO62*VLOOKUP('Données projet'!$B$11,Paramètres!$A$1:$I$89,3,0)*0.475*44/12</f>
        <v>0.22953259520421621</v>
      </c>
      <c r="BS62" s="22">
        <f t="shared" si="9"/>
        <v>36.03831516413355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28.08</v>
      </c>
      <c r="D63" s="11">
        <f t="shared" si="32"/>
        <v>8.7771949685951878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284.51168045933133</v>
      </c>
      <c r="H63" s="67">
        <f t="shared" si="1"/>
        <v>357.52628123696991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197.99999999999994</v>
      </c>
      <c r="O63" s="13">
        <f>N63*VLOOKUP('Données projet'!$B$9,Paramètres!$A$1:$I$89,3,0)*VLOOKUP('Données projet'!$B$9,Paramètres!$A$1:$I$89,5,0)</f>
        <v>123.55199999999995</v>
      </c>
      <c r="P63" s="13">
        <f t="shared" si="33"/>
        <v>32.502033262579566</v>
      </c>
      <c r="Q63" s="20">
        <f t="shared" si="53"/>
        <v>271.79410793232597</v>
      </c>
      <c r="R63" s="59">
        <f t="shared" si="0"/>
        <v>565.12744126565929</v>
      </c>
      <c r="S63" s="59">
        <f ca="1">AVERAGE(OFFSET($R$3,0,0,'Données projet'!$E$9+1,1))-AVERAGE(OFFSET($H$3,0,0,'Données projet'!$E$9+1,1))</f>
        <v>168.81286953191102</v>
      </c>
      <c r="T63" s="59">
        <f t="shared" si="34"/>
        <v>255.78677933103666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27.960870005714039</v>
      </c>
      <c r="AA63" s="21">
        <f>EXP(-LN(2)/25)*AA62+(1-EXP(-LN(2)/25))/(LN(2)/25)*Calculateur!V63*Calculateur!X63*VLOOKUP('Données projet'!$B$9,Paramètres!$A$1:$I$89,3,0)*0.475*44/12</f>
        <v>33.517163078004728</v>
      </c>
      <c r="AB63" s="21">
        <f>EXP(-LN(2)/2)*AB62+(1-EXP(-LN(2)/2))/(LN(2)/2)*V63*Y63*VLOOKUP('Données projet'!$B$9,Paramètres!$A$1:$I$89,3,0)*0.475*44/12</f>
        <v>5.977697572976378E-2</v>
      </c>
      <c r="AC63" s="22">
        <f t="shared" si="3"/>
        <v>61.537810059448532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468</v>
      </c>
      <c r="AG63" s="12">
        <f>VLOOKUP(A63,'Données projet'!$A$61:$I$81,9,0)</f>
        <v>13.6</v>
      </c>
      <c r="AH63" s="12">
        <f t="array" ref="AH63">INDEX(AG:AG,MIN(IF(ISNUMBER(AG63:AG259),ROW(AG63:AG259),"")))</f>
        <v>13.6</v>
      </c>
      <c r="AI63" s="13">
        <f>IF('Données projet'!$A$62&gt;35,AI62+AH63-AQ62,IF(A63&lt;'Données projet'!$A$62,$AF$205^A63,IF(A63='Données projet'!$A$62,'Données projet'!$B$62,AI62+AH63-AQ62)))</f>
        <v>468.00000000000023</v>
      </c>
      <c r="AJ63" s="13">
        <f>AI63*VLOOKUP('Données projet'!$B$10,Paramètres!$A$1:$I$89,3,0)*VLOOKUP('Données projet'!$B$10,Paramètres!$A$1:$I$89,5,0)</f>
        <v>279.86400000000015</v>
      </c>
      <c r="AK63" s="13">
        <f t="shared" si="35"/>
        <v>66.938267358965064</v>
      </c>
      <c r="AL63" s="20">
        <f t="shared" si="4"/>
        <v>604.01394898353101</v>
      </c>
      <c r="AM63" s="59">
        <f t="shared" si="5"/>
        <v>897.34728231686427</v>
      </c>
      <c r="AN63" s="59">
        <f ca="1">AVERAGE(OFFSET($AM$3,0,0,'Données projet'!$E$10+1,1))-AVERAGE(OFFSET($H$3,0,0,'Données projet'!$E$10+1,1))</f>
        <v>247.08914525784144</v>
      </c>
      <c r="AO63" s="59">
        <f t="shared" si="36"/>
        <v>286.9617518796191</v>
      </c>
      <c r="AP63" s="15">
        <f>IF(ISNA(VLOOKUP(A63,'Données projet'!$A$61:$I$81,3,0)),0,VLOOKUP(A63,'Données projet'!$A$61:$I$81,3,0))</f>
        <v>9</v>
      </c>
      <c r="AQ63" s="15">
        <f>IF(ISNA(VLOOKUP(A63,'Données projet'!$A$61:$I$81,4,0)),0,VLOOKUP(A63,'Données projet'!$A$61:$I$81,4,0))</f>
        <v>33</v>
      </c>
      <c r="AR63" s="16">
        <f>IF(ISNA(VLOOKUP(A63,'Données projet'!$A$61:$I$81,5,0)),0%,VLOOKUP(A63,'Données projet'!$A$61:$I$81,5,0)*VLOOKUP('Données projet'!$B$10,Paramètres!$A$1:$I$89,7,0))</f>
        <v>0.22500000000000001</v>
      </c>
      <c r="AS63" s="16">
        <f>IF(ISNA(VLOOKUP(A63,'Données projet'!$A$61:$I$81,6,0)),0%,VLOOKUP(A63,'Données projet'!$A$61:$I$81,6,0)*VLOOKUP('Données projet'!$B$10,Paramètres!$A$1:$I$89,7,0))</f>
        <v>0.13500000000000001</v>
      </c>
      <c r="AT63" s="16">
        <f>IF(ISNA(VLOOKUP(A63,'Données projet'!$A$61:$I$81,7,0)),0%,VLOOKUP(A63,'Données projet'!$A$61:$I$81,7,0))</f>
        <v>0.2</v>
      </c>
      <c r="AU63" s="21">
        <f>EXP(-LN(2)/35)*AU62+(1-EXP(-LN(2)/35))/(LN(2)/35)*AQ63*AR63*VLOOKUP('Données projet'!$B$10,Paramètres!$A$1:$I$89,3,0)*0.475*44/12</f>
        <v>35.833264303205503</v>
      </c>
      <c r="AV63" s="21">
        <f>EXP(-LN(2)/25)*AV62+(1-EXP(-LN(2)/25))/(LN(2)/25)*Calculateur!AQ63*Calculateur!AS63*VLOOKUP('Données projet'!$B$10,Paramètres!$A$1:$I$89,3,0)*0.475*44/12</f>
        <v>32.00166185209693</v>
      </c>
      <c r="AW63" s="21">
        <f>EXP(-LN(2)/2)*AW62+(1-EXP(-LN(2)/2))/(LN(2)/2)*AQ63*AT63*VLOOKUP('Données projet'!$B$10,Paramètres!$A$1:$I$89,3,0)*0.475*44/12</f>
        <v>5.6140045127692</v>
      </c>
      <c r="AX63" s="21">
        <f t="shared" si="6"/>
        <v>73.44893066807164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294</v>
      </c>
      <c r="BB63" s="12">
        <f>VLOOKUP(A63,'Données projet'!$A$87:$I$107,9,0)</f>
        <v>6.2</v>
      </c>
      <c r="BC63" s="12">
        <f t="array" ref="BC63">INDEX(BB:BB,MIN(IF(ISNUMBER(BB63:BB259),ROW(BB63:BB259),"")))</f>
        <v>6.2</v>
      </c>
      <c r="BD63" s="12">
        <f>IF('Données projet'!$A$88&gt;35,BD62+BC63-BL62,IF(A63&lt;'Données projet'!$A$88,$BA$205^A63,IF(A63='Données projet'!$A$88,'Données projet'!$B$88,BD62+BC63-BL62)))</f>
        <v>293.99999999999983</v>
      </c>
      <c r="BE63" s="13">
        <f>BD63*VLOOKUP('Données projet'!$B$11,Paramètres!$A$1:$I$89,3,0)*VLOOKUP('Données projet'!$B$11,Paramètres!$A$1:$I$89,5,0)</f>
        <v>233.90639999999988</v>
      </c>
      <c r="BF63" s="13">
        <f t="shared" si="37"/>
        <v>57.126506840778347</v>
      </c>
      <c r="BG63" s="20">
        <f t="shared" si="7"/>
        <v>506.88231274768867</v>
      </c>
      <c r="BH63" s="59">
        <f t="shared" si="8"/>
        <v>800.21564608102199</v>
      </c>
      <c r="BI63" s="59">
        <f ca="1">AVERAGE(OFFSET($BH$3,0,0,'Données projet'!$E$11+1,1))-AVERAGE(OFFSET($H$3,0,0,'Données projet'!$E$11+1,1))</f>
        <v>280.45463274302153</v>
      </c>
      <c r="BJ63" s="59">
        <f t="shared" si="38"/>
        <v>276.06968650495287</v>
      </c>
      <c r="BK63" s="15">
        <f>IF(ISNA(VLOOKUP(A63,'Données projet'!$A$87:$I$107,3,0)),0,VLOOKUP(A63,'Données projet'!$A$87:$I$107,3,0))</f>
        <v>10</v>
      </c>
      <c r="BL63" s="15">
        <f>IF(ISNA(VLOOKUP(A63,'Données projet'!$A$87:$I$107,4,0)),0,VLOOKUP(A63,'Données projet'!$A$87:$I$107,4,0))</f>
        <v>14</v>
      </c>
      <c r="BM63" s="16">
        <f>IF(ISNA(VLOOKUP(A63,'Données projet'!$A$87:$I$107,5,0)),0%,VLOOKUP(A63,'Données projet'!$A$87:$I$107,5,0)*VLOOKUP('Données projet'!$B$11,Paramètres!$A$1:$I$89,7,0))</f>
        <v>0.42400000000000004</v>
      </c>
      <c r="BN63" s="16">
        <f>IF(ISNA(VLOOKUP(A63,'Données projet'!$A$87:$I$107,6,0)),0%,VLOOKUP(A63,'Données projet'!$A$87:$I$107,6,0)*VLOOKUP('Données projet'!$B$11,Paramètres!$A$1:$I$89,7,0))</f>
        <v>2.12E-2</v>
      </c>
      <c r="BO63" s="16">
        <f>IF(ISNA(VLOOKUP(A63,'Données projet'!$A$87:$I$107,7,0)),0%,VLOOKUP(A63,'Données projet'!$A$87:$I$107,7,0))</f>
        <v>0.06</v>
      </c>
      <c r="BP63" s="21">
        <f>EXP(-LN(2)/35)*BP62+(1-EXP(-LN(2)/35))/(LN(2)/35)*BL63*BM63*VLOOKUP('Données projet'!$B$11,Paramètres!$A$1:$I$89,3,0)*0.475*44/12</f>
        <v>37.402222654426495</v>
      </c>
      <c r="BQ63" s="21">
        <f>EXP(-LN(2)/25)*BQ62+(1-EXP(-LN(2)/25))/(LN(2)/25)*Calculateur!BL63*Calculateur!BN63*VLOOKUP('Données projet'!$B$11,Paramètres!$A$1:$I$89,3,0)*0.475*44/12</f>
        <v>3.1620869527608062</v>
      </c>
      <c r="BR63" s="21">
        <f>EXP(-LN(2)/2)*BR62+(1-EXP(-LN(2)/2))/(LN(2)/2)*BL63*BO63*VLOOKUP('Données projet'!$B$11,Paramètres!$A$1:$I$89,3,0)*0.475*44/12</f>
        <v>0.79286686571068743</v>
      </c>
      <c r="BS63" s="22">
        <f t="shared" si="9"/>
        <v>41.35717647289799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28.547999999999998</v>
      </c>
      <c r="D64" s="11">
        <f t="shared" si="32"/>
        <v>8.9063291829603237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289.1211375526762</v>
      </c>
      <c r="H64" s="67">
        <f t="shared" si="1"/>
        <v>358.56628999365586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197.99999999999994</v>
      </c>
      <c r="O64" s="13">
        <f>N64*VLOOKUP('Données projet'!$B$9,Paramètres!$A$1:$I$89,3,0)*VLOOKUP('Données projet'!$B$9,Paramètres!$A$1:$I$89,5,0)</f>
        <v>123.55199999999995</v>
      </c>
      <c r="P64" s="13">
        <f t="shared" si="33"/>
        <v>32.502033262579566</v>
      </c>
      <c r="Q64" s="20">
        <f t="shared" si="53"/>
        <v>271.79410793232597</v>
      </c>
      <c r="R64" s="59">
        <f t="shared" si="0"/>
        <v>565.12744126565929</v>
      </c>
      <c r="S64" s="59">
        <f ca="1">AVERAGE(OFFSET($R$3,0,0,'Données projet'!$E$9+1,1))-AVERAGE(OFFSET($H$3,0,0,'Données projet'!$E$9+1,1))</f>
        <v>168.81286953191102</v>
      </c>
      <c r="T64" s="59">
        <f t="shared" si="34"/>
        <v>255.78677933103666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27.412574399348703</v>
      </c>
      <c r="AA64" s="21">
        <f>EXP(-LN(2)/25)*AA63+(1-EXP(-LN(2)/25))/(LN(2)/25)*Calculateur!V64*Calculateur!X64*VLOOKUP('Données projet'!$B$9,Paramètres!$A$1:$I$89,3,0)*0.475*44/12</f>
        <v>32.600634491045689</v>
      </c>
      <c r="AB64" s="21">
        <f>EXP(-LN(2)/2)*AB63+(1-EXP(-LN(2)/2))/(LN(2)/2)*V64*Y64*VLOOKUP('Données projet'!$B$9,Paramètres!$A$1:$I$89,3,0)*0.475*44/12</f>
        <v>4.2268704897339644E-2</v>
      </c>
      <c r="AC64" s="22">
        <f t="shared" si="3"/>
        <v>60.055477595291734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435.00000000000023</v>
      </c>
      <c r="AJ64" s="13">
        <f>AI64*VLOOKUP('Données projet'!$B$10,Paramètres!$A$1:$I$89,3,0)*VLOOKUP('Données projet'!$B$10,Paramètres!$A$1:$I$89,5,0)</f>
        <v>260.13000000000017</v>
      </c>
      <c r="AK64" s="13">
        <f t="shared" si="35"/>
        <v>62.75008789651104</v>
      </c>
      <c r="AL64" s="20">
        <f t="shared" si="4"/>
        <v>562.349486419757</v>
      </c>
      <c r="AM64" s="59">
        <f t="shared" si="5"/>
        <v>855.68281975309037</v>
      </c>
      <c r="AN64" s="59">
        <f ca="1">AVERAGE(OFFSET($AM$3,0,0,'Données projet'!$E$10+1,1))-AVERAGE(OFFSET($H$3,0,0,'Données projet'!$E$10+1,1))</f>
        <v>247.08914525784144</v>
      </c>
      <c r="AO64" s="59">
        <f t="shared" si="36"/>
        <v>286.9617518796191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35.130595846352755</v>
      </c>
      <c r="AV64" s="21">
        <f>EXP(-LN(2)/25)*AV63+(1-EXP(-LN(2)/25))/(LN(2)/25)*Calculateur!AQ64*Calculateur!AS64*VLOOKUP('Données projet'!$B$10,Paramètres!$A$1:$I$89,3,0)*0.475*44/12</f>
        <v>31.126574725857083</v>
      </c>
      <c r="AW64" s="21">
        <f>EXP(-LN(2)/2)*AW63+(1-EXP(-LN(2)/2))/(LN(2)/2)*AQ64*AT64*VLOOKUP('Données projet'!$B$10,Paramètres!$A$1:$I$89,3,0)*0.475*44/12</f>
        <v>3.9697006605909815</v>
      </c>
      <c r="AX64" s="21">
        <f t="shared" si="6"/>
        <v>70.226871232800832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5.2</v>
      </c>
      <c r="BD64" s="12">
        <f>IF('Données projet'!$A$88&gt;35,BD63+BC64-BL63,IF(A64&lt;'Données projet'!$A$88,$BA$205^A64,IF(A64='Données projet'!$A$88,'Données projet'!$B$88,BD63+BC64-BL63)))</f>
        <v>285.19999999999982</v>
      </c>
      <c r="BE64" s="13">
        <f>BD64*VLOOKUP('Données projet'!$B$11,Paramètres!$A$1:$I$89,3,0)*VLOOKUP('Données projet'!$B$11,Paramètres!$A$1:$I$89,5,0)</f>
        <v>226.90511999999987</v>
      </c>
      <c r="BF64" s="13">
        <f t="shared" si="37"/>
        <v>55.612969408444364</v>
      </c>
      <c r="BG64" s="20">
        <f t="shared" si="7"/>
        <v>492.05233905304038</v>
      </c>
      <c r="BH64" s="59">
        <f t="shared" si="8"/>
        <v>785.3856723863737</v>
      </c>
      <c r="BI64" s="59">
        <f ca="1">AVERAGE(OFFSET($BH$3,0,0,'Données projet'!$E$11+1,1))-AVERAGE(OFFSET($H$3,0,0,'Données projet'!$E$11+1,1))</f>
        <v>280.45463274302153</v>
      </c>
      <c r="BJ64" s="59">
        <f t="shared" si="38"/>
        <v>276.06968650495287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36.668787881276401</v>
      </c>
      <c r="BQ64" s="21">
        <f>EXP(-LN(2)/25)*BQ63+(1-EXP(-LN(2)/25))/(LN(2)/25)*Calculateur!BL64*Calculateur!BN64*VLOOKUP('Données projet'!$B$11,Paramètres!$A$1:$I$89,3,0)*0.475*44/12</f>
        <v>3.0756195187506363</v>
      </c>
      <c r="BR64" s="21">
        <f>EXP(-LN(2)/2)*BR63+(1-EXP(-LN(2)/2))/(LN(2)/2)*BL64*BO64*VLOOKUP('Données projet'!$B$11,Paramètres!$A$1:$I$89,3,0)*0.475*44/12</f>
        <v>0.56064153732215083</v>
      </c>
      <c r="BS64" s="22">
        <f t="shared" si="9"/>
        <v>40.305048937349184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29.015999999999998</v>
      </c>
      <c r="D65" s="11">
        <f t="shared" si="32"/>
        <v>9.0352172071357693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293.72869423052168</v>
      </c>
      <c r="H65" s="67">
        <f t="shared" si="1"/>
        <v>359.60586996909478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197.99999999999994</v>
      </c>
      <c r="O65" s="13">
        <f>N65*VLOOKUP('Données projet'!$B$9,Paramètres!$A$1:$I$89,3,0)*VLOOKUP('Données projet'!$B$9,Paramètres!$A$1:$I$89,5,0)</f>
        <v>123.55199999999995</v>
      </c>
      <c r="P65" s="13">
        <f t="shared" si="33"/>
        <v>32.502033262579566</v>
      </c>
      <c r="Q65" s="20">
        <f t="shared" si="53"/>
        <v>271.79410793232597</v>
      </c>
      <c r="R65" s="59">
        <f t="shared" si="0"/>
        <v>565.12744126565929</v>
      </c>
      <c r="S65" s="59">
        <f ca="1">AVERAGE(OFFSET($R$3,0,0,'Données projet'!$E$9+1,1))-AVERAGE(OFFSET($H$3,0,0,'Données projet'!$E$9+1,1))</f>
        <v>168.81286953191102</v>
      </c>
      <c r="T65" s="59">
        <f t="shared" si="34"/>
        <v>255.78677933103666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26.875030535396892</v>
      </c>
      <c r="AA65" s="21">
        <f>EXP(-LN(2)/25)*AA64+(1-EXP(-LN(2)/25))/(LN(2)/25)*Calculateur!V65*Calculateur!X65*VLOOKUP('Données projet'!$B$9,Paramètres!$A$1:$I$89,3,0)*0.475*44/12</f>
        <v>31.709168426495186</v>
      </c>
      <c r="AB65" s="21">
        <f>EXP(-LN(2)/2)*AB64+(1-EXP(-LN(2)/2))/(LN(2)/2)*V65*Y65*VLOOKUP('Données projet'!$B$9,Paramètres!$A$1:$I$89,3,0)*0.475*44/12</f>
        <v>2.9888487864881897E-2</v>
      </c>
      <c r="AC65" s="22">
        <f t="shared" si="3"/>
        <v>58.614087449756958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435.00000000000023</v>
      </c>
      <c r="AJ65" s="13">
        <f>AI65*VLOOKUP('Données projet'!$B$10,Paramètres!$A$1:$I$89,3,0)*VLOOKUP('Données projet'!$B$10,Paramètres!$A$1:$I$89,5,0)</f>
        <v>260.13000000000017</v>
      </c>
      <c r="AK65" s="13">
        <f t="shared" si="35"/>
        <v>62.75008789651104</v>
      </c>
      <c r="AL65" s="20">
        <f t="shared" si="4"/>
        <v>562.349486419757</v>
      </c>
      <c r="AM65" s="59">
        <f t="shared" si="5"/>
        <v>855.68281975309037</v>
      </c>
      <c r="AN65" s="59">
        <f ca="1">AVERAGE(OFFSET($AM$3,0,0,'Données projet'!$E$10+1,1))-AVERAGE(OFFSET($H$3,0,0,'Données projet'!$E$10+1,1))</f>
        <v>247.08914525784144</v>
      </c>
      <c r="AO65" s="59">
        <f t="shared" si="36"/>
        <v>286.9617518796191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34.441706289353448</v>
      </c>
      <c r="AV65" s="21">
        <f>EXP(-LN(2)/25)*AV64+(1-EXP(-LN(2)/25))/(LN(2)/25)*Calculateur!AQ65*Calculateur!AS65*VLOOKUP('Données projet'!$B$10,Paramètres!$A$1:$I$89,3,0)*0.475*44/12</f>
        <v>30.275416903103096</v>
      </c>
      <c r="AW65" s="21">
        <f>EXP(-LN(2)/2)*AW64+(1-EXP(-LN(2)/2))/(LN(2)/2)*AQ65*AT65*VLOOKUP('Données projet'!$B$10,Paramètres!$A$1:$I$89,3,0)*0.475*44/12</f>
        <v>2.8070022563846004</v>
      </c>
      <c r="AX65" s="21">
        <f t="shared" si="6"/>
        <v>67.524125448841147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5.2</v>
      </c>
      <c r="BD65" s="12">
        <f>IF('Données projet'!$A$88&gt;35,BD64+BC65-BL64,IF(A65&lt;'Données projet'!$A$88,$BA$205^A65,IF(A65='Données projet'!$A$88,'Données projet'!$B$88,BD64+BC65-BL64)))</f>
        <v>290.39999999999981</v>
      </c>
      <c r="BE65" s="13">
        <f>BD65*VLOOKUP('Données projet'!$B$11,Paramètres!$A$1:$I$89,3,0)*VLOOKUP('Données projet'!$B$11,Paramètres!$A$1:$I$89,5,0)</f>
        <v>231.04223999999985</v>
      </c>
      <c r="BF65" s="13">
        <f t="shared" si="37"/>
        <v>56.507978852931409</v>
      </c>
      <c r="BG65" s="20">
        <f t="shared" si="7"/>
        <v>500.81663116885534</v>
      </c>
      <c r="BH65" s="59">
        <f t="shared" si="8"/>
        <v>794.1499645021886</v>
      </c>
      <c r="BI65" s="59">
        <f ca="1">AVERAGE(OFFSET($BH$3,0,0,'Données projet'!$E$11+1,1))-AVERAGE(OFFSET($H$3,0,0,'Données projet'!$E$11+1,1))</f>
        <v>280.45463274302153</v>
      </c>
      <c r="BJ65" s="59">
        <f t="shared" si="38"/>
        <v>276.06968650495287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35.949735316676744</v>
      </c>
      <c r="BQ65" s="21">
        <f>EXP(-LN(2)/25)*BQ64+(1-EXP(-LN(2)/25))/(LN(2)/25)*Calculateur!BL65*Calculateur!BN65*VLOOKUP('Données projet'!$B$11,Paramètres!$A$1:$I$89,3,0)*0.475*44/12</f>
        <v>2.9915165412705993</v>
      </c>
      <c r="BR65" s="21">
        <f>EXP(-LN(2)/2)*BR64+(1-EXP(-LN(2)/2))/(LN(2)/2)*BL65*BO65*VLOOKUP('Données projet'!$B$11,Paramètres!$A$1:$I$89,3,0)*0.475*44/12</f>
        <v>0.39643343285534377</v>
      </c>
      <c r="BS65" s="22">
        <f t="shared" si="9"/>
        <v>39.337685290802689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29.483999999999998</v>
      </c>
      <c r="D66" s="11">
        <f t="shared" si="32"/>
        <v>9.1638634703614379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298.33438468349181</v>
      </c>
      <c r="H66" s="67">
        <f t="shared" si="1"/>
        <v>360.64502887754617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197.99999999999994</v>
      </c>
      <c r="O66" s="13">
        <f>N66*VLOOKUP('Données projet'!$B$9,Paramètres!$A$1:$I$89,3,0)*VLOOKUP('Données projet'!$B$9,Paramètres!$A$1:$I$89,5,0)</f>
        <v>123.55199999999995</v>
      </c>
      <c r="P66" s="13">
        <f t="shared" si="33"/>
        <v>32.502033262579566</v>
      </c>
      <c r="Q66" s="20">
        <f t="shared" si="53"/>
        <v>271.79410793232597</v>
      </c>
      <c r="R66" s="59">
        <f t="shared" si="0"/>
        <v>565.12744126565929</v>
      </c>
      <c r="S66" s="59">
        <f ca="1">AVERAGE(OFFSET($R$3,0,0,'Données projet'!$E$9+1,1))-AVERAGE(OFFSET($H$3,0,0,'Données projet'!$E$9+1,1))</f>
        <v>168.81286953191102</v>
      </c>
      <c r="T66" s="59">
        <f t="shared" si="34"/>
        <v>255.78677933103666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26.348027578747796</v>
      </c>
      <c r="AA66" s="21">
        <f>EXP(-LN(2)/25)*AA65+(1-EXP(-LN(2)/25))/(LN(2)/25)*Calculateur!V66*Calculateur!X66*VLOOKUP('Données projet'!$B$9,Paramètres!$A$1:$I$89,3,0)*0.475*44/12</f>
        <v>30.84207954835998</v>
      </c>
      <c r="AB66" s="21">
        <f>EXP(-LN(2)/2)*AB65+(1-EXP(-LN(2)/2))/(LN(2)/2)*V66*Y66*VLOOKUP('Données projet'!$B$9,Paramètres!$A$1:$I$89,3,0)*0.475*44/12</f>
        <v>2.1134352448669826E-2</v>
      </c>
      <c r="AC66" s="22">
        <f t="shared" si="3"/>
        <v>57.211241479556449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435.00000000000023</v>
      </c>
      <c r="AJ66" s="13">
        <f>AI66*VLOOKUP('Données projet'!$B$10,Paramètres!$A$1:$I$89,3,0)*VLOOKUP('Données projet'!$B$10,Paramètres!$A$1:$I$89,5,0)</f>
        <v>260.13000000000017</v>
      </c>
      <c r="AK66" s="13">
        <f t="shared" si="35"/>
        <v>62.75008789651104</v>
      </c>
      <c r="AL66" s="20">
        <f t="shared" si="4"/>
        <v>562.349486419757</v>
      </c>
      <c r="AM66" s="59">
        <f t="shared" si="5"/>
        <v>855.68281975309037</v>
      </c>
      <c r="AN66" s="59">
        <f ca="1">AVERAGE(OFFSET($AM$3,0,0,'Données projet'!$E$10+1,1))-AVERAGE(OFFSET($H$3,0,0,'Données projet'!$E$10+1,1))</f>
        <v>247.08914525784144</v>
      </c>
      <c r="AO66" s="59">
        <f t="shared" si="36"/>
        <v>286.9617518796191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33.766325436385756</v>
      </c>
      <c r="AV66" s="21">
        <f>EXP(-LN(2)/25)*AV65+(1-EXP(-LN(2)/25))/(LN(2)/25)*Calculateur!AQ66*Calculateur!AS66*VLOOKUP('Données projet'!$B$10,Paramètres!$A$1:$I$89,3,0)*0.475*44/12</f>
        <v>29.447534035772762</v>
      </c>
      <c r="AW66" s="21">
        <f>EXP(-LN(2)/2)*AW65+(1-EXP(-LN(2)/2))/(LN(2)/2)*AQ66*AT66*VLOOKUP('Données projet'!$B$10,Paramètres!$A$1:$I$89,3,0)*0.475*44/12</f>
        <v>1.984850330295491</v>
      </c>
      <c r="AX66" s="21">
        <f t="shared" si="6"/>
        <v>65.198709802454005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5.2</v>
      </c>
      <c r="BD66" s="12">
        <f>IF('Données projet'!$A$88&gt;35,BD65+BC66-BL65,IF(A66&lt;'Données projet'!$A$88,$BA$205^A66,IF(A66='Données projet'!$A$88,'Données projet'!$B$88,BD65+BC66-BL65)))</f>
        <v>295.5999999999998</v>
      </c>
      <c r="BE66" s="13">
        <f>BD66*VLOOKUP('Données projet'!$B$11,Paramètres!$A$1:$I$89,3,0)*VLOOKUP('Données projet'!$B$11,Paramètres!$A$1:$I$89,5,0)</f>
        <v>235.17935999999983</v>
      </c>
      <c r="BF66" s="13">
        <f t="shared" si="37"/>
        <v>57.401124668909425</v>
      </c>
      <c r="BG66" s="20">
        <f t="shared" si="7"/>
        <v>509.57767746501696</v>
      </c>
      <c r="BH66" s="59">
        <f t="shared" si="8"/>
        <v>802.91101079835028</v>
      </c>
      <c r="BI66" s="59">
        <f ca="1">AVERAGE(OFFSET($BH$3,0,0,'Données projet'!$E$11+1,1))-AVERAGE(OFFSET($H$3,0,0,'Données projet'!$E$11+1,1))</f>
        <v>280.45463274302153</v>
      </c>
      <c r="BJ66" s="59">
        <f t="shared" si="38"/>
        <v>276.06968650495287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35.244782934290129</v>
      </c>
      <c r="BQ66" s="21">
        <f>EXP(-LN(2)/25)*BQ65+(1-EXP(-LN(2)/25))/(LN(2)/25)*Calculateur!BL66*Calculateur!BN66*VLOOKUP('Données projet'!$B$11,Paramètres!$A$1:$I$89,3,0)*0.475*44/12</f>
        <v>2.909713364132537</v>
      </c>
      <c r="BR66" s="21">
        <f>EXP(-LN(2)/2)*BR65+(1-EXP(-LN(2)/2))/(LN(2)/2)*BL66*BO66*VLOOKUP('Données projet'!$B$11,Paramètres!$A$1:$I$89,3,0)*0.475*44/12</f>
        <v>0.28032076866107547</v>
      </c>
      <c r="BS66" s="22">
        <f t="shared" si="9"/>
        <v>38.434817067083742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29.951999999999998</v>
      </c>
      <c r="D67" s="11">
        <f t="shared" si="32"/>
        <v>9.2922722532016273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302.93824195453891</v>
      </c>
      <c r="H67" s="67">
        <f t="shared" si="1"/>
        <v>361.68377417432612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197.99999999999994</v>
      </c>
      <c r="O67" s="13">
        <f>N67*VLOOKUP('Données projet'!$B$9,Paramètres!$A$1:$I$89,3,0)*VLOOKUP('Données projet'!$B$9,Paramètres!$A$1:$I$89,5,0)</f>
        <v>123.55199999999995</v>
      </c>
      <c r="P67" s="13">
        <f t="shared" si="33"/>
        <v>32.502033262579566</v>
      </c>
      <c r="Q67" s="20">
        <f t="shared" ref="Q67:Q98" si="54">(O67+P67)*0.475*44/12</f>
        <v>271.79410793232597</v>
      </c>
      <c r="R67" s="59">
        <f t="shared" ref="R67:R130" si="55">Q67+(I67+J67)*44/12</f>
        <v>565.12744126565929</v>
      </c>
      <c r="S67" s="59">
        <f ca="1">AVERAGE(OFFSET($R$3,0,0,'Données projet'!$E$9+1,1))-AVERAGE(OFFSET($H$3,0,0,'Données projet'!$E$9+1,1))</f>
        <v>168.81286953191102</v>
      </c>
      <c r="T67" s="59">
        <f t="shared" si="34"/>
        <v>255.78677933103666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25.831358828638525</v>
      </c>
      <c r="AA67" s="21">
        <f>EXP(-LN(2)/25)*AA66+(1-EXP(-LN(2)/25))/(LN(2)/25)*Calculateur!V67*Calculateur!X67*VLOOKUP('Données projet'!$B$9,Paramètres!$A$1:$I$89,3,0)*0.475*44/12</f>
        <v>29.998701261195603</v>
      </c>
      <c r="AB67" s="21">
        <f>EXP(-LN(2)/2)*AB66+(1-EXP(-LN(2)/2))/(LN(2)/2)*V67*Y67*VLOOKUP('Données projet'!$B$9,Paramètres!$A$1:$I$89,3,0)*0.475*44/12</f>
        <v>1.494424393244095E-2</v>
      </c>
      <c r="AC67" s="22">
        <f t="shared" si="3"/>
        <v>55.845004333766568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435.00000000000023</v>
      </c>
      <c r="AJ67" s="13">
        <f>AI67*VLOOKUP('Données projet'!$B$10,Paramètres!$A$1:$I$89,3,0)*VLOOKUP('Données projet'!$B$10,Paramètres!$A$1:$I$89,5,0)</f>
        <v>260.13000000000017</v>
      </c>
      <c r="AK67" s="13">
        <f t="shared" si="35"/>
        <v>62.75008789651104</v>
      </c>
      <c r="AL67" s="20">
        <f t="shared" si="4"/>
        <v>562.349486419757</v>
      </c>
      <c r="AM67" s="59">
        <f t="shared" si="5"/>
        <v>855.68281975309037</v>
      </c>
      <c r="AN67" s="59">
        <f ca="1">AVERAGE(OFFSET($AM$3,0,0,'Données projet'!$E$10+1,1))-AVERAGE(OFFSET($H$3,0,0,'Données projet'!$E$10+1,1))</f>
        <v>247.08914525784144</v>
      </c>
      <c r="AO67" s="59">
        <f t="shared" si="36"/>
        <v>286.9617518796191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33.104188390003117</v>
      </c>
      <c r="AV67" s="21">
        <f>EXP(-LN(2)/25)*AV66+(1-EXP(-LN(2)/25))/(LN(2)/25)*Calculateur!AQ67*Calculateur!AS67*VLOOKUP('Données projet'!$B$10,Paramètres!$A$1:$I$89,3,0)*0.475*44/12</f>
        <v>28.642289668986045</v>
      </c>
      <c r="AW67" s="21">
        <f>EXP(-LN(2)/2)*AW66+(1-EXP(-LN(2)/2))/(LN(2)/2)*AQ67*AT67*VLOOKUP('Données projet'!$B$10,Paramètres!$A$1:$I$89,3,0)*0.475*44/12</f>
        <v>1.4035011281923004</v>
      </c>
      <c r="AX67" s="21">
        <f t="shared" si="6"/>
        <v>63.149979187181465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5.2</v>
      </c>
      <c r="BD67" s="12">
        <f>IF('Données projet'!$A$88&gt;35,BD66+BC67-BL66,IF(A67&lt;'Données projet'!$A$88,$BA$205^A67,IF(A67='Données projet'!$A$88,'Données projet'!$B$88,BD66+BC67-BL66)))</f>
        <v>300.79999999999978</v>
      </c>
      <c r="BE67" s="13">
        <f>BD67*VLOOKUP('Données projet'!$B$11,Paramètres!$A$1:$I$89,3,0)*VLOOKUP('Données projet'!$B$11,Paramètres!$A$1:$I$89,5,0)</f>
        <v>239.31647999999984</v>
      </c>
      <c r="BF67" s="13">
        <f t="shared" si="37"/>
        <v>58.292443422481945</v>
      </c>
      <c r="BG67" s="20">
        <f t="shared" si="7"/>
        <v>518.33554162748908</v>
      </c>
      <c r="BH67" s="59">
        <f t="shared" si="8"/>
        <v>811.66887496082245</v>
      </c>
      <c r="BI67" s="59">
        <f ca="1">AVERAGE(OFFSET($BH$3,0,0,'Données projet'!$E$11+1,1))-AVERAGE(OFFSET($H$3,0,0,'Données projet'!$E$11+1,1))</f>
        <v>280.45463274302153</v>
      </c>
      <c r="BJ67" s="59">
        <f t="shared" si="38"/>
        <v>276.06968650495287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34.553654238143615</v>
      </c>
      <c r="BQ67" s="21">
        <f>EXP(-LN(2)/25)*BQ66+(1-EXP(-LN(2)/25))/(LN(2)/25)*Calculateur!BL67*Calculateur!BN67*VLOOKUP('Données projet'!$B$11,Paramètres!$A$1:$I$89,3,0)*0.475*44/12</f>
        <v>2.8301470991751572</v>
      </c>
      <c r="BR67" s="21">
        <f>EXP(-LN(2)/2)*BR66+(1-EXP(-LN(2)/2))/(LN(2)/2)*BL67*BO67*VLOOKUP('Données projet'!$B$11,Paramètres!$A$1:$I$89,3,0)*0.475*44/12</f>
        <v>0.19821671642767191</v>
      </c>
      <c r="BS67" s="22">
        <f t="shared" si="9"/>
        <v>37.582018053746445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30.419999999999998</v>
      </c>
      <c r="D68" s="11">
        <f t="shared" si="32"/>
        <v>9.4204476947792024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307.54029799478684</v>
      </c>
      <c r="H68" s="67">
        <f t="shared" ref="H68:H131" si="56">(B68+E68+F68)*44/12+(C68+D68)*0.475*44/12</f>
        <v>362.72211306840711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197.99999999999994</v>
      </c>
      <c r="O68" s="13">
        <f>N68*VLOOKUP('Données projet'!$B$9,Paramètres!$A$1:$I$89,3,0)*VLOOKUP('Données projet'!$B$9,Paramètres!$A$1:$I$89,5,0)</f>
        <v>123.55199999999995</v>
      </c>
      <c r="P68" s="13">
        <f t="shared" si="33"/>
        <v>32.502033262579566</v>
      </c>
      <c r="Q68" s="20">
        <f t="shared" si="54"/>
        <v>271.79410793232597</v>
      </c>
      <c r="R68" s="59">
        <f t="shared" si="55"/>
        <v>565.12744126565929</v>
      </c>
      <c r="S68" s="59">
        <f ca="1">AVERAGE(OFFSET($R$3,0,0,'Données projet'!$E$9+1,1))-AVERAGE(OFFSET($H$3,0,0,'Données projet'!$E$9+1,1))</f>
        <v>168.81286953191102</v>
      </c>
      <c r="T68" s="59">
        <f t="shared" si="34"/>
        <v>255.78677933103666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25.324821637582076</v>
      </c>
      <c r="AA68" s="21">
        <f>EXP(-LN(2)/25)*AA67+(1-EXP(-LN(2)/25))/(LN(2)/25)*Calculateur!V68*Calculateur!X68*VLOOKUP('Données projet'!$B$9,Paramètres!$A$1:$I$89,3,0)*0.475*44/12</f>
        <v>29.178385197645074</v>
      </c>
      <c r="AB68" s="21">
        <f>EXP(-LN(2)/2)*AB67+(1-EXP(-LN(2)/2))/(LN(2)/2)*V68*Y68*VLOOKUP('Données projet'!$B$9,Paramètres!$A$1:$I$89,3,0)*0.475*44/12</f>
        <v>1.0567176224334915E-2</v>
      </c>
      <c r="AC68" s="22">
        <f t="shared" ref="AC68:AC131" si="57">SUM(Z68:AB68)</f>
        <v>54.513774011451481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435.00000000000023</v>
      </c>
      <c r="AJ68" s="13">
        <f>AI68*VLOOKUP('Données projet'!$B$10,Paramètres!$A$1:$I$89,3,0)*VLOOKUP('Données projet'!$B$10,Paramètres!$A$1:$I$89,5,0)</f>
        <v>260.13000000000017</v>
      </c>
      <c r="AK68" s="13">
        <f t="shared" si="35"/>
        <v>62.75008789651104</v>
      </c>
      <c r="AL68" s="20">
        <f t="shared" ref="AL68:AL131" si="58">(AJ68+AK68)*0.475*44/12</f>
        <v>562.349486419757</v>
      </c>
      <c r="AM68" s="59">
        <f t="shared" ref="AM68:AM131" si="59">AL68+(AD68+AE68)*44/12</f>
        <v>855.68281975309037</v>
      </c>
      <c r="AN68" s="59">
        <f ca="1">AVERAGE(OFFSET($AM$3,0,0,'Données projet'!$E$10+1,1))-AVERAGE(OFFSET($H$3,0,0,'Données projet'!$E$10+1,1))</f>
        <v>247.08914525784144</v>
      </c>
      <c r="AO68" s="59">
        <f t="shared" si="36"/>
        <v>286.9617518796191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32.45503544723632</v>
      </c>
      <c r="AV68" s="21">
        <f>EXP(-LN(2)/25)*AV67+(1-EXP(-LN(2)/25))/(LN(2)/25)*Calculateur!AQ68*Calculateur!AS68*VLOOKUP('Données projet'!$B$10,Paramètres!$A$1:$I$89,3,0)*0.475*44/12</f>
        <v>27.859064751755071</v>
      </c>
      <c r="AW68" s="21">
        <f>EXP(-LN(2)/2)*AW67+(1-EXP(-LN(2)/2))/(LN(2)/2)*AQ68*AT68*VLOOKUP('Données projet'!$B$10,Paramètres!$A$1:$I$89,3,0)*0.475*44/12</f>
        <v>0.99242516514774559</v>
      </c>
      <c r="AX68" s="21">
        <f t="shared" ref="AX68:AX131" si="60">SUM(AU68:AW68)</f>
        <v>61.306525364139134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>
        <f>VLOOKUP(A68,'Données projet'!$A$87:$I$107,2,0)</f>
        <v>306</v>
      </c>
      <c r="BB68" s="12">
        <f>VLOOKUP(A68,'Données projet'!$A$87:$I$107,9,0)</f>
        <v>5.2</v>
      </c>
      <c r="BC68" s="12">
        <f t="array" ref="BC68">INDEX(BB:BB,MIN(IF(ISNUMBER(BB68:BB264),ROW(BB68:BB264),"")))</f>
        <v>5.2</v>
      </c>
      <c r="BD68" s="12">
        <f>IF('Données projet'!$A$88&gt;35,BD67+BC68-BL67,IF(A68&lt;'Données projet'!$A$88,$BA$205^A68,IF(A68='Données projet'!$A$88,'Données projet'!$B$88,BD67+BC68-BL67)))</f>
        <v>305.99999999999977</v>
      </c>
      <c r="BE68" s="13">
        <f>BD68*VLOOKUP('Données projet'!$B$11,Paramètres!$A$1:$I$89,3,0)*VLOOKUP('Données projet'!$B$11,Paramètres!$A$1:$I$89,5,0)</f>
        <v>243.45359999999982</v>
      </c>
      <c r="BF68" s="13">
        <f t="shared" si="37"/>
        <v>59.181970343065267</v>
      </c>
      <c r="BG68" s="20">
        <f t="shared" ref="BG68:BG131" si="61">(BE68+BF68)*0.475*44/12</f>
        <v>527.09028501417163</v>
      </c>
      <c r="BH68" s="59">
        <f t="shared" ref="BH68:BH131" si="62">BG68+(AY68+AZ68)*44/12</f>
        <v>820.423618347505</v>
      </c>
      <c r="BI68" s="59">
        <f ca="1">AVERAGE(OFFSET($BH$3,0,0,'Données projet'!$E$11+1,1))-AVERAGE(OFFSET($H$3,0,0,'Données projet'!$E$11+1,1))</f>
        <v>280.45463274302153</v>
      </c>
      <c r="BJ68" s="59">
        <f t="shared" si="38"/>
        <v>276.06968650495287</v>
      </c>
      <c r="BK68" s="15">
        <f>IF(ISNA(VLOOKUP(A68,'Données projet'!$A$87:$I$107,3,0)),0,VLOOKUP(A68,'Données projet'!$A$87:$I$107,3,0))</f>
        <v>11</v>
      </c>
      <c r="BL68" s="15">
        <f>IF(ISNA(VLOOKUP(A68,'Données projet'!$A$87:$I$107,4,0)),0,VLOOKUP(A68,'Données projet'!$A$87:$I$107,4,0))</f>
        <v>13</v>
      </c>
      <c r="BM68" s="16">
        <f>IF(ISNA(VLOOKUP(A68,'Données projet'!$A$87:$I$107,5,0)),0%,VLOOKUP(A68,'Données projet'!$A$87:$I$107,5,0)*VLOOKUP('Données projet'!$B$11,Paramètres!$A$1:$I$89,7,0))</f>
        <v>0.42400000000000004</v>
      </c>
      <c r="BN68" s="16">
        <f>IF(ISNA(VLOOKUP(A68,'Données projet'!$A$87:$I$107,6,0)),0%,VLOOKUP(A68,'Données projet'!$A$87:$I$107,6,0)*VLOOKUP('Données projet'!$B$11,Paramètres!$A$1:$I$89,7,0))</f>
        <v>2.12E-2</v>
      </c>
      <c r="BO68" s="16">
        <f>IF(ISNA(VLOOKUP(A68,'Données projet'!$A$87:$I$107,7,0)),0%,VLOOKUP(A68,'Données projet'!$A$87:$I$107,7,0))</f>
        <v>0.06</v>
      </c>
      <c r="BP68" s="21">
        <f>EXP(-LN(2)/35)*BP67+(1-EXP(-LN(2)/35))/(LN(2)/35)*BL68*BM68*VLOOKUP('Données projet'!$B$11,Paramètres!$A$1:$I$89,3,0)*0.475*44/12</f>
        <v>38.723949587749416</v>
      </c>
      <c r="BQ68" s="21">
        <f>EXP(-LN(2)/25)*BQ67+(1-EXP(-LN(2)/25))/(LN(2)/25)*Calculateur!BL68*Calculateur!BN68*VLOOKUP('Données projet'!$B$11,Paramètres!$A$1:$I$89,3,0)*0.475*44/12</f>
        <v>2.9941957537447434</v>
      </c>
      <c r="BR68" s="21">
        <f>EXP(-LN(2)/2)*BR67+(1-EXP(-LN(2)/2))/(LN(2)/2)*BL68*BO68*VLOOKUP('Données projet'!$B$11,Paramètres!$A$1:$I$89,3,0)*0.475*44/12</f>
        <v>0.72568299467337427</v>
      </c>
      <c r="BS68" s="22">
        <f t="shared" ref="BS68:BS131" si="63">SUM(BP68:BR68)</f>
        <v>42.443828336167535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30.887999999999998</v>
      </c>
      <c r="D69" s="11">
        <f t="shared" ref="D69:D132" si="86">IFERROR(EXP(-1.0587+0.8836*LN(C69)+0.284),0)</f>
        <v>9.5483937995519046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312.14058371583923</v>
      </c>
      <c r="H69" s="67">
        <f t="shared" si="56"/>
        <v>363.76005253421954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197.99999999999994</v>
      </c>
      <c r="O69" s="13">
        <f>N69*VLOOKUP('Données projet'!$B$9,Paramètres!$A$1:$I$89,3,0)*VLOOKUP('Données projet'!$B$9,Paramètres!$A$1:$I$89,5,0)</f>
        <v>123.55199999999995</v>
      </c>
      <c r="P69" s="13">
        <f t="shared" ref="P69:P132" si="87">EXP(-1.0587+0.8836*LN(O69)+0.284)</f>
        <v>32.502033262579566</v>
      </c>
      <c r="Q69" s="20">
        <f t="shared" si="54"/>
        <v>271.79410793232597</v>
      </c>
      <c r="R69" s="59">
        <f t="shared" si="55"/>
        <v>565.12744126565929</v>
      </c>
      <c r="S69" s="59">
        <f ca="1">AVERAGE(OFFSET($R$3,0,0,'Données projet'!$E$9+1,1))-AVERAGE(OFFSET($H$3,0,0,'Données projet'!$E$9+1,1))</f>
        <v>168.81286953191102</v>
      </c>
      <c r="T69" s="59">
        <f t="shared" ref="T69:T132" si="88">$T$3</f>
        <v>255.78677933103666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24.828217331885064</v>
      </c>
      <c r="AA69" s="21">
        <f>EXP(-LN(2)/25)*AA68+(1-EXP(-LN(2)/25))/(LN(2)/25)*Calculateur!V69*Calculateur!X69*VLOOKUP('Données projet'!$B$9,Paramètres!$A$1:$I$89,3,0)*0.475*44/12</f>
        <v>28.380500719990881</v>
      </c>
      <c r="AB69" s="21">
        <f>EXP(-LN(2)/2)*AB68+(1-EXP(-LN(2)/2))/(LN(2)/2)*V69*Y69*VLOOKUP('Données projet'!$B$9,Paramètres!$A$1:$I$89,3,0)*0.475*44/12</f>
        <v>7.472121966220476E-3</v>
      </c>
      <c r="AC69" s="22">
        <f t="shared" si="57"/>
        <v>53.216190173842172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435.00000000000023</v>
      </c>
      <c r="AJ69" s="13">
        <f>AI69*VLOOKUP('Données projet'!$B$10,Paramètres!$A$1:$I$89,3,0)*VLOOKUP('Données projet'!$B$10,Paramètres!$A$1:$I$89,5,0)</f>
        <v>260.13000000000017</v>
      </c>
      <c r="AK69" s="13">
        <f t="shared" ref="AK69:AK132" si="89">EXP(-1.0587+0.8836*LN(AJ69)+0.284)</f>
        <v>62.75008789651104</v>
      </c>
      <c r="AL69" s="20">
        <f t="shared" si="58"/>
        <v>562.349486419757</v>
      </c>
      <c r="AM69" s="59">
        <f t="shared" si="59"/>
        <v>855.68281975309037</v>
      </c>
      <c r="AN69" s="59">
        <f ca="1">AVERAGE(OFFSET($AM$3,0,0,'Données projet'!$E$10+1,1))-AVERAGE(OFFSET($H$3,0,0,'Données projet'!$E$10+1,1))</f>
        <v>247.08914525784144</v>
      </c>
      <c r="AO69" s="59">
        <f t="shared" ref="AO69:AO132" si="90">$AO$3</f>
        <v>286.9617518796191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31.818611997732983</v>
      </c>
      <c r="AV69" s="21">
        <f>EXP(-LN(2)/25)*AV68+(1-EXP(-LN(2)/25))/(LN(2)/25)*Calculateur!AQ69*Calculateur!AS69*VLOOKUP('Données projet'!$B$10,Paramètres!$A$1:$I$89,3,0)*0.475*44/12</f>
        <v>27.097257161073784</v>
      </c>
      <c r="AW69" s="21">
        <f>EXP(-LN(2)/2)*AW68+(1-EXP(-LN(2)/2))/(LN(2)/2)*AQ69*AT69*VLOOKUP('Données projet'!$B$10,Paramètres!$A$1:$I$89,3,0)*0.475*44/12</f>
        <v>0.70175056409615033</v>
      </c>
      <c r="AX69" s="21">
        <f t="shared" si="60"/>
        <v>59.617619722902923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4.5999999999999996</v>
      </c>
      <c r="BD69" s="12">
        <f>IF('Données projet'!$A$88&gt;35,BD68+BC69-BL68,IF(A69&lt;'Données projet'!$A$88,$BA$205^A69,IF(A69='Données projet'!$A$88,'Données projet'!$B$88,BD68+BC69-BL68)))</f>
        <v>297.5999999999998</v>
      </c>
      <c r="BE69" s="13">
        <f>BD69*VLOOKUP('Données projet'!$B$11,Paramètres!$A$1:$I$89,3,0)*VLOOKUP('Données projet'!$B$11,Paramètres!$A$1:$I$89,5,0)</f>
        <v>236.77055999999985</v>
      </c>
      <c r="BF69" s="13">
        <f t="shared" ref="BF69:BF132" si="91">EXP(-1.0587+0.8836*LN(BE69)+0.284)</f>
        <v>57.744153841586879</v>
      </c>
      <c r="BG69" s="20">
        <f t="shared" si="61"/>
        <v>512.94645994076348</v>
      </c>
      <c r="BH69" s="59">
        <f t="shared" si="62"/>
        <v>806.27979327409685</v>
      </c>
      <c r="BI69" s="59">
        <f ca="1">AVERAGE(OFFSET($BH$3,0,0,'Données projet'!$E$11+1,1))-AVERAGE(OFFSET($H$3,0,0,'Données projet'!$E$11+1,1))</f>
        <v>280.45463274302153</v>
      </c>
      <c r="BJ69" s="59">
        <f t="shared" ref="BJ69:BJ132" si="92">$BJ$3</f>
        <v>276.06968650495287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37.96459655561069</v>
      </c>
      <c r="BQ69" s="21">
        <f>EXP(-LN(2)/25)*BQ68+(1-EXP(-LN(2)/25))/(LN(2)/25)*Calculateur!BL69*Calculateur!BN69*VLOOKUP('Données projet'!$B$11,Paramètres!$A$1:$I$89,3,0)*0.475*44/12</f>
        <v>2.912319313400682</v>
      </c>
      <c r="BR69" s="21">
        <f>EXP(-LN(2)/2)*BR68+(1-EXP(-LN(2)/2))/(LN(2)/2)*BL69*BO69*VLOOKUP('Données projet'!$B$11,Paramètres!$A$1:$I$89,3,0)*0.475*44/12</f>
        <v>0.51313536652530423</v>
      </c>
      <c r="BS69" s="22">
        <f t="shared" si="63"/>
        <v>41.390051235536674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31.355999999999998</v>
      </c>
      <c r="D70" s="11">
        <f t="shared" si="86"/>
        <v>9.6761144436663837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316.73912903882825</v>
      </c>
      <c r="H70" s="67">
        <f t="shared" si="56"/>
        <v>364.79759932271895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197.99999999999994</v>
      </c>
      <c r="O70" s="13">
        <f>N70*VLOOKUP('Données projet'!$B$9,Paramètres!$A$1:$I$89,3,0)*VLOOKUP('Données projet'!$B$9,Paramètres!$A$1:$I$89,5,0)</f>
        <v>123.55199999999995</v>
      </c>
      <c r="P70" s="13">
        <f t="shared" si="87"/>
        <v>32.502033262579566</v>
      </c>
      <c r="Q70" s="20">
        <f t="shared" si="54"/>
        <v>271.79410793232597</v>
      </c>
      <c r="R70" s="59">
        <f t="shared" si="55"/>
        <v>565.12744126565929</v>
      </c>
      <c r="S70" s="59">
        <f ca="1">AVERAGE(OFFSET($R$3,0,0,'Données projet'!$E$9+1,1))-AVERAGE(OFFSET($H$3,0,0,'Données projet'!$E$9+1,1))</f>
        <v>168.81286953191102</v>
      </c>
      <c r="T70" s="59">
        <f t="shared" si="88"/>
        <v>255.78677933103666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24.341351133724054</v>
      </c>
      <c r="AA70" s="21">
        <f>EXP(-LN(2)/25)*AA69+(1-EXP(-LN(2)/25))/(LN(2)/25)*Calculateur!V70*Calculateur!X70*VLOOKUP('Données projet'!$B$9,Paramètres!$A$1:$I$89,3,0)*0.475*44/12</f>
        <v>27.604434435337062</v>
      </c>
      <c r="AB70" s="21">
        <f>EXP(-LN(2)/2)*AB69+(1-EXP(-LN(2)/2))/(LN(2)/2)*V70*Y70*VLOOKUP('Données projet'!$B$9,Paramètres!$A$1:$I$89,3,0)*0.475*44/12</f>
        <v>5.2835881121674581E-3</v>
      </c>
      <c r="AC70" s="22">
        <f t="shared" si="57"/>
        <v>51.951069157173286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435.00000000000023</v>
      </c>
      <c r="AJ70" s="13">
        <f>AI70*VLOOKUP('Données projet'!$B$10,Paramètres!$A$1:$I$89,3,0)*VLOOKUP('Données projet'!$B$10,Paramètres!$A$1:$I$89,5,0)</f>
        <v>260.13000000000017</v>
      </c>
      <c r="AK70" s="13">
        <f t="shared" si="89"/>
        <v>62.75008789651104</v>
      </c>
      <c r="AL70" s="20">
        <f t="shared" si="58"/>
        <v>562.349486419757</v>
      </c>
      <c r="AM70" s="59">
        <f t="shared" si="59"/>
        <v>855.68281975309037</v>
      </c>
      <c r="AN70" s="59">
        <f ca="1">AVERAGE(OFFSET($AM$3,0,0,'Données projet'!$E$10+1,1))-AVERAGE(OFFSET($H$3,0,0,'Données projet'!$E$10+1,1))</f>
        <v>247.08914525784144</v>
      </c>
      <c r="AO70" s="59">
        <f t="shared" si="90"/>
        <v>286.9617518796191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31.194668423894434</v>
      </c>
      <c r="AV70" s="21">
        <f>EXP(-LN(2)/25)*AV69+(1-EXP(-LN(2)/25))/(LN(2)/25)*Calculateur!AQ70*Calculateur!AS70*VLOOKUP('Données projet'!$B$10,Paramètres!$A$1:$I$89,3,0)*0.475*44/12</f>
        <v>26.356281239021399</v>
      </c>
      <c r="AW70" s="21">
        <f>EXP(-LN(2)/2)*AW69+(1-EXP(-LN(2)/2))/(LN(2)/2)*AQ70*AT70*VLOOKUP('Données projet'!$B$10,Paramètres!$A$1:$I$89,3,0)*0.475*44/12</f>
        <v>0.49621258257387291</v>
      </c>
      <c r="AX70" s="21">
        <f t="shared" si="60"/>
        <v>58.047162245489709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4.5999999999999996</v>
      </c>
      <c r="BD70" s="12">
        <f>IF('Données projet'!$A$88&gt;35,BD69+BC70-BL69,IF(A70&lt;'Données projet'!$A$88,$BA$205^A70,IF(A70='Données projet'!$A$88,'Données projet'!$B$88,BD69+BC70-BL69)))</f>
        <v>302.19999999999982</v>
      </c>
      <c r="BE70" s="13">
        <f>BD70*VLOOKUP('Données projet'!$B$11,Paramètres!$A$1:$I$89,3,0)*VLOOKUP('Données projet'!$B$11,Paramètres!$A$1:$I$89,5,0)</f>
        <v>240.43031999999985</v>
      </c>
      <c r="BF70" s="13">
        <f t="shared" si="91"/>
        <v>58.532106271380506</v>
      </c>
      <c r="BG70" s="20">
        <f t="shared" si="61"/>
        <v>520.69289242265415</v>
      </c>
      <c r="BH70" s="59">
        <f t="shared" si="62"/>
        <v>814.02622575598753</v>
      </c>
      <c r="BI70" s="59">
        <f ca="1">AVERAGE(OFFSET($BH$3,0,0,'Données projet'!$E$11+1,1))-AVERAGE(OFFSET($H$3,0,0,'Données projet'!$E$11+1,1))</f>
        <v>280.45463274302153</v>
      </c>
      <c r="BJ70" s="59">
        <f t="shared" si="92"/>
        <v>276.06968650495287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37.220133973272588</v>
      </c>
      <c r="BQ70" s="21">
        <f>EXP(-LN(2)/25)*BQ69+(1-EXP(-LN(2)/25))/(LN(2)/25)*Calculateur!BL70*Calculateur!BN70*VLOOKUP('Données projet'!$B$11,Paramètres!$A$1:$I$89,3,0)*0.475*44/12</f>
        <v>2.8326817886235238</v>
      </c>
      <c r="BR70" s="21">
        <f>EXP(-LN(2)/2)*BR69+(1-EXP(-LN(2)/2))/(LN(2)/2)*BL70*BO70*VLOOKUP('Données projet'!$B$11,Paramètres!$A$1:$I$89,3,0)*0.475*44/12</f>
        <v>0.36284149733668719</v>
      </c>
      <c r="BS70" s="22">
        <f t="shared" si="63"/>
        <v>40.415657259232802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31.823999999999998</v>
      </c>
      <c r="D71" s="11">
        <f t="shared" si="86"/>
        <v>9.8036133809220889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321.33596294045122</v>
      </c>
      <c r="H71" s="67">
        <f t="shared" si="56"/>
        <v>365.8347599717726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197.99999999999994</v>
      </c>
      <c r="O71" s="13">
        <f>N71*VLOOKUP('Données projet'!$B$9,Paramètres!$A$1:$I$89,3,0)*VLOOKUP('Données projet'!$B$9,Paramètres!$A$1:$I$89,5,0)</f>
        <v>123.55199999999995</v>
      </c>
      <c r="P71" s="13">
        <f t="shared" si="87"/>
        <v>32.502033262579566</v>
      </c>
      <c r="Q71" s="20">
        <f t="shared" si="54"/>
        <v>271.79410793232597</v>
      </c>
      <c r="R71" s="59">
        <f t="shared" si="55"/>
        <v>565.12744126565929</v>
      </c>
      <c r="S71" s="59">
        <f ca="1">AVERAGE(OFFSET($R$3,0,0,'Données projet'!$E$9+1,1))-AVERAGE(OFFSET($H$3,0,0,'Données projet'!$E$9+1,1))</f>
        <v>168.81286953191102</v>
      </c>
      <c r="T71" s="59">
        <f t="shared" si="88"/>
        <v>255.78677933103666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23.864032084749923</v>
      </c>
      <c r="AA71" s="21">
        <f>EXP(-LN(2)/25)*AA70+(1-EXP(-LN(2)/25))/(LN(2)/25)*Calculateur!V71*Calculateur!X71*VLOOKUP('Données projet'!$B$9,Paramètres!$A$1:$I$89,3,0)*0.475*44/12</f>
        <v>26.849589724048652</v>
      </c>
      <c r="AB71" s="21">
        <f>EXP(-LN(2)/2)*AB70+(1-EXP(-LN(2)/2))/(LN(2)/2)*V71*Y71*VLOOKUP('Données projet'!$B$9,Paramètres!$A$1:$I$89,3,0)*0.475*44/12</f>
        <v>3.7360609831102389E-3</v>
      </c>
      <c r="AC71" s="22">
        <f t="shared" si="57"/>
        <v>50.717357869781686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435.00000000000023</v>
      </c>
      <c r="AJ71" s="13">
        <f>AI71*VLOOKUP('Données projet'!$B$10,Paramètres!$A$1:$I$89,3,0)*VLOOKUP('Données projet'!$B$10,Paramètres!$A$1:$I$89,5,0)</f>
        <v>260.13000000000017</v>
      </c>
      <c r="AK71" s="13">
        <f t="shared" si="89"/>
        <v>62.75008789651104</v>
      </c>
      <c r="AL71" s="20">
        <f t="shared" si="58"/>
        <v>562.349486419757</v>
      </c>
      <c r="AM71" s="59">
        <f t="shared" si="59"/>
        <v>855.68281975309037</v>
      </c>
      <c r="AN71" s="59">
        <f ca="1">AVERAGE(OFFSET($AM$3,0,0,'Données projet'!$E$10+1,1))-AVERAGE(OFFSET($H$3,0,0,'Données projet'!$E$10+1,1))</f>
        <v>247.08914525784144</v>
      </c>
      <c r="AO71" s="59">
        <f t="shared" si="90"/>
        <v>286.9617518796191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30.582960002970857</v>
      </c>
      <c r="AV71" s="21">
        <f>EXP(-LN(2)/25)*AV70+(1-EXP(-LN(2)/25))/(LN(2)/25)*Calculateur!AQ71*Calculateur!AS71*VLOOKUP('Données projet'!$B$10,Paramètres!$A$1:$I$89,3,0)*0.475*44/12</f>
        <v>25.635567342523768</v>
      </c>
      <c r="AW71" s="21">
        <f>EXP(-LN(2)/2)*AW70+(1-EXP(-LN(2)/2))/(LN(2)/2)*AQ71*AT71*VLOOKUP('Données projet'!$B$10,Paramètres!$A$1:$I$89,3,0)*0.475*44/12</f>
        <v>0.35087528204807522</v>
      </c>
      <c r="AX71" s="21">
        <f t="shared" si="60"/>
        <v>56.569402627542694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4.5999999999999996</v>
      </c>
      <c r="BD71" s="12">
        <f>IF('Données projet'!$A$88&gt;35,BD70+BC71-BL70,IF(A71&lt;'Données projet'!$A$88,$BA$205^A71,IF(A71='Données projet'!$A$88,'Données projet'!$B$88,BD70+BC71-BL70)))</f>
        <v>306.79999999999984</v>
      </c>
      <c r="BE71" s="13">
        <f>BD71*VLOOKUP('Données projet'!$B$11,Paramètres!$A$1:$I$89,3,0)*VLOOKUP('Données projet'!$B$11,Paramètres!$A$1:$I$89,5,0)</f>
        <v>244.09007999999992</v>
      </c>
      <c r="BF71" s="13">
        <f t="shared" si="91"/>
        <v>59.318663780863893</v>
      </c>
      <c r="BG71" s="20">
        <f t="shared" si="61"/>
        <v>528.43689541833783</v>
      </c>
      <c r="BH71" s="59">
        <f t="shared" si="62"/>
        <v>821.77022875167108</v>
      </c>
      <c r="BI71" s="59">
        <f ca="1">AVERAGE(OFFSET($BH$3,0,0,'Données projet'!$E$11+1,1))-AVERAGE(OFFSET($H$3,0,0,'Données projet'!$E$11+1,1))</f>
        <v>280.45463274302153</v>
      </c>
      <c r="BJ71" s="59">
        <f t="shared" si="92"/>
        <v>276.06968650495287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36.490269848096794</v>
      </c>
      <c r="BQ71" s="21">
        <f>EXP(-LN(2)/25)*BQ70+(1-EXP(-LN(2)/25))/(LN(2)/25)*Calculateur!BL71*Calculateur!BN71*VLOOKUP('Données projet'!$B$11,Paramètres!$A$1:$I$89,3,0)*0.475*44/12</f>
        <v>2.7552219561493523</v>
      </c>
      <c r="BR71" s="21">
        <f>EXP(-LN(2)/2)*BR70+(1-EXP(-LN(2)/2))/(LN(2)/2)*BL71*BO71*VLOOKUP('Données projet'!$B$11,Paramètres!$A$1:$I$89,3,0)*0.475*44/12</f>
        <v>0.25656768326265217</v>
      </c>
      <c r="BS71" s="22">
        <f t="shared" si="63"/>
        <v>39.502059487508795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32.292000000000002</v>
      </c>
      <c r="D72" s="11">
        <f t="shared" si="86"/>
        <v>9.9308942483743401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325.93111349622302</v>
      </c>
      <c r="H72" s="67">
        <f t="shared" si="56"/>
        <v>366.87154081591865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197.99999999999994</v>
      </c>
      <c r="O72" s="13">
        <f>N72*VLOOKUP('Données projet'!$B$9,Paramètres!$A$1:$I$89,3,0)*VLOOKUP('Données projet'!$B$9,Paramètres!$A$1:$I$89,5,0)</f>
        <v>123.55199999999995</v>
      </c>
      <c r="P72" s="13">
        <f t="shared" si="87"/>
        <v>32.502033262579566</v>
      </c>
      <c r="Q72" s="20">
        <f t="shared" si="54"/>
        <v>271.79410793232597</v>
      </c>
      <c r="R72" s="59">
        <f t="shared" si="55"/>
        <v>565.12744126565929</v>
      </c>
      <c r="S72" s="59">
        <f ca="1">AVERAGE(OFFSET($R$3,0,0,'Données projet'!$E$9+1,1))-AVERAGE(OFFSET($H$3,0,0,'Données projet'!$E$9+1,1))</f>
        <v>168.81286953191102</v>
      </c>
      <c r="T72" s="59">
        <f t="shared" si="88"/>
        <v>255.78677933103666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23.3960729711903</v>
      </c>
      <c r="AA72" s="21">
        <f>EXP(-LN(2)/25)*AA71+(1-EXP(-LN(2)/25))/(LN(2)/25)*Calculateur!V72*Calculateur!X72*VLOOKUP('Données projet'!$B$9,Paramètres!$A$1:$I$89,3,0)*0.475*44/12</f>
        <v>26.115386281085982</v>
      </c>
      <c r="AB72" s="21">
        <f>EXP(-LN(2)/2)*AB71+(1-EXP(-LN(2)/2))/(LN(2)/2)*V72*Y72*VLOOKUP('Données projet'!$B$9,Paramètres!$A$1:$I$89,3,0)*0.475*44/12</f>
        <v>2.6417940560837295E-3</v>
      </c>
      <c r="AC72" s="22">
        <f t="shared" si="57"/>
        <v>49.514101046332364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435.00000000000023</v>
      </c>
      <c r="AJ72" s="13">
        <f>AI72*VLOOKUP('Données projet'!$B$10,Paramètres!$A$1:$I$89,3,0)*VLOOKUP('Données projet'!$B$10,Paramètres!$A$1:$I$89,5,0)</f>
        <v>260.13000000000017</v>
      </c>
      <c r="AK72" s="13">
        <f t="shared" si="89"/>
        <v>62.75008789651104</v>
      </c>
      <c r="AL72" s="20">
        <f t="shared" si="58"/>
        <v>562.349486419757</v>
      </c>
      <c r="AM72" s="59">
        <f t="shared" si="59"/>
        <v>855.68281975309037</v>
      </c>
      <c r="AN72" s="59">
        <f ca="1">AVERAGE(OFFSET($AM$3,0,0,'Données projet'!$E$10+1,1))-AVERAGE(OFFSET($H$3,0,0,'Données projet'!$E$10+1,1))</f>
        <v>247.08914525784144</v>
      </c>
      <c r="AO72" s="59">
        <f t="shared" si="90"/>
        <v>286.9617518796191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29.983246811076295</v>
      </c>
      <c r="AV72" s="21">
        <f>EXP(-LN(2)/25)*AV71+(1-EXP(-LN(2)/25))/(LN(2)/25)*Calculateur!AQ72*Calculateur!AS72*VLOOKUP('Données projet'!$B$10,Paramètres!$A$1:$I$89,3,0)*0.475*44/12</f>
        <v>24.93456140542656</v>
      </c>
      <c r="AW72" s="21">
        <f>EXP(-LN(2)/2)*AW71+(1-EXP(-LN(2)/2))/(LN(2)/2)*AQ72*AT72*VLOOKUP('Données projet'!$B$10,Paramètres!$A$1:$I$89,3,0)*0.475*44/12</f>
        <v>0.24810629128693648</v>
      </c>
      <c r="AX72" s="21">
        <f t="shared" si="60"/>
        <v>55.165914507789793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4.5999999999999996</v>
      </c>
      <c r="BD72" s="12">
        <f>IF('Données projet'!$A$88&gt;35,BD71+BC72-BL71,IF(A72&lt;'Données projet'!$A$88,$BA$205^A72,IF(A72='Données projet'!$A$88,'Données projet'!$B$88,BD71+BC72-BL71)))</f>
        <v>311.39999999999986</v>
      </c>
      <c r="BE72" s="13">
        <f>BD72*VLOOKUP('Données projet'!$B$11,Paramètres!$A$1:$I$89,3,0)*VLOOKUP('Données projet'!$B$11,Paramètres!$A$1:$I$89,5,0)</f>
        <v>247.74983999999992</v>
      </c>
      <c r="BF72" s="13">
        <f t="shared" si="91"/>
        <v>60.103849700617872</v>
      </c>
      <c r="BG72" s="20">
        <f t="shared" si="61"/>
        <v>536.17850956190932</v>
      </c>
      <c r="BH72" s="59">
        <f t="shared" si="62"/>
        <v>829.51184289524258</v>
      </c>
      <c r="BI72" s="59">
        <f ca="1">AVERAGE(OFFSET($BH$3,0,0,'Données projet'!$E$11+1,1))-AVERAGE(OFFSET($H$3,0,0,'Données projet'!$E$11+1,1))</f>
        <v>280.45463274302153</v>
      </c>
      <c r="BJ72" s="59">
        <f t="shared" si="92"/>
        <v>276.06968650495287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35.77471791324254</v>
      </c>
      <c r="BQ72" s="21">
        <f>EXP(-LN(2)/25)*BQ71+(1-EXP(-LN(2)/25))/(LN(2)/25)*Calculateur!BL72*Calculateur!BN72*VLOOKUP('Données projet'!$B$11,Paramètres!$A$1:$I$89,3,0)*0.475*44/12</f>
        <v>2.6798802668676229</v>
      </c>
      <c r="BR72" s="21">
        <f>EXP(-LN(2)/2)*BR71+(1-EXP(-LN(2)/2))/(LN(2)/2)*BL72*BO72*VLOOKUP('Données projet'!$B$11,Paramètres!$A$1:$I$89,3,0)*0.475*44/12</f>
        <v>0.18142074866834362</v>
      </c>
      <c r="BS72" s="22">
        <f t="shared" si="63"/>
        <v>38.636018928778505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32.760000000000005</v>
      </c>
      <c r="D73" s="11">
        <f t="shared" si="86"/>
        <v>10.057960571603429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330.52460792114931</v>
      </c>
      <c r="H73" s="67">
        <f t="shared" si="56"/>
        <v>367.9079479955426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197.99999999999994</v>
      </c>
      <c r="O73" s="13">
        <f>N73*VLOOKUP('Données projet'!$B$9,Paramètres!$A$1:$I$89,3,0)*VLOOKUP('Données projet'!$B$9,Paramètres!$A$1:$I$89,5,0)</f>
        <v>123.55199999999995</v>
      </c>
      <c r="P73" s="13">
        <f t="shared" si="87"/>
        <v>32.502033262579566</v>
      </c>
      <c r="Q73" s="20">
        <f t="shared" si="54"/>
        <v>271.79410793232597</v>
      </c>
      <c r="R73" s="59">
        <f t="shared" si="55"/>
        <v>565.12744126565929</v>
      </c>
      <c r="S73" s="59">
        <f ca="1">AVERAGE(OFFSET($R$3,0,0,'Données projet'!$E$9+1,1))-AVERAGE(OFFSET($H$3,0,0,'Données projet'!$E$9+1,1))</f>
        <v>168.81286953191102</v>
      </c>
      <c r="T73" s="59">
        <f t="shared" si="88"/>
        <v>255.78677933103666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22.937290250420705</v>
      </c>
      <c r="AA73" s="21">
        <f>EXP(-LN(2)/25)*AA72+(1-EXP(-LN(2)/25))/(LN(2)/25)*Calculateur!V73*Calculateur!X73*VLOOKUP('Données projet'!$B$9,Paramètres!$A$1:$I$89,3,0)*0.475*44/12</f>
        <v>25.40125966988121</v>
      </c>
      <c r="AB73" s="21">
        <f>EXP(-LN(2)/2)*AB72+(1-EXP(-LN(2)/2))/(LN(2)/2)*V73*Y73*VLOOKUP('Données projet'!$B$9,Paramètres!$A$1:$I$89,3,0)*0.475*44/12</f>
        <v>1.8680304915551196E-3</v>
      </c>
      <c r="AC73" s="22">
        <f t="shared" si="57"/>
        <v>48.340417950793473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435.00000000000023</v>
      </c>
      <c r="AJ73" s="13">
        <f>AI73*VLOOKUP('Données projet'!$B$10,Paramètres!$A$1:$I$89,3,0)*VLOOKUP('Données projet'!$B$10,Paramètres!$A$1:$I$89,5,0)</f>
        <v>260.13000000000017</v>
      </c>
      <c r="AK73" s="13">
        <f t="shared" si="89"/>
        <v>62.75008789651104</v>
      </c>
      <c r="AL73" s="20">
        <f t="shared" si="58"/>
        <v>562.349486419757</v>
      </c>
      <c r="AM73" s="59">
        <f t="shared" si="59"/>
        <v>855.68281975309037</v>
      </c>
      <c r="AN73" s="59">
        <f ca="1">AVERAGE(OFFSET($AM$3,0,0,'Données projet'!$E$10+1,1))-AVERAGE(OFFSET($H$3,0,0,'Données projet'!$E$10+1,1))</f>
        <v>247.08914525784144</v>
      </c>
      <c r="AO73" s="59">
        <f t="shared" si="90"/>
        <v>286.9617518796191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29.395293629085856</v>
      </c>
      <c r="AV73" s="21">
        <f>EXP(-LN(2)/25)*AV72+(1-EXP(-LN(2)/25))/(LN(2)/25)*Calculateur!AQ73*Calculateur!AS73*VLOOKUP('Données projet'!$B$10,Paramètres!$A$1:$I$89,3,0)*0.475*44/12</f>
        <v>24.252724512543576</v>
      </c>
      <c r="AW73" s="21">
        <f>EXP(-LN(2)/2)*AW72+(1-EXP(-LN(2)/2))/(LN(2)/2)*AQ73*AT73*VLOOKUP('Données projet'!$B$10,Paramètres!$A$1:$I$89,3,0)*0.475*44/12</f>
        <v>0.17543764102403764</v>
      </c>
      <c r="AX73" s="21">
        <f t="shared" si="60"/>
        <v>53.823455782653475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316</v>
      </c>
      <c r="BB73" s="12">
        <f>VLOOKUP(A73,'Données projet'!$A$87:$I$107,9,0)</f>
        <v>4.5999999999999996</v>
      </c>
      <c r="BC73" s="12">
        <f t="array" ref="BC73">INDEX(BB:BB,MIN(IF(ISNUMBER(BB73:BB269),ROW(BB73:BB269),"")))</f>
        <v>4.5999999999999996</v>
      </c>
      <c r="BD73" s="12">
        <f>IF('Données projet'!$A$88&gt;35,BD72+BC73-BL72,IF(A73&lt;'Données projet'!$A$88,$BA$205^A73,IF(A73='Données projet'!$A$88,'Données projet'!$B$88,BD72+BC73-BL72)))</f>
        <v>315.99999999999989</v>
      </c>
      <c r="BE73" s="13">
        <f>BD73*VLOOKUP('Données projet'!$B$11,Paramètres!$A$1:$I$89,3,0)*VLOOKUP('Données projet'!$B$11,Paramètres!$A$1:$I$89,5,0)</f>
        <v>251.40959999999993</v>
      </c>
      <c r="BF73" s="13">
        <f t="shared" si="91"/>
        <v>60.887686632376123</v>
      </c>
      <c r="BG73" s="20">
        <f t="shared" si="61"/>
        <v>543.91777421805489</v>
      </c>
      <c r="BH73" s="59">
        <f t="shared" si="62"/>
        <v>837.25110755138826</v>
      </c>
      <c r="BI73" s="59">
        <f ca="1">AVERAGE(OFFSET($BH$3,0,0,'Données projet'!$E$11+1,1))-AVERAGE(OFFSET($H$3,0,0,'Données projet'!$E$11+1,1))</f>
        <v>280.45463274302153</v>
      </c>
      <c r="BJ73" s="59">
        <f t="shared" si="92"/>
        <v>276.06968650495287</v>
      </c>
      <c r="BK73" s="15">
        <f>IF(ISNA(VLOOKUP(A73,'Données projet'!$A$87:$I$107,3,0)),0,VLOOKUP(A73,'Données projet'!$A$87:$I$107,3,0))</f>
        <v>12</v>
      </c>
      <c r="BL73" s="15">
        <f>IF(ISNA(VLOOKUP(A73,'Données projet'!$A$87:$I$107,4,0)),0,VLOOKUP(A73,'Données projet'!$A$87:$I$107,4,0))</f>
        <v>13</v>
      </c>
      <c r="BM73" s="16">
        <f>IF(ISNA(VLOOKUP(A73,'Données projet'!$A$87:$I$107,5,0)),0%,VLOOKUP(A73,'Données projet'!$A$87:$I$107,5,0)*VLOOKUP('Données projet'!$B$11,Paramètres!$A$1:$I$89,7,0))</f>
        <v>0.42400000000000004</v>
      </c>
      <c r="BN73" s="16">
        <f>IF(ISNA(VLOOKUP(A73,'Données projet'!$A$87:$I$107,6,0)),0%,VLOOKUP(A73,'Données projet'!$A$87:$I$107,6,0)*VLOOKUP('Données projet'!$B$11,Paramètres!$A$1:$I$89,7,0))</f>
        <v>2.12E-2</v>
      </c>
      <c r="BO73" s="16">
        <f>IF(ISNA(VLOOKUP(A73,'Données projet'!$A$87:$I$107,7,0)),0%,VLOOKUP(A73,'Données projet'!$A$87:$I$107,7,0))</f>
        <v>0.06</v>
      </c>
      <c r="BP73" s="21">
        <f>EXP(-LN(2)/35)*BP72+(1-EXP(-LN(2)/35))/(LN(2)/35)*BL73*BM73*VLOOKUP('Données projet'!$B$11,Paramètres!$A$1:$I$89,3,0)*0.475*44/12</f>
        <v>39.921068948954954</v>
      </c>
      <c r="BQ73" s="21">
        <f>EXP(-LN(2)/25)*BQ72+(1-EXP(-LN(2)/25))/(LN(2)/25)*Calculateur!BL73*Calculateur!BN73*VLOOKUP('Données projet'!$B$11,Paramètres!$A$1:$I$89,3,0)*0.475*44/12</f>
        <v>2.8480379758688481</v>
      </c>
      <c r="BR73" s="21">
        <f>EXP(-LN(2)/2)*BR72+(1-EXP(-LN(2)/2))/(LN(2)/2)*BL73*BO73*VLOOKUP('Données projet'!$B$11,Paramètres!$A$1:$I$89,3,0)*0.475*44/12</f>
        <v>0.71380645197416259</v>
      </c>
      <c r="BS73" s="22">
        <f t="shared" si="63"/>
        <v>43.482913376797967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33.228000000000009</v>
      </c>
      <c r="D74" s="11">
        <f t="shared" si="86"/>
        <v>10.184815769674017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335.11647260801004</v>
      </c>
      <c r="H74" s="67">
        <f t="shared" si="56"/>
        <v>368.94398746551559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197.99999999999994</v>
      </c>
      <c r="O74" s="13">
        <f>N74*VLOOKUP('Données projet'!$B$9,Paramètres!$A$1:$I$89,3,0)*VLOOKUP('Données projet'!$B$9,Paramètres!$A$1:$I$89,5,0)</f>
        <v>123.55199999999995</v>
      </c>
      <c r="P74" s="13">
        <f t="shared" si="87"/>
        <v>32.502033262579566</v>
      </c>
      <c r="Q74" s="20">
        <f t="shared" si="54"/>
        <v>271.79410793232597</v>
      </c>
      <c r="R74" s="59">
        <f t="shared" si="55"/>
        <v>565.12744126565929</v>
      </c>
      <c r="S74" s="59">
        <f ca="1">AVERAGE(OFFSET($R$3,0,0,'Données projet'!$E$9+1,1))-AVERAGE(OFFSET($H$3,0,0,'Données projet'!$E$9+1,1))</f>
        <v>168.81286953191102</v>
      </c>
      <c r="T74" s="59">
        <f t="shared" si="88"/>
        <v>255.78677933103666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22.487503978975575</v>
      </c>
      <c r="AA74" s="21">
        <f>EXP(-LN(2)/25)*AA73+(1-EXP(-LN(2)/25))/(LN(2)/25)*Calculateur!V74*Calculateur!X74*VLOOKUP('Données projet'!$B$9,Paramètres!$A$1:$I$89,3,0)*0.475*44/12</f>
        <v>24.706660888414117</v>
      </c>
      <c r="AB74" s="21">
        <f>EXP(-LN(2)/2)*AB73+(1-EXP(-LN(2)/2))/(LN(2)/2)*V74*Y74*VLOOKUP('Données projet'!$B$9,Paramètres!$A$1:$I$89,3,0)*0.475*44/12</f>
        <v>1.320897028041865E-3</v>
      </c>
      <c r="AC74" s="22">
        <f t="shared" si="57"/>
        <v>47.195485764417732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435.00000000000023</v>
      </c>
      <c r="AJ74" s="13">
        <f>AI74*VLOOKUP('Données projet'!$B$10,Paramètres!$A$1:$I$89,3,0)*VLOOKUP('Données projet'!$B$10,Paramètres!$A$1:$I$89,5,0)</f>
        <v>260.13000000000017</v>
      </c>
      <c r="AK74" s="13">
        <f t="shared" si="89"/>
        <v>62.75008789651104</v>
      </c>
      <c r="AL74" s="20">
        <f t="shared" si="58"/>
        <v>562.349486419757</v>
      </c>
      <c r="AM74" s="59">
        <f t="shared" si="59"/>
        <v>855.68281975309037</v>
      </c>
      <c r="AN74" s="59">
        <f ca="1">AVERAGE(OFFSET($AM$3,0,0,'Données projet'!$E$10+1,1))-AVERAGE(OFFSET($H$3,0,0,'Données projet'!$E$10+1,1))</f>
        <v>247.08914525784144</v>
      </c>
      <c r="AO74" s="59">
        <f t="shared" si="90"/>
        <v>286.9617518796191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28.818869850378221</v>
      </c>
      <c r="AV74" s="21">
        <f>EXP(-LN(2)/25)*AV73+(1-EXP(-LN(2)/25))/(LN(2)/25)*Calculateur!AQ74*Calculateur!AS74*VLOOKUP('Données projet'!$B$10,Paramètres!$A$1:$I$89,3,0)*0.475*44/12</f>
        <v>23.58953248535272</v>
      </c>
      <c r="AW74" s="21">
        <f>EXP(-LN(2)/2)*AW73+(1-EXP(-LN(2)/2))/(LN(2)/2)*AQ74*AT74*VLOOKUP('Données projet'!$B$10,Paramètres!$A$1:$I$89,3,0)*0.475*44/12</f>
        <v>0.12405314564346827</v>
      </c>
      <c r="AX74" s="21">
        <f t="shared" si="60"/>
        <v>52.532455481374406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4.2</v>
      </c>
      <c r="BD74" s="12">
        <f>IF('Données projet'!$A$88&gt;35,BD73+BC74-BL73,IF(A74&lt;'Données projet'!$A$88,$BA$205^A74,IF(A74='Données projet'!$A$88,'Données projet'!$B$88,BD73+BC74-BL73)))</f>
        <v>307.19999999999987</v>
      </c>
      <c r="BE74" s="13">
        <f>BD74*VLOOKUP('Données projet'!$B$11,Paramètres!$A$1:$I$89,3,0)*VLOOKUP('Données projet'!$B$11,Paramètres!$A$1:$I$89,5,0)</f>
        <v>244.40831999999992</v>
      </c>
      <c r="BF74" s="13">
        <f t="shared" si="91"/>
        <v>59.38699493610541</v>
      </c>
      <c r="BG74" s="20">
        <f t="shared" si="61"/>
        <v>529.11017351371675</v>
      </c>
      <c r="BH74" s="59">
        <f t="shared" si="62"/>
        <v>822.44350684705</v>
      </c>
      <c r="BI74" s="59">
        <f ca="1">AVERAGE(OFFSET($BH$3,0,0,'Données projet'!$E$11+1,1))-AVERAGE(OFFSET($H$3,0,0,'Données projet'!$E$11+1,1))</f>
        <v>280.45463274302153</v>
      </c>
      <c r="BJ74" s="59">
        <f t="shared" si="92"/>
        <v>276.06968650495287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39.138241136313695</v>
      </c>
      <c r="BQ74" s="21">
        <f>EXP(-LN(2)/25)*BQ73+(1-EXP(-LN(2)/25))/(LN(2)/25)*Calculateur!BL74*Calculateur!BN74*VLOOKUP('Données projet'!$B$11,Paramètres!$A$1:$I$89,3,0)*0.475*44/12</f>
        <v>2.7701582276469066</v>
      </c>
      <c r="BR74" s="21">
        <f>EXP(-LN(2)/2)*BR73+(1-EXP(-LN(2)/2))/(LN(2)/2)*BL74*BO74*VLOOKUP('Données projet'!$B$11,Paramètres!$A$1:$I$89,3,0)*0.475*44/12</f>
        <v>0.50473738264564005</v>
      </c>
      <c r="BS74" s="22">
        <f t="shared" si="63"/>
        <v>42.413136746606241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33.696000000000012</v>
      </c>
      <c r="D75" s="11">
        <f t="shared" si="86"/>
        <v>10.311463159807191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339.70673316342402</v>
      </c>
      <c r="H75" s="67">
        <f t="shared" si="56"/>
        <v>369.97966500333087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197.99999999999994</v>
      </c>
      <c r="O75" s="13">
        <f>N75*VLOOKUP('Données projet'!$B$9,Paramètres!$A$1:$I$89,3,0)*VLOOKUP('Données projet'!$B$9,Paramètres!$A$1:$I$89,5,0)</f>
        <v>123.55199999999995</v>
      </c>
      <c r="P75" s="13">
        <f t="shared" si="87"/>
        <v>32.502033262579566</v>
      </c>
      <c r="Q75" s="20">
        <f t="shared" si="54"/>
        <v>271.79410793232597</v>
      </c>
      <c r="R75" s="59">
        <f t="shared" si="55"/>
        <v>565.12744126565929</v>
      </c>
      <c r="S75" s="59">
        <f ca="1">AVERAGE(OFFSET($R$3,0,0,'Données projet'!$E$9+1,1))-AVERAGE(OFFSET($H$3,0,0,'Données projet'!$E$9+1,1))</f>
        <v>168.81286953191102</v>
      </c>
      <c r="T75" s="59">
        <f t="shared" si="88"/>
        <v>255.78677933103666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22.046537741970948</v>
      </c>
      <c r="AA75" s="21">
        <f>EXP(-LN(2)/25)*AA74+(1-EXP(-LN(2)/25))/(LN(2)/25)*Calculateur!V75*Calculateur!X75*VLOOKUP('Données projet'!$B$9,Paramètres!$A$1:$I$89,3,0)*0.475*44/12</f>
        <v>24.031055947153604</v>
      </c>
      <c r="AB75" s="21">
        <f>EXP(-LN(2)/2)*AB74+(1-EXP(-LN(2)/2))/(LN(2)/2)*V75*Y75*VLOOKUP('Données projet'!$B$9,Paramètres!$A$1:$I$89,3,0)*0.475*44/12</f>
        <v>9.3401524577756004E-4</v>
      </c>
      <c r="AC75" s="22">
        <f t="shared" si="57"/>
        <v>46.07852770437033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435.00000000000023</v>
      </c>
      <c r="AJ75" s="13">
        <f>AI75*VLOOKUP('Données projet'!$B$10,Paramètres!$A$1:$I$89,3,0)*VLOOKUP('Données projet'!$B$10,Paramètres!$A$1:$I$89,5,0)</f>
        <v>260.13000000000017</v>
      </c>
      <c r="AK75" s="13">
        <f t="shared" si="89"/>
        <v>62.75008789651104</v>
      </c>
      <c r="AL75" s="20">
        <f t="shared" si="58"/>
        <v>562.349486419757</v>
      </c>
      <c r="AM75" s="59">
        <f t="shared" si="59"/>
        <v>855.68281975309037</v>
      </c>
      <c r="AN75" s="59">
        <f ca="1">AVERAGE(OFFSET($AM$3,0,0,'Données projet'!$E$10+1,1))-AVERAGE(OFFSET($H$3,0,0,'Données projet'!$E$10+1,1))</f>
        <v>247.08914525784144</v>
      </c>
      <c r="AO75" s="59">
        <f t="shared" si="90"/>
        <v>286.9617518796191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28.253749390387252</v>
      </c>
      <c r="AV75" s="21">
        <f>EXP(-LN(2)/25)*AV74+(1-EXP(-LN(2)/25))/(LN(2)/25)*Calculateur!AQ75*Calculateur!AS75*VLOOKUP('Données projet'!$B$10,Paramètres!$A$1:$I$89,3,0)*0.475*44/12</f>
        <v>22.94447547902115</v>
      </c>
      <c r="AW75" s="21">
        <f>EXP(-LN(2)/2)*AW74+(1-EXP(-LN(2)/2))/(LN(2)/2)*AQ75*AT75*VLOOKUP('Données projet'!$B$10,Paramètres!$A$1:$I$89,3,0)*0.475*44/12</f>
        <v>8.7718820512018833E-2</v>
      </c>
      <c r="AX75" s="21">
        <f t="shared" si="60"/>
        <v>51.285943689920423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4.2</v>
      </c>
      <c r="BD75" s="12">
        <f>IF('Données projet'!$A$88&gt;35,BD74+BC75-BL74,IF(A75&lt;'Données projet'!$A$88,$BA$205^A75,IF(A75='Données projet'!$A$88,'Données projet'!$B$88,BD74+BC75-BL74)))</f>
        <v>311.39999999999986</v>
      </c>
      <c r="BE75" s="13">
        <f>BD75*VLOOKUP('Données projet'!$B$11,Paramètres!$A$1:$I$89,3,0)*VLOOKUP('Données projet'!$B$11,Paramètres!$A$1:$I$89,5,0)</f>
        <v>247.74983999999992</v>
      </c>
      <c r="BF75" s="13">
        <f t="shared" si="91"/>
        <v>60.103849700617872</v>
      </c>
      <c r="BG75" s="20">
        <f t="shared" si="61"/>
        <v>536.17850956190932</v>
      </c>
      <c r="BH75" s="59">
        <f t="shared" si="62"/>
        <v>829.51184289524258</v>
      </c>
      <c r="BI75" s="59">
        <f ca="1">AVERAGE(OFFSET($BH$3,0,0,'Données projet'!$E$11+1,1))-AVERAGE(OFFSET($H$3,0,0,'Données projet'!$E$11+1,1))</f>
        <v>280.45463274302153</v>
      </c>
      <c r="BJ75" s="59">
        <f t="shared" si="92"/>
        <v>276.06968650495287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38.370764099600514</v>
      </c>
      <c r="BQ75" s="21">
        <f>EXP(-LN(2)/25)*BQ74+(1-EXP(-LN(2)/25))/(LN(2)/25)*Calculateur!BL75*Calculateur!BN75*VLOOKUP('Données projet'!$B$11,Paramètres!$A$1:$I$89,3,0)*0.475*44/12</f>
        <v>2.6944081052356119</v>
      </c>
      <c r="BR75" s="21">
        <f>EXP(-LN(2)/2)*BR74+(1-EXP(-LN(2)/2))/(LN(2)/2)*BL75*BO75*VLOOKUP('Données projet'!$B$11,Paramètres!$A$1:$I$89,3,0)*0.475*44/12</f>
        <v>0.35690322598708135</v>
      </c>
      <c r="BS75" s="22">
        <f t="shared" si="63"/>
        <v>41.422075430823206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34.164000000000016</v>
      </c>
      <c r="D76" s="11">
        <f t="shared" si="86"/>
        <v>10.437905961785614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344.29541444185406</v>
      </c>
      <c r="H76" s="67">
        <f t="shared" si="56"/>
        <v>371.01498621677661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197.99999999999994</v>
      </c>
      <c r="O76" s="13">
        <f>N76*VLOOKUP('Données projet'!$B$9,Paramètres!$A$1:$I$89,3,0)*VLOOKUP('Données projet'!$B$9,Paramètres!$A$1:$I$89,5,0)</f>
        <v>123.55199999999995</v>
      </c>
      <c r="P76" s="13">
        <f t="shared" si="87"/>
        <v>32.502033262579566</v>
      </c>
      <c r="Q76" s="20">
        <f t="shared" si="54"/>
        <v>271.79410793232597</v>
      </c>
      <c r="R76" s="59">
        <f t="shared" si="55"/>
        <v>565.12744126565929</v>
      </c>
      <c r="S76" s="59">
        <f ca="1">AVERAGE(OFFSET($R$3,0,0,'Données projet'!$E$9+1,1))-AVERAGE(OFFSET($H$3,0,0,'Données projet'!$E$9+1,1))</f>
        <v>168.81286953191102</v>
      </c>
      <c r="T76" s="59">
        <f t="shared" si="88"/>
        <v>255.78677933103666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21.614218583911132</v>
      </c>
      <c r="AA76" s="21">
        <f>EXP(-LN(2)/25)*AA75+(1-EXP(-LN(2)/25))/(LN(2)/25)*Calculateur!V76*Calculateur!X76*VLOOKUP('Données projet'!$B$9,Paramètres!$A$1:$I$89,3,0)*0.475*44/12</f>
        <v>23.373925458540381</v>
      </c>
      <c r="AB76" s="21">
        <f>EXP(-LN(2)/2)*AB75+(1-EXP(-LN(2)/2))/(LN(2)/2)*V76*Y76*VLOOKUP('Données projet'!$B$9,Paramètres!$A$1:$I$89,3,0)*0.475*44/12</f>
        <v>6.6044851402093259E-4</v>
      </c>
      <c r="AC76" s="22">
        <f t="shared" si="57"/>
        <v>44.988804490965528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435.00000000000023</v>
      </c>
      <c r="AJ76" s="13">
        <f>AI76*VLOOKUP('Données projet'!$B$10,Paramètres!$A$1:$I$89,3,0)*VLOOKUP('Données projet'!$B$10,Paramètres!$A$1:$I$89,5,0)</f>
        <v>260.13000000000017</v>
      </c>
      <c r="AK76" s="13">
        <f t="shared" si="89"/>
        <v>62.75008789651104</v>
      </c>
      <c r="AL76" s="20">
        <f t="shared" si="58"/>
        <v>562.349486419757</v>
      </c>
      <c r="AM76" s="59">
        <f t="shared" si="59"/>
        <v>855.68281975309037</v>
      </c>
      <c r="AN76" s="59">
        <f ca="1">AVERAGE(OFFSET($AM$3,0,0,'Données projet'!$E$10+1,1))-AVERAGE(OFFSET($H$3,0,0,'Données projet'!$E$10+1,1))</f>
        <v>247.08914525784144</v>
      </c>
      <c r="AO76" s="59">
        <f t="shared" si="90"/>
        <v>286.9617518796191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27.699710597927261</v>
      </c>
      <c r="AV76" s="21">
        <f>EXP(-LN(2)/25)*AV75+(1-EXP(-LN(2)/25))/(LN(2)/25)*Calculateur!AQ76*Calculateur!AS76*VLOOKUP('Données projet'!$B$10,Paramètres!$A$1:$I$89,3,0)*0.475*44/12</f>
        <v>22.317057590449792</v>
      </c>
      <c r="AW76" s="21">
        <f>EXP(-LN(2)/2)*AW75+(1-EXP(-LN(2)/2))/(LN(2)/2)*AQ76*AT76*VLOOKUP('Données projet'!$B$10,Paramètres!$A$1:$I$89,3,0)*0.475*44/12</f>
        <v>6.2026572821734141E-2</v>
      </c>
      <c r="AX76" s="21">
        <f t="shared" si="60"/>
        <v>50.078794761198793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4.2</v>
      </c>
      <c r="BD76" s="12">
        <f>IF('Données projet'!$A$88&gt;35,BD75+BC76-BL75,IF(A76&lt;'Données projet'!$A$88,$BA$205^A76,IF(A76='Données projet'!$A$88,'Données projet'!$B$88,BD75+BC76-BL75)))</f>
        <v>315.59999999999985</v>
      </c>
      <c r="BE76" s="13">
        <f>BD76*VLOOKUP('Données projet'!$B$11,Paramètres!$A$1:$I$89,3,0)*VLOOKUP('Données projet'!$B$11,Paramètres!$A$1:$I$89,5,0)</f>
        <v>251.0913599999999</v>
      </c>
      <c r="BF76" s="13">
        <f t="shared" si="91"/>
        <v>60.81957989149403</v>
      </c>
      <c r="BG76" s="20">
        <f t="shared" si="61"/>
        <v>543.24488697768527</v>
      </c>
      <c r="BH76" s="59">
        <f t="shared" si="62"/>
        <v>836.57822031101864</v>
      </c>
      <c r="BI76" s="59">
        <f ca="1">AVERAGE(OFFSET($BH$3,0,0,'Données projet'!$E$11+1,1))-AVERAGE(OFFSET($H$3,0,0,'Données projet'!$E$11+1,1))</f>
        <v>280.45463274302153</v>
      </c>
      <c r="BJ76" s="59">
        <f t="shared" si="92"/>
        <v>276.06968650495287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37.618336819462513</v>
      </c>
      <c r="BQ76" s="21">
        <f>EXP(-LN(2)/25)*BQ75+(1-EXP(-LN(2)/25))/(LN(2)/25)*Calculateur!BL76*Calculateur!BN76*VLOOKUP('Données projet'!$B$11,Paramètres!$A$1:$I$89,3,0)*0.475*44/12</f>
        <v>2.62072937390518</v>
      </c>
      <c r="BR76" s="21">
        <f>EXP(-LN(2)/2)*BR75+(1-EXP(-LN(2)/2))/(LN(2)/2)*BL76*BO76*VLOOKUP('Données projet'!$B$11,Paramètres!$A$1:$I$89,3,0)*0.475*44/12</f>
        <v>0.25236869132282008</v>
      </c>
      <c r="BS76" s="22">
        <f t="shared" si="63"/>
        <v>40.491434884690513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34.632000000000019</v>
      </c>
      <c r="D77" s="11">
        <f t="shared" si="86"/>
        <v>10.564147302110397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348.88254057769444</v>
      </c>
      <c r="H77" s="67">
        <f t="shared" si="56"/>
        <v>372.04995655117563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197.99999999999994</v>
      </c>
      <c r="O77" s="13">
        <f>N77*VLOOKUP('Données projet'!$B$9,Paramètres!$A$1:$I$89,3,0)*VLOOKUP('Données projet'!$B$9,Paramètres!$A$1:$I$89,5,0)</f>
        <v>123.55199999999995</v>
      </c>
      <c r="P77" s="13">
        <f t="shared" si="87"/>
        <v>32.502033262579566</v>
      </c>
      <c r="Q77" s="20">
        <f t="shared" si="54"/>
        <v>271.79410793232597</v>
      </c>
      <c r="R77" s="59">
        <f t="shared" si="55"/>
        <v>565.12744126565929</v>
      </c>
      <c r="S77" s="59">
        <f ca="1">AVERAGE(OFFSET($R$3,0,0,'Données projet'!$E$9+1,1))-AVERAGE(OFFSET($H$3,0,0,'Données projet'!$E$9+1,1))</f>
        <v>168.81286953191102</v>
      </c>
      <c r="T77" s="59">
        <f t="shared" si="88"/>
        <v>255.78677933103666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21.190376940852222</v>
      </c>
      <c r="AA77" s="21">
        <f>EXP(-LN(2)/25)*AA76+(1-EXP(-LN(2)/25))/(LN(2)/25)*Calculateur!V77*Calculateur!X77*VLOOKUP('Données projet'!$B$9,Paramètres!$A$1:$I$89,3,0)*0.475*44/12</f>
        <v>22.734764237695277</v>
      </c>
      <c r="AB77" s="21">
        <f>EXP(-LN(2)/2)*AB76+(1-EXP(-LN(2)/2))/(LN(2)/2)*V77*Y77*VLOOKUP('Données projet'!$B$9,Paramètres!$A$1:$I$89,3,0)*0.475*44/12</f>
        <v>4.6700762288878007E-4</v>
      </c>
      <c r="AC77" s="22">
        <f t="shared" si="57"/>
        <v>43.925608186170386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435.00000000000023</v>
      </c>
      <c r="AJ77" s="13">
        <f>AI77*VLOOKUP('Données projet'!$B$10,Paramètres!$A$1:$I$89,3,0)*VLOOKUP('Données projet'!$B$10,Paramètres!$A$1:$I$89,5,0)</f>
        <v>260.13000000000017</v>
      </c>
      <c r="AK77" s="13">
        <f t="shared" si="89"/>
        <v>62.75008789651104</v>
      </c>
      <c r="AL77" s="20">
        <f t="shared" si="58"/>
        <v>562.349486419757</v>
      </c>
      <c r="AM77" s="59">
        <f t="shared" si="59"/>
        <v>855.68281975309037</v>
      </c>
      <c r="AN77" s="59">
        <f ca="1">AVERAGE(OFFSET($AM$3,0,0,'Données projet'!$E$10+1,1))-AVERAGE(OFFSET($H$3,0,0,'Données projet'!$E$10+1,1))</f>
        <v>247.08914525784144</v>
      </c>
      <c r="AO77" s="59">
        <f t="shared" si="90"/>
        <v>286.9617518796191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27.156536168257116</v>
      </c>
      <c r="AV77" s="21">
        <f>EXP(-LN(2)/25)*AV76+(1-EXP(-LN(2)/25))/(LN(2)/25)*Calculateur!AQ77*Calculateur!AS77*VLOOKUP('Données projet'!$B$10,Paramètres!$A$1:$I$89,3,0)*0.475*44/12</f>
        <v>21.706796477035891</v>
      </c>
      <c r="AW77" s="21">
        <f>EXP(-LN(2)/2)*AW76+(1-EXP(-LN(2)/2))/(LN(2)/2)*AQ77*AT77*VLOOKUP('Données projet'!$B$10,Paramètres!$A$1:$I$89,3,0)*0.475*44/12</f>
        <v>4.3859410256009423E-2</v>
      </c>
      <c r="AX77" s="21">
        <f t="shared" si="60"/>
        <v>48.907192055549018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4.2</v>
      </c>
      <c r="BD77" s="12">
        <f>IF('Données projet'!$A$88&gt;35,BD76+BC77-BL76,IF(A77&lt;'Données projet'!$A$88,$BA$205^A77,IF(A77='Données projet'!$A$88,'Données projet'!$B$88,BD76+BC77-BL76)))</f>
        <v>319.79999999999984</v>
      </c>
      <c r="BE77" s="13">
        <f>BD77*VLOOKUP('Données projet'!$B$11,Paramètres!$A$1:$I$89,3,0)*VLOOKUP('Données projet'!$B$11,Paramètres!$A$1:$I$89,5,0)</f>
        <v>254.4328799999999</v>
      </c>
      <c r="BF77" s="13">
        <f t="shared" si="91"/>
        <v>61.534202204620392</v>
      </c>
      <c r="BG77" s="20">
        <f t="shared" si="61"/>
        <v>550.30933483971364</v>
      </c>
      <c r="BH77" s="59">
        <f t="shared" si="62"/>
        <v>843.64266817304701</v>
      </c>
      <c r="BI77" s="59">
        <f ca="1">AVERAGE(OFFSET($BH$3,0,0,'Données projet'!$E$11+1,1))-AVERAGE(OFFSET($H$3,0,0,'Données projet'!$E$11+1,1))</f>
        <v>280.45463274302153</v>
      </c>
      <c r="BJ77" s="59">
        <f t="shared" si="92"/>
        <v>276.06968650495287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36.880664179352692</v>
      </c>
      <c r="BQ77" s="21">
        <f>EXP(-LN(2)/25)*BQ76+(1-EXP(-LN(2)/25))/(LN(2)/25)*Calculateur!BL77*Calculateur!BN77*VLOOKUP('Données projet'!$B$11,Paramètres!$A$1:$I$89,3,0)*0.475*44/12</f>
        <v>2.5490653913575749</v>
      </c>
      <c r="BR77" s="21">
        <f>EXP(-LN(2)/2)*BR76+(1-EXP(-LN(2)/2))/(LN(2)/2)*BL77*BO77*VLOOKUP('Données projet'!$B$11,Paramètres!$A$1:$I$89,3,0)*0.475*44/12</f>
        <v>0.1784516129935407</v>
      </c>
      <c r="BS77" s="22">
        <f t="shared" si="63"/>
        <v>39.608181183703806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35.100000000000023</v>
      </c>
      <c r="D78" s="11">
        <f t="shared" si="86"/>
        <v>10.690190217926903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353.46813501557631</v>
      </c>
      <c r="H78" s="67">
        <f t="shared" si="56"/>
        <v>373.08458129622272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197.99999999999994</v>
      </c>
      <c r="O78" s="13">
        <f>N78*VLOOKUP('Données projet'!$B$9,Paramètres!$A$1:$I$89,3,0)*VLOOKUP('Données projet'!$B$9,Paramètres!$A$1:$I$89,5,0)</f>
        <v>123.55199999999995</v>
      </c>
      <c r="P78" s="13">
        <f t="shared" si="87"/>
        <v>32.502033262579566</v>
      </c>
      <c r="Q78" s="20">
        <f t="shared" si="54"/>
        <v>271.79410793232597</v>
      </c>
      <c r="R78" s="59">
        <f t="shared" si="55"/>
        <v>565.12744126565929</v>
      </c>
      <c r="S78" s="59">
        <f ca="1">AVERAGE(OFFSET($R$3,0,0,'Données projet'!$E$9+1,1))-AVERAGE(OFFSET($H$3,0,0,'Données projet'!$E$9+1,1))</f>
        <v>168.81286953191102</v>
      </c>
      <c r="T78" s="59">
        <f t="shared" si="88"/>
        <v>255.78677933103666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20.774846573895822</v>
      </c>
      <c r="AA78" s="21">
        <f>EXP(-LN(2)/25)*AA77+(1-EXP(-LN(2)/25))/(LN(2)/25)*Calculateur!V78*Calculateur!X78*VLOOKUP('Données projet'!$B$9,Paramètres!$A$1:$I$89,3,0)*0.475*44/12</f>
        <v>22.113080914046208</v>
      </c>
      <c r="AB78" s="21">
        <f>EXP(-LN(2)/2)*AB77+(1-EXP(-LN(2)/2))/(LN(2)/2)*V78*Y78*VLOOKUP('Données projet'!$B$9,Paramètres!$A$1:$I$89,3,0)*0.475*44/12</f>
        <v>3.3022425701046635E-4</v>
      </c>
      <c r="AC78" s="22">
        <f t="shared" si="57"/>
        <v>42.888257712199042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435.00000000000023</v>
      </c>
      <c r="AJ78" s="13">
        <f>AI78*VLOOKUP('Données projet'!$B$10,Paramètres!$A$1:$I$89,3,0)*VLOOKUP('Données projet'!$B$10,Paramètres!$A$1:$I$89,5,0)</f>
        <v>260.13000000000017</v>
      </c>
      <c r="AK78" s="13">
        <f t="shared" si="89"/>
        <v>62.75008789651104</v>
      </c>
      <c r="AL78" s="20">
        <f t="shared" si="58"/>
        <v>562.349486419757</v>
      </c>
      <c r="AM78" s="59">
        <f t="shared" si="59"/>
        <v>855.68281975309037</v>
      </c>
      <c r="AN78" s="59">
        <f ca="1">AVERAGE(OFFSET($AM$3,0,0,'Données projet'!$E$10+1,1))-AVERAGE(OFFSET($H$3,0,0,'Données projet'!$E$10+1,1))</f>
        <v>247.08914525784144</v>
      </c>
      <c r="AO78" s="59">
        <f t="shared" si="90"/>
        <v>286.9617518796191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26.624013057849112</v>
      </c>
      <c r="AV78" s="21">
        <f>EXP(-LN(2)/25)*AV77+(1-EXP(-LN(2)/25))/(LN(2)/25)*Calculateur!AQ78*Calculateur!AS78*VLOOKUP('Données projet'!$B$10,Paramètres!$A$1:$I$89,3,0)*0.475*44/12</f>
        <v>21.113222985860528</v>
      </c>
      <c r="AW78" s="21">
        <f>EXP(-LN(2)/2)*AW77+(1-EXP(-LN(2)/2))/(LN(2)/2)*AQ78*AT78*VLOOKUP('Données projet'!$B$10,Paramètres!$A$1:$I$89,3,0)*0.475*44/12</f>
        <v>3.1013286410867077E-2</v>
      </c>
      <c r="AX78" s="21">
        <f t="shared" si="60"/>
        <v>47.768249330120511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>
        <f>VLOOKUP(A78,'Données projet'!$A$87:$I$107,2,0)</f>
        <v>324</v>
      </c>
      <c r="BB78" s="12">
        <f>VLOOKUP(A78,'Données projet'!$A$87:$I$107,9,0)</f>
        <v>4.2</v>
      </c>
      <c r="BC78" s="12">
        <f t="array" ref="BC78">INDEX(BB:BB,MIN(IF(ISNUMBER(BB78:BB274),ROW(BB78:BB274),"")))</f>
        <v>4.2</v>
      </c>
      <c r="BD78" s="12">
        <f>IF('Données projet'!$A$88&gt;35,BD77+BC78-BL77,IF(A78&lt;'Données projet'!$A$88,$BA$205^A78,IF(A78='Données projet'!$A$88,'Données projet'!$B$88,BD77+BC78-BL77)))</f>
        <v>323.99999999999983</v>
      </c>
      <c r="BE78" s="13">
        <f>BD78*VLOOKUP('Données projet'!$B$11,Paramètres!$A$1:$I$89,3,0)*VLOOKUP('Données projet'!$B$11,Paramètres!$A$1:$I$89,5,0)</f>
        <v>257.7743999999999</v>
      </c>
      <c r="BF78" s="13">
        <f t="shared" si="91"/>
        <v>62.247732872134243</v>
      </c>
      <c r="BG78" s="20">
        <f t="shared" si="61"/>
        <v>557.37188141896695</v>
      </c>
      <c r="BH78" s="59">
        <f t="shared" si="62"/>
        <v>850.70521475230021</v>
      </c>
      <c r="BI78" s="59">
        <f ca="1">AVERAGE(OFFSET($BH$3,0,0,'Données projet'!$E$11+1,1))-AVERAGE(OFFSET($H$3,0,0,'Données projet'!$E$11+1,1))</f>
        <v>280.45463274302153</v>
      </c>
      <c r="BJ78" s="59">
        <f t="shared" si="92"/>
        <v>276.06968650495287</v>
      </c>
      <c r="BK78" s="15">
        <f>IF(ISNA(VLOOKUP(A78,'Données projet'!$A$87:$I$107,3,0)),0,VLOOKUP(A78,'Données projet'!$A$87:$I$107,3,0))</f>
        <v>13</v>
      </c>
      <c r="BL78" s="15">
        <f>IF(ISNA(VLOOKUP(A78,'Données projet'!$A$87:$I$107,4,0)),0,VLOOKUP(A78,'Données projet'!$A$87:$I$107,4,0))</f>
        <v>12</v>
      </c>
      <c r="BM78" s="16">
        <f>IF(ISNA(VLOOKUP(A78,'Données projet'!$A$87:$I$107,5,0)),0%,VLOOKUP(A78,'Données projet'!$A$87:$I$107,5,0)*VLOOKUP('Données projet'!$B$11,Paramètres!$A$1:$I$89,7,0))</f>
        <v>0.42400000000000004</v>
      </c>
      <c r="BN78" s="16">
        <f>IF(ISNA(VLOOKUP(A78,'Données projet'!$A$87:$I$107,6,0)),0%,VLOOKUP(A78,'Données projet'!$A$87:$I$107,6,0)*VLOOKUP('Données projet'!$B$11,Paramètres!$A$1:$I$89,7,0))</f>
        <v>2.12E-2</v>
      </c>
      <c r="BO78" s="16">
        <f>IF(ISNA(VLOOKUP(A78,'Données projet'!$A$87:$I$107,7,0)),0%,VLOOKUP(A78,'Données projet'!$A$87:$I$107,7,0))</f>
        <v>0.06</v>
      </c>
      <c r="BP78" s="21">
        <f>EXP(-LN(2)/35)*BP77+(1-EXP(-LN(2)/35))/(LN(2)/35)*BL78*BM78*VLOOKUP('Données projet'!$B$11,Paramètres!$A$1:$I$89,3,0)*0.475*44/12</f>
        <v>40.632415096149785</v>
      </c>
      <c r="BQ78" s="21">
        <f>EXP(-LN(2)/25)*BQ77+(1-EXP(-LN(2)/25))/(LN(2)/25)*Calculateur!BL78*Calculateur!BN78*VLOOKUP('Données projet'!$B$11,Paramètres!$A$1:$I$89,3,0)*0.475*44/12</f>
        <v>2.702227995714455</v>
      </c>
      <c r="BR78" s="21">
        <f>EXP(-LN(2)/2)*BR77+(1-EXP(-LN(2)/2))/(LN(2)/2)*BL78*BO78*VLOOKUP('Données projet'!$B$11,Paramètres!$A$1:$I$89,3,0)*0.475*44/12</f>
        <v>0.6666667552086436</v>
      </c>
      <c r="BS78" s="22">
        <f t="shared" si="63"/>
        <v>44.001309847072882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35.568000000000026</v>
      </c>
      <c r="D79" s="11">
        <f t="shared" si="86"/>
        <v>10.816037660735214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358.05222053900889</v>
      </c>
      <c r="H79" s="67">
        <f t="shared" si="56"/>
        <v>374.11886559244721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197.99999999999994</v>
      </c>
      <c r="O79" s="13">
        <f>N79*VLOOKUP('Données projet'!$B$9,Paramètres!$A$1:$I$89,3,0)*VLOOKUP('Données projet'!$B$9,Paramètres!$A$1:$I$89,5,0)</f>
        <v>123.55199999999995</v>
      </c>
      <c r="P79" s="13">
        <f t="shared" si="87"/>
        <v>32.502033262579566</v>
      </c>
      <c r="Q79" s="20">
        <f t="shared" si="54"/>
        <v>271.79410793232597</v>
      </c>
      <c r="R79" s="59">
        <f t="shared" si="55"/>
        <v>565.12744126565929</v>
      </c>
      <c r="S79" s="59">
        <f ca="1">AVERAGE(OFFSET($R$3,0,0,'Données projet'!$E$9+1,1))-AVERAGE(OFFSET($H$3,0,0,'Données projet'!$E$9+1,1))</f>
        <v>168.81286953191102</v>
      </c>
      <c r="T79" s="59">
        <f t="shared" si="88"/>
        <v>255.78677933103666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20.367464503986938</v>
      </c>
      <c r="AA79" s="21">
        <f>EXP(-LN(2)/25)*AA78+(1-EXP(-LN(2)/25))/(LN(2)/25)*Calculateur!V79*Calculateur!X79*VLOOKUP('Données projet'!$B$9,Paramètres!$A$1:$I$89,3,0)*0.475*44/12</f>
        <v>21.508397553575229</v>
      </c>
      <c r="AB79" s="21">
        <f>EXP(-LN(2)/2)*AB78+(1-EXP(-LN(2)/2))/(LN(2)/2)*V79*Y79*VLOOKUP('Données projet'!$B$9,Paramètres!$A$1:$I$89,3,0)*0.475*44/12</f>
        <v>2.3350381144439006E-4</v>
      </c>
      <c r="AC79" s="22">
        <f t="shared" si="57"/>
        <v>41.87609556137361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435.00000000000023</v>
      </c>
      <c r="AJ79" s="13">
        <f>AI79*VLOOKUP('Données projet'!$B$10,Paramètres!$A$1:$I$89,3,0)*VLOOKUP('Données projet'!$B$10,Paramètres!$A$1:$I$89,5,0)</f>
        <v>260.13000000000017</v>
      </c>
      <c r="AK79" s="13">
        <f t="shared" si="89"/>
        <v>62.75008789651104</v>
      </c>
      <c r="AL79" s="20">
        <f t="shared" si="58"/>
        <v>562.349486419757</v>
      </c>
      <c r="AM79" s="59">
        <f t="shared" si="59"/>
        <v>855.68281975309037</v>
      </c>
      <c r="AN79" s="59">
        <f ca="1">AVERAGE(OFFSET($AM$3,0,0,'Données projet'!$E$10+1,1))-AVERAGE(OFFSET($H$3,0,0,'Données projet'!$E$10+1,1))</f>
        <v>247.08914525784144</v>
      </c>
      <c r="AO79" s="59">
        <f t="shared" si="90"/>
        <v>286.9617518796191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26.101932400829185</v>
      </c>
      <c r="AV79" s="21">
        <f>EXP(-LN(2)/25)*AV78+(1-EXP(-LN(2)/25))/(LN(2)/25)*Calculateur!AQ79*Calculateur!AS79*VLOOKUP('Données projet'!$B$10,Paramètres!$A$1:$I$89,3,0)*0.475*44/12</f>
        <v>20.53588079301603</v>
      </c>
      <c r="AW79" s="21">
        <f>EXP(-LN(2)/2)*AW78+(1-EXP(-LN(2)/2))/(LN(2)/2)*AQ79*AT79*VLOOKUP('Données projet'!$B$10,Paramètres!$A$1:$I$89,3,0)*0.475*44/12</f>
        <v>2.1929705128004715E-2</v>
      </c>
      <c r="AX79" s="21">
        <f t="shared" si="60"/>
        <v>46.659742898973221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3.6</v>
      </c>
      <c r="BD79" s="12">
        <f>IF('Données projet'!$A$88&gt;35,BD78+BC79-BL78,IF(A79&lt;'Données projet'!$A$88,$BA$205^A79,IF(A79='Données projet'!$A$88,'Données projet'!$B$88,BD78+BC79-BL78)))</f>
        <v>315.59999999999985</v>
      </c>
      <c r="BE79" s="13">
        <f>BD79*VLOOKUP('Données projet'!$B$11,Paramètres!$A$1:$I$89,3,0)*VLOOKUP('Données projet'!$B$11,Paramètres!$A$1:$I$89,5,0)</f>
        <v>251.0913599999999</v>
      </c>
      <c r="BF79" s="13">
        <f t="shared" si="91"/>
        <v>60.81957989149403</v>
      </c>
      <c r="BG79" s="20">
        <f t="shared" si="61"/>
        <v>543.24488697768527</v>
      </c>
      <c r="BH79" s="59">
        <f t="shared" si="62"/>
        <v>836.57822031101864</v>
      </c>
      <c r="BI79" s="59">
        <f ca="1">AVERAGE(OFFSET($BH$3,0,0,'Données projet'!$E$11+1,1))-AVERAGE(OFFSET($H$3,0,0,'Données projet'!$E$11+1,1))</f>
        <v>280.45463274302153</v>
      </c>
      <c r="BJ79" s="59">
        <f t="shared" si="92"/>
        <v>276.06968650495287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39.835638219440348</v>
      </c>
      <c r="BQ79" s="21">
        <f>EXP(-LN(2)/25)*BQ78+(1-EXP(-LN(2)/25))/(LN(2)/25)*Calculateur!BL79*Calculateur!BN79*VLOOKUP('Données projet'!$B$11,Paramètres!$A$1:$I$89,3,0)*0.475*44/12</f>
        <v>2.6283354290676488</v>
      </c>
      <c r="BR79" s="21">
        <f>EXP(-LN(2)/2)*BR78+(1-EXP(-LN(2)/2))/(LN(2)/2)*BL79*BO79*VLOOKUP('Données projet'!$B$11,Paramètres!$A$1:$I$89,3,0)*0.475*44/12</f>
        <v>0.47140458339966401</v>
      </c>
      <c r="BS79" s="22">
        <f t="shared" si="63"/>
        <v>42.935378231907656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36.03600000000003</v>
      </c>
      <c r="D80" s="11">
        <f t="shared" si="86"/>
        <v>10.941692499899752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362.63481929747201</v>
      </c>
      <c r="H80" s="67">
        <f t="shared" si="56"/>
        <v>375.15281443732545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197.99999999999994</v>
      </c>
      <c r="O80" s="13">
        <f>N80*VLOOKUP('Données projet'!$B$9,Paramètres!$A$1:$I$89,3,0)*VLOOKUP('Données projet'!$B$9,Paramètres!$A$1:$I$89,5,0)</f>
        <v>123.55199999999995</v>
      </c>
      <c r="P80" s="13">
        <f t="shared" si="87"/>
        <v>32.502033262579566</v>
      </c>
      <c r="Q80" s="20">
        <f t="shared" si="54"/>
        <v>271.79410793232597</v>
      </c>
      <c r="R80" s="59">
        <f t="shared" si="55"/>
        <v>565.12744126565929</v>
      </c>
      <c r="S80" s="59">
        <f ca="1">AVERAGE(OFFSET($R$3,0,0,'Données projet'!$E$9+1,1))-AVERAGE(OFFSET($H$3,0,0,'Données projet'!$E$9+1,1))</f>
        <v>168.81286953191102</v>
      </c>
      <c r="T80" s="59">
        <f t="shared" si="88"/>
        <v>255.78677933103666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19.968070947990437</v>
      </c>
      <c r="AA80" s="21">
        <f>EXP(-LN(2)/25)*AA79+(1-EXP(-LN(2)/25))/(LN(2)/25)*Calculateur!V80*Calculateur!X80*VLOOKUP('Données projet'!$B$9,Paramètres!$A$1:$I$89,3,0)*0.475*44/12</f>
        <v>20.920249291395244</v>
      </c>
      <c r="AB80" s="21">
        <f>EXP(-LN(2)/2)*AB79+(1-EXP(-LN(2)/2))/(LN(2)/2)*V80*Y80*VLOOKUP('Données projet'!$B$9,Paramètres!$A$1:$I$89,3,0)*0.475*44/12</f>
        <v>1.6511212850523318E-4</v>
      </c>
      <c r="AC80" s="22">
        <f t="shared" si="57"/>
        <v>40.888485351514184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435.00000000000023</v>
      </c>
      <c r="AJ80" s="13">
        <f>AI80*VLOOKUP('Données projet'!$B$10,Paramètres!$A$1:$I$89,3,0)*VLOOKUP('Données projet'!$B$10,Paramètres!$A$1:$I$89,5,0)</f>
        <v>260.13000000000017</v>
      </c>
      <c r="AK80" s="13">
        <f t="shared" si="89"/>
        <v>62.75008789651104</v>
      </c>
      <c r="AL80" s="20">
        <f t="shared" si="58"/>
        <v>562.349486419757</v>
      </c>
      <c r="AM80" s="59">
        <f t="shared" si="59"/>
        <v>855.68281975309037</v>
      </c>
      <c r="AN80" s="59">
        <f ca="1">AVERAGE(OFFSET($AM$3,0,0,'Données projet'!$E$10+1,1))-AVERAGE(OFFSET($H$3,0,0,'Données projet'!$E$10+1,1))</f>
        <v>247.08914525784144</v>
      </c>
      <c r="AO80" s="59">
        <f t="shared" si="90"/>
        <v>286.9617518796191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25.590089427055659</v>
      </c>
      <c r="AV80" s="21">
        <f>EXP(-LN(2)/25)*AV79+(1-EXP(-LN(2)/25))/(LN(2)/25)*Calculateur!AQ80*Calculateur!AS80*VLOOKUP('Données projet'!$B$10,Paramètres!$A$1:$I$89,3,0)*0.475*44/12</f>
        <v>19.97432605279597</v>
      </c>
      <c r="AW80" s="21">
        <f>EXP(-LN(2)/2)*AW79+(1-EXP(-LN(2)/2))/(LN(2)/2)*AQ80*AT80*VLOOKUP('Données projet'!$B$10,Paramètres!$A$1:$I$89,3,0)*0.475*44/12</f>
        <v>1.550664320543354E-2</v>
      </c>
      <c r="AX80" s="21">
        <f t="shared" si="60"/>
        <v>45.579922123057067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3.6</v>
      </c>
      <c r="BD80" s="12">
        <f>IF('Données projet'!$A$88&gt;35,BD79+BC80-BL79,IF(A80&lt;'Données projet'!$A$88,$BA$205^A80,IF(A80='Données projet'!$A$88,'Données projet'!$B$88,BD79+BC80-BL79)))</f>
        <v>319.19999999999987</v>
      </c>
      <c r="BE80" s="13">
        <f>BD80*VLOOKUP('Données projet'!$B$11,Paramètres!$A$1:$I$89,3,0)*VLOOKUP('Données projet'!$B$11,Paramètres!$A$1:$I$89,5,0)</f>
        <v>253.95551999999992</v>
      </c>
      <c r="BF80" s="13">
        <f t="shared" si="91"/>
        <v>61.432180511879253</v>
      </c>
      <c r="BG80" s="20">
        <f t="shared" si="61"/>
        <v>549.30024505818949</v>
      </c>
      <c r="BH80" s="59">
        <f t="shared" si="62"/>
        <v>842.63357839152286</v>
      </c>
      <c r="BI80" s="59">
        <f ca="1">AVERAGE(OFFSET($BH$3,0,0,'Données projet'!$E$11+1,1))-AVERAGE(OFFSET($H$3,0,0,'Données projet'!$E$11+1,1))</f>
        <v>280.45463274302153</v>
      </c>
      <c r="BJ80" s="59">
        <f t="shared" si="92"/>
        <v>276.06968650495287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39.05448565129727</v>
      </c>
      <c r="BQ80" s="21">
        <f>EXP(-LN(2)/25)*BQ79+(1-EXP(-LN(2)/25))/(LN(2)/25)*Calculateur!BL80*Calculateur!BN80*VLOOKUP('Données projet'!$B$11,Paramètres!$A$1:$I$89,3,0)*0.475*44/12</f>
        <v>2.556463458541641</v>
      </c>
      <c r="BR80" s="21">
        <f>EXP(-LN(2)/2)*BR79+(1-EXP(-LN(2)/2))/(LN(2)/2)*BL80*BO80*VLOOKUP('Données projet'!$B$11,Paramètres!$A$1:$I$89,3,0)*0.475*44/12</f>
        <v>0.33333337760432186</v>
      </c>
      <c r="BS80" s="22">
        <f t="shared" si="63"/>
        <v>41.944282487443232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36.504000000000033</v>
      </c>
      <c r="D81" s="11">
        <f t="shared" si="86"/>
        <v>11.067157525971385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367.21595283206005</v>
      </c>
      <c r="H81" s="67">
        <f t="shared" si="56"/>
        <v>376.18643269106684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197.99999999999994</v>
      </c>
      <c r="O81" s="13">
        <f>N81*VLOOKUP('Données projet'!$B$9,Paramètres!$A$1:$I$89,3,0)*VLOOKUP('Données projet'!$B$9,Paramètres!$A$1:$I$89,5,0)</f>
        <v>123.55199999999995</v>
      </c>
      <c r="P81" s="13">
        <f t="shared" si="87"/>
        <v>32.502033262579566</v>
      </c>
      <c r="Q81" s="20">
        <f t="shared" si="54"/>
        <v>271.79410793232597</v>
      </c>
      <c r="R81" s="59">
        <f t="shared" si="55"/>
        <v>565.12744126565929</v>
      </c>
      <c r="S81" s="59">
        <f ca="1">AVERAGE(OFFSET($R$3,0,0,'Données projet'!$E$9+1,1))-AVERAGE(OFFSET($H$3,0,0,'Données projet'!$E$9+1,1))</f>
        <v>168.81286953191102</v>
      </c>
      <c r="T81" s="59">
        <f t="shared" si="88"/>
        <v>255.78677933103666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19.576509256021016</v>
      </c>
      <c r="AA81" s="21">
        <f>EXP(-LN(2)/25)*AA80+(1-EXP(-LN(2)/25))/(LN(2)/25)*Calculateur!V81*Calculateur!X81*VLOOKUP('Données projet'!$B$9,Paramètres!$A$1:$I$89,3,0)*0.475*44/12</f>
        <v>20.348183974373946</v>
      </c>
      <c r="AB81" s="21">
        <f>EXP(-LN(2)/2)*AB80+(1-EXP(-LN(2)/2))/(LN(2)/2)*V81*Y81*VLOOKUP('Données projet'!$B$9,Paramètres!$A$1:$I$89,3,0)*0.475*44/12</f>
        <v>1.1675190572219503E-4</v>
      </c>
      <c r="AC81" s="22">
        <f t="shared" si="57"/>
        <v>39.924809982300687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435.00000000000023</v>
      </c>
      <c r="AJ81" s="13">
        <f>AI81*VLOOKUP('Données projet'!$B$10,Paramètres!$A$1:$I$89,3,0)*VLOOKUP('Données projet'!$B$10,Paramètres!$A$1:$I$89,5,0)</f>
        <v>260.13000000000017</v>
      </c>
      <c r="AK81" s="13">
        <f t="shared" si="89"/>
        <v>62.75008789651104</v>
      </c>
      <c r="AL81" s="20">
        <f t="shared" si="58"/>
        <v>562.349486419757</v>
      </c>
      <c r="AM81" s="59">
        <f t="shared" si="59"/>
        <v>855.68281975309037</v>
      </c>
      <c r="AN81" s="59">
        <f ca="1">AVERAGE(OFFSET($AM$3,0,0,'Données projet'!$E$10+1,1))-AVERAGE(OFFSET($H$3,0,0,'Données projet'!$E$10+1,1))</f>
        <v>247.08914525784144</v>
      </c>
      <c r="AO81" s="59">
        <f t="shared" si="90"/>
        <v>286.9617518796191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25.088283381804445</v>
      </c>
      <c r="AV81" s="21">
        <f>EXP(-LN(2)/25)*AV80+(1-EXP(-LN(2)/25))/(LN(2)/25)*Calculateur!AQ81*Calculateur!AS81*VLOOKUP('Données projet'!$B$10,Paramètres!$A$1:$I$89,3,0)*0.475*44/12</f>
        <v>19.428127056478107</v>
      </c>
      <c r="AW81" s="21">
        <f>EXP(-LN(2)/2)*AW80+(1-EXP(-LN(2)/2))/(LN(2)/2)*AQ81*AT81*VLOOKUP('Données projet'!$B$10,Paramètres!$A$1:$I$89,3,0)*0.475*44/12</f>
        <v>1.0964852564002359E-2</v>
      </c>
      <c r="AX81" s="21">
        <f t="shared" si="60"/>
        <v>44.52737529084655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3.6</v>
      </c>
      <c r="BD81" s="12">
        <f>IF('Données projet'!$A$88&gt;35,BD80+BC81-BL80,IF(A81&lt;'Données projet'!$A$88,$BA$205^A81,IF(A81='Données projet'!$A$88,'Données projet'!$B$88,BD80+BC81-BL80)))</f>
        <v>322.7999999999999</v>
      </c>
      <c r="BE81" s="13">
        <f>BD81*VLOOKUP('Données projet'!$B$11,Paramètres!$A$1:$I$89,3,0)*VLOOKUP('Données projet'!$B$11,Paramètres!$A$1:$I$89,5,0)</f>
        <v>256.81967999999995</v>
      </c>
      <c r="BF81" s="13">
        <f t="shared" si="91"/>
        <v>62.043977430851903</v>
      </c>
      <c r="BG81" s="20">
        <f t="shared" si="61"/>
        <v>555.35420335873357</v>
      </c>
      <c r="BH81" s="59">
        <f t="shared" si="62"/>
        <v>848.68753669206694</v>
      </c>
      <c r="BI81" s="59">
        <f ca="1">AVERAGE(OFFSET($BH$3,0,0,'Données projet'!$E$11+1,1))-AVERAGE(OFFSET($H$3,0,0,'Données projet'!$E$11+1,1))</f>
        <v>280.45463274302153</v>
      </c>
      <c r="BJ81" s="59">
        <f t="shared" si="92"/>
        <v>276.06968650495287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38.288651008559462</v>
      </c>
      <c r="BQ81" s="21">
        <f>EXP(-LN(2)/25)*BQ80+(1-EXP(-LN(2)/25))/(LN(2)/25)*Calculateur!BL81*Calculateur!BN81*VLOOKUP('Données projet'!$B$11,Paramètres!$A$1:$I$89,3,0)*0.475*44/12</f>
        <v>2.4865568308292496</v>
      </c>
      <c r="BR81" s="21">
        <f>EXP(-LN(2)/2)*BR80+(1-EXP(-LN(2)/2))/(LN(2)/2)*BL81*BO81*VLOOKUP('Données projet'!$B$11,Paramètres!$A$1:$I$89,3,0)*0.475*44/12</f>
        <v>0.23570229169983206</v>
      </c>
      <c r="BS81" s="22">
        <f t="shared" si="63"/>
        <v>41.010910131088544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36.972000000000037</v>
      </c>
      <c r="D82" s="11">
        <f t="shared" si="86"/>
        <v>11.192435453834337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371.79564209977411</v>
      </c>
      <c r="H82" s="67">
        <f t="shared" si="56"/>
        <v>377.21972508209484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197.99999999999994</v>
      </c>
      <c r="O82" s="13">
        <f>N82*VLOOKUP('Données projet'!$B$9,Paramètres!$A$1:$I$89,3,0)*VLOOKUP('Données projet'!$B$9,Paramètres!$A$1:$I$89,5,0)</f>
        <v>123.55199999999995</v>
      </c>
      <c r="P82" s="13">
        <f t="shared" si="87"/>
        <v>32.502033262579566</v>
      </c>
      <c r="Q82" s="20">
        <f t="shared" si="54"/>
        <v>271.79410793232597</v>
      </c>
      <c r="R82" s="59">
        <f t="shared" si="55"/>
        <v>565.12744126565929</v>
      </c>
      <c r="S82" s="59">
        <f ca="1">AVERAGE(OFFSET($R$3,0,0,'Données projet'!$E$9+1,1))-AVERAGE(OFFSET($H$3,0,0,'Données projet'!$E$9+1,1))</f>
        <v>168.81286953191102</v>
      </c>
      <c r="T82" s="59">
        <f t="shared" si="88"/>
        <v>255.78677933103666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19.192625850002063</v>
      </c>
      <c r="AA82" s="21">
        <f>EXP(-LN(2)/25)*AA81+(1-EXP(-LN(2)/25))/(LN(2)/25)*Calculateur!V82*Calculateur!X82*VLOOKUP('Données projet'!$B$9,Paramètres!$A$1:$I$89,3,0)*0.475*44/12</f>
        <v>19.791761813530201</v>
      </c>
      <c r="AB82" s="21">
        <f>EXP(-LN(2)/2)*AB81+(1-EXP(-LN(2)/2))/(LN(2)/2)*V82*Y82*VLOOKUP('Données projet'!$B$9,Paramètres!$A$1:$I$89,3,0)*0.475*44/12</f>
        <v>8.2556064252616588E-5</v>
      </c>
      <c r="AC82" s="22">
        <f t="shared" si="57"/>
        <v>38.98447021959651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435.00000000000023</v>
      </c>
      <c r="AJ82" s="13">
        <f>AI82*VLOOKUP('Données projet'!$B$10,Paramètres!$A$1:$I$89,3,0)*VLOOKUP('Données projet'!$B$10,Paramètres!$A$1:$I$89,5,0)</f>
        <v>260.13000000000017</v>
      </c>
      <c r="AK82" s="13">
        <f t="shared" si="89"/>
        <v>62.75008789651104</v>
      </c>
      <c r="AL82" s="20">
        <f t="shared" si="58"/>
        <v>562.349486419757</v>
      </c>
      <c r="AM82" s="59">
        <f t="shared" si="59"/>
        <v>855.68281975309037</v>
      </c>
      <c r="AN82" s="59">
        <f ca="1">AVERAGE(OFFSET($AM$3,0,0,'Données projet'!$E$10+1,1))-AVERAGE(OFFSET($H$3,0,0,'Données projet'!$E$10+1,1))</f>
        <v>247.08914525784144</v>
      </c>
      <c r="AO82" s="59">
        <f t="shared" si="90"/>
        <v>286.9617518796191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24.59631744702914</v>
      </c>
      <c r="AV82" s="21">
        <f>EXP(-LN(2)/25)*AV81+(1-EXP(-LN(2)/25))/(LN(2)/25)*Calculateur!AQ82*Calculateur!AS82*VLOOKUP('Données projet'!$B$10,Paramètres!$A$1:$I$89,3,0)*0.475*44/12</f>
        <v>18.896863900437914</v>
      </c>
      <c r="AW82" s="21">
        <f>EXP(-LN(2)/2)*AW81+(1-EXP(-LN(2)/2))/(LN(2)/2)*AQ82*AT82*VLOOKUP('Données projet'!$B$10,Paramètres!$A$1:$I$89,3,0)*0.475*44/12</f>
        <v>7.7533216027167711E-3</v>
      </c>
      <c r="AX82" s="21">
        <f t="shared" si="60"/>
        <v>43.500934669069771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3.6</v>
      </c>
      <c r="BD82" s="12">
        <f>IF('Données projet'!$A$88&gt;35,BD81+BC82-BL81,IF(A82&lt;'Données projet'!$A$88,$BA$205^A82,IF(A82='Données projet'!$A$88,'Données projet'!$B$88,BD81+BC82-BL81)))</f>
        <v>326.39999999999992</v>
      </c>
      <c r="BE82" s="13">
        <f>BD82*VLOOKUP('Données projet'!$B$11,Paramètres!$A$1:$I$89,3,0)*VLOOKUP('Données projet'!$B$11,Paramètres!$A$1:$I$89,5,0)</f>
        <v>259.68383999999998</v>
      </c>
      <c r="BF82" s="13">
        <f t="shared" si="91"/>
        <v>62.654980648867358</v>
      </c>
      <c r="BG82" s="20">
        <f t="shared" si="61"/>
        <v>561.40677929677724</v>
      </c>
      <c r="BH82" s="59">
        <f t="shared" si="62"/>
        <v>854.74011263011062</v>
      </c>
      <c r="BI82" s="59">
        <f ca="1">AVERAGE(OFFSET($BH$3,0,0,'Données projet'!$E$11+1,1))-AVERAGE(OFFSET($H$3,0,0,'Données projet'!$E$11+1,1))</f>
        <v>280.45463274302153</v>
      </c>
      <c r="BJ82" s="59">
        <f t="shared" si="92"/>
        <v>276.06968650495287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37.537833916052733</v>
      </c>
      <c r="BQ82" s="21">
        <f>EXP(-LN(2)/25)*BQ81+(1-EXP(-LN(2)/25))/(LN(2)/25)*Calculateur!BL82*Calculateur!BN82*VLOOKUP('Données projet'!$B$11,Paramètres!$A$1:$I$89,3,0)*0.475*44/12</f>
        <v>2.4185618035278833</v>
      </c>
      <c r="BR82" s="21">
        <f>EXP(-LN(2)/2)*BR81+(1-EXP(-LN(2)/2))/(LN(2)/2)*BL82*BO82*VLOOKUP('Données projet'!$B$11,Paramètres!$A$1:$I$89,3,0)*0.475*44/12</f>
        <v>0.16666668880216096</v>
      </c>
      <c r="BS82" s="22">
        <f t="shared" si="63"/>
        <v>40.123062408382779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37.44000000000004</v>
      </c>
      <c r="D83" s="11">
        <f t="shared" si="86"/>
        <v>11.317528925689196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376.37390749654855</v>
      </c>
      <c r="H83" s="67">
        <f t="shared" si="56"/>
        <v>378.25269621224209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197.99999999999994</v>
      </c>
      <c r="O83" s="13">
        <f>N83*VLOOKUP('Données projet'!$B$9,Paramètres!$A$1:$I$89,3,0)*VLOOKUP('Données projet'!$B$9,Paramètres!$A$1:$I$89,5,0)</f>
        <v>123.55199999999995</v>
      </c>
      <c r="P83" s="13">
        <f t="shared" si="87"/>
        <v>32.502033262579566</v>
      </c>
      <c r="Q83" s="20">
        <f t="shared" si="54"/>
        <v>271.79410793232597</v>
      </c>
      <c r="R83" s="59">
        <f t="shared" si="55"/>
        <v>565.12744126565929</v>
      </c>
      <c r="S83" s="59">
        <f ca="1">AVERAGE(OFFSET($R$3,0,0,'Données projet'!$E$9+1,1))-AVERAGE(OFFSET($H$3,0,0,'Données projet'!$E$9+1,1))</f>
        <v>168.81286953191102</v>
      </c>
      <c r="T83" s="59">
        <f t="shared" si="88"/>
        <v>255.78677933103666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18.816270163429387</v>
      </c>
      <c r="AA83" s="21">
        <f>EXP(-LN(2)/25)*AA82+(1-EXP(-LN(2)/25))/(LN(2)/25)*Calculateur!V83*Calculateur!X83*VLOOKUP('Données projet'!$B$9,Paramètres!$A$1:$I$89,3,0)*0.475*44/12</f>
        <v>19.250555045935698</v>
      </c>
      <c r="AB83" s="21">
        <f>EXP(-LN(2)/2)*AB82+(1-EXP(-LN(2)/2))/(LN(2)/2)*V83*Y83*VLOOKUP('Données projet'!$B$9,Paramètres!$A$1:$I$89,3,0)*0.475*44/12</f>
        <v>5.8375952861097516E-5</v>
      </c>
      <c r="AC83" s="22">
        <f t="shared" si="57"/>
        <v>38.066883585317946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435.00000000000023</v>
      </c>
      <c r="AJ83" s="13">
        <f>AI83*VLOOKUP('Données projet'!$B$10,Paramètres!$A$1:$I$89,3,0)*VLOOKUP('Données projet'!$B$10,Paramètres!$A$1:$I$89,5,0)</f>
        <v>260.13000000000017</v>
      </c>
      <c r="AK83" s="13">
        <f t="shared" si="89"/>
        <v>62.75008789651104</v>
      </c>
      <c r="AL83" s="20">
        <f t="shared" si="58"/>
        <v>562.349486419757</v>
      </c>
      <c r="AM83" s="59">
        <f t="shared" si="59"/>
        <v>855.68281975309037</v>
      </c>
      <c r="AN83" s="59">
        <f ca="1">AVERAGE(OFFSET($AM$3,0,0,'Données projet'!$E$10+1,1))-AVERAGE(OFFSET($H$3,0,0,'Données projet'!$E$10+1,1))</f>
        <v>247.08914525784144</v>
      </c>
      <c r="AO83" s="59">
        <f t="shared" si="90"/>
        <v>286.9617518796191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24.113998664165191</v>
      </c>
      <c r="AV83" s="21">
        <f>EXP(-LN(2)/25)*AV82+(1-EXP(-LN(2)/25))/(LN(2)/25)*Calculateur!AQ83*Calculateur!AS83*VLOOKUP('Données projet'!$B$10,Paramètres!$A$1:$I$89,3,0)*0.475*44/12</f>
        <v>18.380128163337556</v>
      </c>
      <c r="AW83" s="21">
        <f>EXP(-LN(2)/2)*AW82+(1-EXP(-LN(2)/2))/(LN(2)/2)*AQ83*AT83*VLOOKUP('Données projet'!$B$10,Paramètres!$A$1:$I$89,3,0)*0.475*44/12</f>
        <v>5.4824262820011805E-3</v>
      </c>
      <c r="AX83" s="21">
        <f t="shared" si="60"/>
        <v>42.499609253784747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330</v>
      </c>
      <c r="BB83" s="12">
        <f>VLOOKUP(A83,'Données projet'!$A$87:$I$107,9,0)</f>
        <v>3.6</v>
      </c>
      <c r="BC83" s="12">
        <f t="array" ref="BC83">INDEX(BB:BB,MIN(IF(ISNUMBER(BB83:BB279),ROW(BB83:BB279),"")))</f>
        <v>3.6</v>
      </c>
      <c r="BD83" s="12">
        <f>IF('Données projet'!$A$88&gt;35,BD82+BC83-BL82,IF(A83&lt;'Données projet'!$A$88,$BA$205^A83,IF(A83='Données projet'!$A$88,'Données projet'!$B$88,BD82+BC83-BL82)))</f>
        <v>329.99999999999994</v>
      </c>
      <c r="BE83" s="13">
        <f>BD83*VLOOKUP('Données projet'!$B$11,Paramètres!$A$1:$I$89,3,0)*VLOOKUP('Données projet'!$B$11,Paramètres!$A$1:$I$89,5,0)</f>
        <v>262.548</v>
      </c>
      <c r="BF83" s="13">
        <f t="shared" si="91"/>
        <v>63.265199933079444</v>
      </c>
      <c r="BG83" s="20">
        <f t="shared" si="61"/>
        <v>567.45798988344666</v>
      </c>
      <c r="BH83" s="59">
        <f t="shared" si="62"/>
        <v>860.79132321678003</v>
      </c>
      <c r="BI83" s="59">
        <f ca="1">AVERAGE(OFFSET($BH$3,0,0,'Données projet'!$E$11+1,1))-AVERAGE(OFFSET($H$3,0,0,'Données projet'!$E$11+1,1))</f>
        <v>280.45463274302153</v>
      </c>
      <c r="BJ83" s="59">
        <f t="shared" si="92"/>
        <v>276.06968650495287</v>
      </c>
      <c r="BK83" s="15">
        <f>IF(ISNA(VLOOKUP(A83,'Données projet'!$A$87:$I$107,3,0)),0,VLOOKUP(A83,'Données projet'!$A$87:$I$107,3,0))</f>
        <v>14</v>
      </c>
      <c r="BL83" s="21">
        <f>IF(ISNA(VLOOKUP(A83,'Données projet'!$A$87:$I$107,4,0)),0,VLOOKUP(A83,'Données projet'!$A$87:$I$107,4,0))</f>
        <v>11</v>
      </c>
      <c r="BM83" s="16">
        <f>IF(ISNA(VLOOKUP(A83,'Données projet'!$A$87:$I$107,5,0)),0%,VLOOKUP(A83,'Données projet'!$A$87:$I$107,5,0)*VLOOKUP('Données projet'!$B$11,Paramètres!$A$1:$I$89,7,0))</f>
        <v>0.42400000000000004</v>
      </c>
      <c r="BN83" s="16">
        <f>IF(ISNA(VLOOKUP(A83,'Données projet'!$A$87:$I$107,6,0)),0%,VLOOKUP(A83,'Données projet'!$A$87:$I$107,6,0)*VLOOKUP('Données projet'!$B$11,Paramètres!$A$1:$I$89,7,0))</f>
        <v>2.12E-2</v>
      </c>
      <c r="BO83" s="16">
        <f>IF(ISNA(VLOOKUP(A83,'Données projet'!$A$87:$I$107,7,0)),0%,VLOOKUP(A83,'Données projet'!$A$87:$I$107,7,0))</f>
        <v>0.06</v>
      </c>
      <c r="BP83" s="21">
        <f>EXP(-LN(2)/35)*BP82+(1-EXP(-LN(2)/35))/(LN(2)/35)*BL83*BM83*VLOOKUP('Données projet'!$B$11,Paramètres!$A$1:$I$89,3,0)*0.475*44/12</f>
        <v>40.903784947949575</v>
      </c>
      <c r="BQ83" s="21">
        <f>EXP(-LN(2)/25)*BQ82+(1-EXP(-LN(2)/25))/(LN(2)/25)*Calculateur!BL83*Calculateur!BN83*VLOOKUP('Données projet'!$B$11,Paramètres!$A$1:$I$89,3,0)*0.475*44/12</f>
        <v>2.5567207910624283</v>
      </c>
      <c r="BR83" s="21">
        <f>EXP(-LN(2)/2)*BR82+(1-EXP(-LN(2)/2))/(LN(2)/2)*BL83*BO83*VLOOKUP('Données projet'!$B$11,Paramètres!$A$1:$I$89,3,0)*0.475*44/12</f>
        <v>0.61329335460154688</v>
      </c>
      <c r="BS83" s="22">
        <f t="shared" si="63"/>
        <v>44.073799093613552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37.908000000000044</v>
      </c>
      <c r="D84" s="11">
        <f t="shared" si="86"/>
        <v>11.442440513882541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380.95076887909363</v>
      </c>
      <c r="H84" s="67">
        <f t="shared" si="56"/>
        <v>379.2853505616788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197.99999999999994</v>
      </c>
      <c r="O84" s="13">
        <f>N84*VLOOKUP('Données projet'!$B$9,Paramètres!$A$1:$I$89,3,0)*VLOOKUP('Données projet'!$B$9,Paramètres!$A$1:$I$89,5,0)</f>
        <v>123.55199999999995</v>
      </c>
      <c r="P84" s="13">
        <f t="shared" si="87"/>
        <v>32.502033262579566</v>
      </c>
      <c r="Q84" s="20">
        <f t="shared" si="54"/>
        <v>271.79410793232597</v>
      </c>
      <c r="R84" s="59">
        <f t="shared" si="55"/>
        <v>565.12744126565929</v>
      </c>
      <c r="S84" s="59">
        <f ca="1">AVERAGE(OFFSET($R$3,0,0,'Données projet'!$E$9+1,1))-AVERAGE(OFFSET($H$3,0,0,'Données projet'!$E$9+1,1))</f>
        <v>168.81286953191102</v>
      </c>
      <c r="T84" s="59">
        <f t="shared" si="88"/>
        <v>255.78677933103666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18.447294582316097</v>
      </c>
      <c r="AA84" s="21">
        <f>EXP(-LN(2)/25)*AA83+(1-EXP(-LN(2)/25))/(LN(2)/25)*Calculateur!V84*Calculateur!X84*VLOOKUP('Données projet'!$B$9,Paramètres!$A$1:$I$89,3,0)*0.475*44/12</f>
        <v>18.724147605861894</v>
      </c>
      <c r="AB84" s="21">
        <f>EXP(-LN(2)/2)*AB83+(1-EXP(-LN(2)/2))/(LN(2)/2)*V84*Y84*VLOOKUP('Données projet'!$B$9,Paramètres!$A$1:$I$89,3,0)*0.475*44/12</f>
        <v>4.1278032126308294E-5</v>
      </c>
      <c r="AC84" s="22">
        <f t="shared" si="57"/>
        <v>37.17148346621012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435.00000000000023</v>
      </c>
      <c r="AJ84" s="13">
        <f>AI84*VLOOKUP('Données projet'!$B$10,Paramètres!$A$1:$I$89,3,0)*VLOOKUP('Données projet'!$B$10,Paramètres!$A$1:$I$89,5,0)</f>
        <v>260.13000000000017</v>
      </c>
      <c r="AK84" s="13">
        <f t="shared" si="89"/>
        <v>62.75008789651104</v>
      </c>
      <c r="AL84" s="20">
        <f t="shared" si="58"/>
        <v>562.349486419757</v>
      </c>
      <c r="AM84" s="59">
        <f t="shared" si="59"/>
        <v>855.68281975309037</v>
      </c>
      <c r="AN84" s="59">
        <f ca="1">AVERAGE(OFFSET($AM$3,0,0,'Données projet'!$E$10+1,1))-AVERAGE(OFFSET($H$3,0,0,'Données projet'!$E$10+1,1))</f>
        <v>247.08914525784144</v>
      </c>
      <c r="AO84" s="59">
        <f t="shared" si="90"/>
        <v>286.9617518796191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23.641137858447795</v>
      </c>
      <c r="AV84" s="21">
        <f>EXP(-LN(2)/25)*AV83+(1-EXP(-LN(2)/25))/(LN(2)/25)*Calculateur!AQ84*Calculateur!AS84*VLOOKUP('Données projet'!$B$10,Paramètres!$A$1:$I$89,3,0)*0.475*44/12</f>
        <v>17.87752259214216</v>
      </c>
      <c r="AW84" s="21">
        <f>EXP(-LN(2)/2)*AW83+(1-EXP(-LN(2)/2))/(LN(2)/2)*AQ84*AT84*VLOOKUP('Données projet'!$B$10,Paramètres!$A$1:$I$89,3,0)*0.475*44/12</f>
        <v>3.8766608013583864E-3</v>
      </c>
      <c r="AX84" s="21">
        <f t="shared" si="60"/>
        <v>41.522537111391316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318.99999999999994</v>
      </c>
      <c r="BE84" s="13">
        <f>BD84*VLOOKUP('Données projet'!$B$11,Paramètres!$A$1:$I$89,3,0)*VLOOKUP('Données projet'!$B$11,Paramètres!$A$1:$I$89,5,0)</f>
        <v>253.79639999999995</v>
      </c>
      <c r="BF84" s="13">
        <f t="shared" si="91"/>
        <v>61.398168322280704</v>
      </c>
      <c r="BG84" s="20">
        <f t="shared" si="61"/>
        <v>548.9638731613054</v>
      </c>
      <c r="BH84" s="59">
        <f t="shared" si="62"/>
        <v>842.29720649463866</v>
      </c>
      <c r="BI84" s="59">
        <f ca="1">AVERAGE(OFFSET($BH$3,0,0,'Données projet'!$E$11+1,1))-AVERAGE(OFFSET($H$3,0,0,'Données projet'!$E$11+1,1))</f>
        <v>280.45463274302153</v>
      </c>
      <c r="BJ84" s="59">
        <f t="shared" si="92"/>
        <v>276.06968650495287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40.101686673965609</v>
      </c>
      <c r="BQ84" s="21">
        <f>EXP(-LN(2)/25)*BQ83+(1-EXP(-LN(2)/25))/(LN(2)/25)*Calculateur!BL84*Calculateur!BN84*VLOOKUP('Données projet'!$B$11,Paramètres!$A$1:$I$89,3,0)*0.475*44/12</f>
        <v>2.4868071265787233</v>
      </c>
      <c r="BR84" s="21">
        <f>EXP(-LN(2)/2)*BR83+(1-EXP(-LN(2)/2))/(LN(2)/2)*BL84*BO84*VLOOKUP('Données projet'!$B$11,Paramètres!$A$1:$I$89,3,0)*0.475*44/12</f>
        <v>0.43366388989539972</v>
      </c>
      <c r="BS84" s="22">
        <f t="shared" si="63"/>
        <v>43.022157690439734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38.376000000000047</v>
      </c>
      <c r="D85" s="11">
        <f t="shared" si="86"/>
        <v>11.567172723592876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385.52624558562957</v>
      </c>
      <c r="H85" s="67">
        <f t="shared" si="56"/>
        <v>380.31769249359098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197.99999999999994</v>
      </c>
      <c r="O85" s="13">
        <f>N85*VLOOKUP('Données projet'!$B$9,Paramètres!$A$1:$I$89,3,0)*VLOOKUP('Données projet'!$B$9,Paramètres!$A$1:$I$89,5,0)</f>
        <v>123.55199999999995</v>
      </c>
      <c r="P85" s="13">
        <f t="shared" si="87"/>
        <v>32.502033262579566</v>
      </c>
      <c r="Q85" s="20">
        <f t="shared" si="54"/>
        <v>271.79410793232597</v>
      </c>
      <c r="R85" s="59">
        <f t="shared" si="55"/>
        <v>565.12744126565929</v>
      </c>
      <c r="S85" s="59">
        <f ca="1">AVERAGE(OFFSET($R$3,0,0,'Données projet'!$E$9+1,1))-AVERAGE(OFFSET($H$3,0,0,'Données projet'!$E$9+1,1))</f>
        <v>168.81286953191102</v>
      </c>
      <c r="T85" s="59">
        <f t="shared" si="88"/>
        <v>255.78677933103666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18.085554387295556</v>
      </c>
      <c r="AA85" s="21">
        <f>EXP(-LN(2)/25)*AA84+(1-EXP(-LN(2)/25))/(LN(2)/25)*Calculateur!V85*Calculateur!X85*VLOOKUP('Données projet'!$B$9,Paramètres!$A$1:$I$89,3,0)*0.475*44/12</f>
        <v>18.212134804919472</v>
      </c>
      <c r="AB85" s="21">
        <f>EXP(-LN(2)/2)*AB84+(1-EXP(-LN(2)/2))/(LN(2)/2)*V85*Y85*VLOOKUP('Données projet'!$B$9,Paramètres!$A$1:$I$89,3,0)*0.475*44/12</f>
        <v>2.9187976430548758E-5</v>
      </c>
      <c r="AC85" s="22">
        <f t="shared" si="57"/>
        <v>36.297718380191462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435.00000000000023</v>
      </c>
      <c r="AJ85" s="13">
        <f>AI85*VLOOKUP('Données projet'!$B$10,Paramètres!$A$1:$I$89,3,0)*VLOOKUP('Données projet'!$B$10,Paramètres!$A$1:$I$89,5,0)</f>
        <v>260.13000000000017</v>
      </c>
      <c r="AK85" s="13">
        <f t="shared" si="89"/>
        <v>62.75008789651104</v>
      </c>
      <c r="AL85" s="20">
        <f t="shared" si="58"/>
        <v>562.349486419757</v>
      </c>
      <c r="AM85" s="59">
        <f t="shared" si="59"/>
        <v>855.68281975309037</v>
      </c>
      <c r="AN85" s="59">
        <f ca="1">AVERAGE(OFFSET($AM$3,0,0,'Données projet'!$E$10+1,1))-AVERAGE(OFFSET($H$3,0,0,'Données projet'!$E$10+1,1))</f>
        <v>247.08914525784144</v>
      </c>
      <c r="AO85" s="59">
        <f t="shared" si="90"/>
        <v>286.9617518796191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23.177549564713903</v>
      </c>
      <c r="AV85" s="21">
        <f>EXP(-LN(2)/25)*AV84+(1-EXP(-LN(2)/25))/(LN(2)/25)*Calculateur!AQ85*Calculateur!AS85*VLOOKUP('Données projet'!$B$10,Paramètres!$A$1:$I$89,3,0)*0.475*44/12</f>
        <v>17.388660796721979</v>
      </c>
      <c r="AW85" s="21">
        <f>EXP(-LN(2)/2)*AW84+(1-EXP(-LN(2)/2))/(LN(2)/2)*AQ85*AT85*VLOOKUP('Données projet'!$B$10,Paramètres!$A$1:$I$89,3,0)*0.475*44/12</f>
        <v>2.7412131410005907E-3</v>
      </c>
      <c r="AX85" s="21">
        <f t="shared" si="60"/>
        <v>40.568951574576879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318.99999999999994</v>
      </c>
      <c r="BE85" s="13">
        <f>BD85*VLOOKUP('Données projet'!$B$11,Paramètres!$A$1:$I$89,3,0)*VLOOKUP('Données projet'!$B$11,Paramètres!$A$1:$I$89,5,0)</f>
        <v>253.79639999999995</v>
      </c>
      <c r="BF85" s="13">
        <f t="shared" si="91"/>
        <v>61.398168322280704</v>
      </c>
      <c r="BG85" s="20">
        <f t="shared" si="61"/>
        <v>548.9638731613054</v>
      </c>
      <c r="BH85" s="59">
        <f t="shared" si="62"/>
        <v>842.29720649463866</v>
      </c>
      <c r="BI85" s="59">
        <f ca="1">AVERAGE(OFFSET($BH$3,0,0,'Données projet'!$E$11+1,1))-AVERAGE(OFFSET($H$3,0,0,'Données projet'!$E$11+1,1))</f>
        <v>280.45463274302153</v>
      </c>
      <c r="BJ85" s="59">
        <f t="shared" si="92"/>
        <v>276.06968650495287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39.315317057902831</v>
      </c>
      <c r="BQ85" s="21">
        <f>EXP(-LN(2)/25)*BQ84+(1-EXP(-LN(2)/25))/(LN(2)/25)*Calculateur!BL85*Calculateur!BN85*VLOOKUP('Données projet'!$B$11,Paramètres!$A$1:$I$89,3,0)*0.475*44/12</f>
        <v>2.4188052549269248</v>
      </c>
      <c r="BR85" s="21">
        <f>EXP(-LN(2)/2)*BR84+(1-EXP(-LN(2)/2))/(LN(2)/2)*BL85*BO85*VLOOKUP('Données projet'!$B$11,Paramètres!$A$1:$I$89,3,0)*0.475*44/12</f>
        <v>0.3066466773007735</v>
      </c>
      <c r="BS85" s="22">
        <f t="shared" si="63"/>
        <v>42.04076899013053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38.844000000000051</v>
      </c>
      <c r="D86" s="11">
        <f t="shared" si="86"/>
        <v>11.691727995381735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390.10035645557872</v>
      </c>
      <c r="H86" s="67">
        <f t="shared" si="56"/>
        <v>381.34972625862326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197.99999999999994</v>
      </c>
      <c r="O86" s="13">
        <f>N86*VLOOKUP('Données projet'!$B$9,Paramètres!$A$1:$I$89,3,0)*VLOOKUP('Données projet'!$B$9,Paramètres!$A$1:$I$89,5,0)</f>
        <v>123.55199999999995</v>
      </c>
      <c r="P86" s="13">
        <f t="shared" si="87"/>
        <v>32.502033262579566</v>
      </c>
      <c r="Q86" s="20">
        <f t="shared" si="54"/>
        <v>271.79410793232597</v>
      </c>
      <c r="R86" s="59">
        <f t="shared" si="55"/>
        <v>565.12744126565929</v>
      </c>
      <c r="S86" s="59">
        <f ca="1">AVERAGE(OFFSET($R$3,0,0,'Données projet'!$E$9+1,1))-AVERAGE(OFFSET($H$3,0,0,'Données projet'!$E$9+1,1))</f>
        <v>168.81286953191102</v>
      </c>
      <c r="T86" s="59">
        <f t="shared" si="88"/>
        <v>255.78677933103666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17.730907696859635</v>
      </c>
      <c r="AA86" s="21">
        <f>EXP(-LN(2)/25)*AA85+(1-EXP(-LN(2)/25))/(LN(2)/25)*Calculateur!V86*Calculateur!X86*VLOOKUP('Données projet'!$B$9,Paramètres!$A$1:$I$89,3,0)*0.475*44/12</f>
        <v>17.714123020944402</v>
      </c>
      <c r="AB86" s="21">
        <f>EXP(-LN(2)/2)*AB85+(1-EXP(-LN(2)/2))/(LN(2)/2)*V86*Y86*VLOOKUP('Données projet'!$B$9,Paramètres!$A$1:$I$89,3,0)*0.475*44/12</f>
        <v>2.0639016063154147E-5</v>
      </c>
      <c r="AC86" s="22">
        <f t="shared" si="57"/>
        <v>35.445051356820102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435.00000000000023</v>
      </c>
      <c r="AJ86" s="13">
        <f>AI86*VLOOKUP('Données projet'!$B$10,Paramètres!$A$1:$I$89,3,0)*VLOOKUP('Données projet'!$B$10,Paramètres!$A$1:$I$89,5,0)</f>
        <v>260.13000000000017</v>
      </c>
      <c r="AK86" s="13">
        <f t="shared" si="89"/>
        <v>62.75008789651104</v>
      </c>
      <c r="AL86" s="20">
        <f t="shared" si="58"/>
        <v>562.349486419757</v>
      </c>
      <c r="AM86" s="59">
        <f t="shared" si="59"/>
        <v>855.68281975309037</v>
      </c>
      <c r="AN86" s="59">
        <f ca="1">AVERAGE(OFFSET($AM$3,0,0,'Données projet'!$E$10+1,1))-AVERAGE(OFFSET($H$3,0,0,'Données projet'!$E$10+1,1))</f>
        <v>247.08914525784144</v>
      </c>
      <c r="AO86" s="59">
        <f t="shared" si="90"/>
        <v>286.9617518796191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22.723051954659194</v>
      </c>
      <c r="AV86" s="21">
        <f>EXP(-LN(2)/25)*AV85+(1-EXP(-LN(2)/25))/(LN(2)/25)*Calculateur!AQ86*Calculateur!AS86*VLOOKUP('Données projet'!$B$10,Paramètres!$A$1:$I$89,3,0)*0.475*44/12</f>
        <v>16.913166952805689</v>
      </c>
      <c r="AW86" s="21">
        <f>EXP(-LN(2)/2)*AW85+(1-EXP(-LN(2)/2))/(LN(2)/2)*AQ86*AT86*VLOOKUP('Données projet'!$B$10,Paramètres!$A$1:$I$89,3,0)*0.475*44/12</f>
        <v>1.9383304006791934E-3</v>
      </c>
      <c r="AX86" s="21">
        <f t="shared" si="60"/>
        <v>39.638157237865556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318.99999999999994</v>
      </c>
      <c r="BE86" s="13">
        <f>BD86*VLOOKUP('Données projet'!$B$11,Paramètres!$A$1:$I$89,3,0)*VLOOKUP('Données projet'!$B$11,Paramètres!$A$1:$I$89,5,0)</f>
        <v>253.79639999999995</v>
      </c>
      <c r="BF86" s="13">
        <f t="shared" si="91"/>
        <v>61.398168322280704</v>
      </c>
      <c r="BG86" s="20">
        <f t="shared" si="61"/>
        <v>548.9638731613054</v>
      </c>
      <c r="BH86" s="59">
        <f t="shared" si="62"/>
        <v>842.29720649463866</v>
      </c>
      <c r="BI86" s="59">
        <f ca="1">AVERAGE(OFFSET($BH$3,0,0,'Données projet'!$E$11+1,1))-AVERAGE(OFFSET($H$3,0,0,'Données projet'!$E$11+1,1))</f>
        <v>280.45463274302153</v>
      </c>
      <c r="BJ86" s="59">
        <f t="shared" si="92"/>
        <v>276.06968650495287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38.544367670372935</v>
      </c>
      <c r="BQ86" s="21">
        <f>EXP(-LN(2)/25)*BQ85+(1-EXP(-LN(2)/25))/(LN(2)/25)*Calculateur!BL86*Calculateur!BN86*VLOOKUP('Données projet'!$B$11,Paramètres!$A$1:$I$89,3,0)*0.475*44/12</f>
        <v>2.3526628980315079</v>
      </c>
      <c r="BR86" s="21">
        <f>EXP(-LN(2)/2)*BR85+(1-EXP(-LN(2)/2))/(LN(2)/2)*BL86*BO86*VLOOKUP('Données projet'!$B$11,Paramètres!$A$1:$I$89,3,0)*0.475*44/12</f>
        <v>0.21683194494769992</v>
      </c>
      <c r="BS86" s="22">
        <f t="shared" si="63"/>
        <v>41.113862513352146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39.312000000000054</v>
      </c>
      <c r="D87" s="11">
        <f t="shared" si="86"/>
        <v>11.816108707618415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394.67311984828297</v>
      </c>
      <c r="H87" s="67">
        <f t="shared" si="56"/>
        <v>382.38145599910212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197.99999999999994</v>
      </c>
      <c r="O87" s="13">
        <f>N87*VLOOKUP('Données projet'!$B$9,Paramètres!$A$1:$I$89,3,0)*VLOOKUP('Données projet'!$B$9,Paramètres!$A$1:$I$89,5,0)</f>
        <v>123.55199999999995</v>
      </c>
      <c r="P87" s="13">
        <f t="shared" si="87"/>
        <v>32.502033262579566</v>
      </c>
      <c r="Q87" s="20">
        <f t="shared" si="54"/>
        <v>271.79410793232597</v>
      </c>
      <c r="R87" s="59">
        <f t="shared" si="55"/>
        <v>565.12744126565929</v>
      </c>
      <c r="S87" s="59">
        <f ca="1">AVERAGE(OFFSET($R$3,0,0,'Données projet'!$E$9+1,1))-AVERAGE(OFFSET($H$3,0,0,'Données projet'!$E$9+1,1))</f>
        <v>168.81286953191102</v>
      </c>
      <c r="T87" s="59">
        <f t="shared" si="88"/>
        <v>255.78677933103666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17.38321541171004</v>
      </c>
      <c r="AA87" s="21">
        <f>EXP(-LN(2)/25)*AA86+(1-EXP(-LN(2)/25))/(LN(2)/25)*Calculateur!V87*Calculateur!X87*VLOOKUP('Données projet'!$B$9,Paramètres!$A$1:$I$89,3,0)*0.475*44/12</f>
        <v>17.229729395391434</v>
      </c>
      <c r="AB87" s="21">
        <f>EXP(-LN(2)/2)*AB86+(1-EXP(-LN(2)/2))/(LN(2)/2)*V87*Y87*VLOOKUP('Données projet'!$B$9,Paramètres!$A$1:$I$89,3,0)*0.475*44/12</f>
        <v>1.4593988215274379E-5</v>
      </c>
      <c r="AC87" s="22">
        <f t="shared" si="57"/>
        <v>34.612959401089689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435.00000000000023</v>
      </c>
      <c r="AJ87" s="13">
        <f>AI87*VLOOKUP('Données projet'!$B$10,Paramètres!$A$1:$I$89,3,0)*VLOOKUP('Données projet'!$B$10,Paramètres!$A$1:$I$89,5,0)</f>
        <v>260.13000000000017</v>
      </c>
      <c r="AK87" s="13">
        <f t="shared" si="89"/>
        <v>62.75008789651104</v>
      </c>
      <c r="AL87" s="20">
        <f t="shared" si="58"/>
        <v>562.349486419757</v>
      </c>
      <c r="AM87" s="59">
        <f t="shared" si="59"/>
        <v>855.68281975309037</v>
      </c>
      <c r="AN87" s="59">
        <f ca="1">AVERAGE(OFFSET($AM$3,0,0,'Données projet'!$E$10+1,1))-AVERAGE(OFFSET($H$3,0,0,'Données projet'!$E$10+1,1))</f>
        <v>247.08914525784144</v>
      </c>
      <c r="AO87" s="59">
        <f t="shared" si="90"/>
        <v>286.9617518796191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22.277466765521488</v>
      </c>
      <c r="AV87" s="21">
        <f>EXP(-LN(2)/25)*AV86+(1-EXP(-LN(2)/25))/(LN(2)/25)*Calculateur!AQ87*Calculateur!AS87*VLOOKUP('Données projet'!$B$10,Paramètres!$A$1:$I$89,3,0)*0.475*44/12</f>
        <v>16.450675513056424</v>
      </c>
      <c r="AW87" s="21">
        <f>EXP(-LN(2)/2)*AW86+(1-EXP(-LN(2)/2))/(LN(2)/2)*AQ87*AT87*VLOOKUP('Données projet'!$B$10,Paramètres!$A$1:$I$89,3,0)*0.475*44/12</f>
        <v>1.3706065705002956E-3</v>
      </c>
      <c r="AX87" s="21">
        <f t="shared" si="60"/>
        <v>38.729512885148417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318.99999999999994</v>
      </c>
      <c r="BE87" s="13">
        <f>BD87*VLOOKUP('Données projet'!$B$11,Paramètres!$A$1:$I$89,3,0)*VLOOKUP('Données projet'!$B$11,Paramètres!$A$1:$I$89,5,0)</f>
        <v>253.79639999999995</v>
      </c>
      <c r="BF87" s="13">
        <f t="shared" si="91"/>
        <v>61.398168322280704</v>
      </c>
      <c r="BG87" s="20">
        <f t="shared" si="61"/>
        <v>548.9638731613054</v>
      </c>
      <c r="BH87" s="59">
        <f t="shared" si="62"/>
        <v>842.29720649463866</v>
      </c>
      <c r="BI87" s="59">
        <f ca="1">AVERAGE(OFFSET($BH$3,0,0,'Données projet'!$E$11+1,1))-AVERAGE(OFFSET($H$3,0,0,'Données projet'!$E$11+1,1))</f>
        <v>280.45463274302153</v>
      </c>
      <c r="BJ87" s="59">
        <f t="shared" si="92"/>
        <v>276.06968650495287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37.788536130099807</v>
      </c>
      <c r="BQ87" s="21">
        <f>EXP(-LN(2)/25)*BQ86+(1-EXP(-LN(2)/25))/(LN(2)/25)*Calculateur!BL87*Calculateur!BN87*VLOOKUP('Données projet'!$B$11,Paramètres!$A$1:$I$89,3,0)*0.475*44/12</f>
        <v>2.2883292073636716</v>
      </c>
      <c r="BR87" s="21">
        <f>EXP(-LN(2)/2)*BR86+(1-EXP(-LN(2)/2))/(LN(2)/2)*BL87*BO87*VLOOKUP('Données projet'!$B$11,Paramètres!$A$1:$I$89,3,0)*0.475*44/12</f>
        <v>0.15332333865038678</v>
      </c>
      <c r="BS87" s="22">
        <f t="shared" si="63"/>
        <v>40.230188676113869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39.780000000000058</v>
      </c>
      <c r="D88" s="11">
        <f t="shared" si="86"/>
        <v>11.940317178785941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399.24455366080423</v>
      </c>
      <c r="H88" s="67">
        <f t="shared" si="56"/>
        <v>383.41288575305225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197.99999999999994</v>
      </c>
      <c r="O88" s="13">
        <f>N88*VLOOKUP('Données projet'!$B$9,Paramètres!$A$1:$I$89,3,0)*VLOOKUP('Données projet'!$B$9,Paramètres!$A$1:$I$89,5,0)</f>
        <v>123.55199999999995</v>
      </c>
      <c r="P88" s="13">
        <f t="shared" si="87"/>
        <v>32.502033262579566</v>
      </c>
      <c r="Q88" s="20">
        <f t="shared" si="54"/>
        <v>271.79410793232597</v>
      </c>
      <c r="R88" s="59">
        <f t="shared" si="55"/>
        <v>565.12744126565929</v>
      </c>
      <c r="S88" s="59">
        <f ca="1">AVERAGE(OFFSET($R$3,0,0,'Données projet'!$E$9+1,1))-AVERAGE(OFFSET($H$3,0,0,'Données projet'!$E$9+1,1))</f>
        <v>168.81286953191102</v>
      </c>
      <c r="T88" s="59">
        <f t="shared" si="88"/>
        <v>255.78677933103666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17.042341160200877</v>
      </c>
      <c r="AA88" s="21">
        <f>EXP(-LN(2)/25)*AA87+(1-EXP(-LN(2)/25))/(LN(2)/25)*Calculateur!V88*Calculateur!X88*VLOOKUP('Données projet'!$B$9,Paramètres!$A$1:$I$89,3,0)*0.475*44/12</f>
        <v>16.758581539002364</v>
      </c>
      <c r="AB88" s="21">
        <f>EXP(-LN(2)/2)*AB87+(1-EXP(-LN(2)/2))/(LN(2)/2)*V88*Y88*VLOOKUP('Données projet'!$B$9,Paramètres!$A$1:$I$89,3,0)*0.475*44/12</f>
        <v>1.0319508031577073E-5</v>
      </c>
      <c r="AC88" s="22">
        <f t="shared" si="57"/>
        <v>33.80093301871127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435.00000000000023</v>
      </c>
      <c r="AJ88" s="13">
        <f>AI88*VLOOKUP('Données projet'!$B$10,Paramètres!$A$1:$I$89,3,0)*VLOOKUP('Données projet'!$B$10,Paramètres!$A$1:$I$89,5,0)</f>
        <v>260.13000000000017</v>
      </c>
      <c r="AK88" s="13">
        <f t="shared" si="89"/>
        <v>62.75008789651104</v>
      </c>
      <c r="AL88" s="20">
        <f t="shared" si="58"/>
        <v>562.349486419757</v>
      </c>
      <c r="AM88" s="59">
        <f t="shared" si="59"/>
        <v>855.68281975309037</v>
      </c>
      <c r="AN88" s="59">
        <f ca="1">AVERAGE(OFFSET($AM$3,0,0,'Données projet'!$E$10+1,1))-AVERAGE(OFFSET($H$3,0,0,'Données projet'!$E$10+1,1))</f>
        <v>247.08914525784144</v>
      </c>
      <c r="AO88" s="59">
        <f t="shared" si="90"/>
        <v>286.9617518796191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21.840619230162645</v>
      </c>
      <c r="AV88" s="21">
        <f>EXP(-LN(2)/25)*AV87+(1-EXP(-LN(2)/25))/(LN(2)/25)*Calculateur!AQ88*Calculateur!AS88*VLOOKUP('Données projet'!$B$10,Paramètres!$A$1:$I$89,3,0)*0.475*44/12</f>
        <v>16.000830926048469</v>
      </c>
      <c r="AW88" s="21">
        <f>EXP(-LN(2)/2)*AW87+(1-EXP(-LN(2)/2))/(LN(2)/2)*AQ88*AT88*VLOOKUP('Données projet'!$B$10,Paramètres!$A$1:$I$89,3,0)*0.475*44/12</f>
        <v>9.6916520033959693E-4</v>
      </c>
      <c r="AX88" s="21">
        <f t="shared" si="60"/>
        <v>37.842419321411448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318.99999999999994</v>
      </c>
      <c r="BE88" s="13">
        <f>BD88*VLOOKUP('Données projet'!$B$11,Paramètres!$A$1:$I$89,3,0)*VLOOKUP('Données projet'!$B$11,Paramètres!$A$1:$I$89,5,0)</f>
        <v>253.79639999999995</v>
      </c>
      <c r="BF88" s="13">
        <f t="shared" si="91"/>
        <v>61.398168322280704</v>
      </c>
      <c r="BG88" s="20">
        <f t="shared" si="61"/>
        <v>548.9638731613054</v>
      </c>
      <c r="BH88" s="59">
        <f t="shared" si="62"/>
        <v>842.29720649463866</v>
      </c>
      <c r="BI88" s="59">
        <f ca="1">AVERAGE(OFFSET($BH$3,0,0,'Données projet'!$E$11+1,1))-AVERAGE(OFFSET($H$3,0,0,'Données projet'!$E$11+1,1))</f>
        <v>280.45463274302153</v>
      </c>
      <c r="BJ88" s="59">
        <f t="shared" si="92"/>
        <v>276.06968650495287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37.047525985319716</v>
      </c>
      <c r="BQ88" s="21">
        <f>EXP(-LN(2)/25)*BQ87+(1-EXP(-LN(2)/25))/(LN(2)/25)*Calculateur!BL88*Calculateur!BN88*VLOOKUP('Données projet'!$B$11,Paramètres!$A$1:$I$89,3,0)*0.475*44/12</f>
        <v>2.2257547248503089</v>
      </c>
      <c r="BR88" s="21">
        <f>EXP(-LN(2)/2)*BR87+(1-EXP(-LN(2)/2))/(LN(2)/2)*BL88*BO88*VLOOKUP('Données projet'!$B$11,Paramètres!$A$1:$I$89,3,0)*0.475*44/12</f>
        <v>0.10841597247384997</v>
      </c>
      <c r="BS88" s="22">
        <f t="shared" si="63"/>
        <v>39.381696682643877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40.248000000000062</v>
      </c>
      <c r="D89" s="11">
        <f t="shared" si="86"/>
        <v>12.064355669675374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403.81467534486302</v>
      </c>
      <c r="H89" s="67">
        <f t="shared" si="56"/>
        <v>384.44401945801803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197.99999999999994</v>
      </c>
      <c r="O89" s="13">
        <f>N89*VLOOKUP('Données projet'!$B$9,Paramètres!$A$1:$I$89,3,0)*VLOOKUP('Données projet'!$B$9,Paramètres!$A$1:$I$89,5,0)</f>
        <v>123.55199999999995</v>
      </c>
      <c r="P89" s="13">
        <f t="shared" si="87"/>
        <v>32.502033262579566</v>
      </c>
      <c r="Q89" s="20">
        <f t="shared" si="54"/>
        <v>271.79410793232597</v>
      </c>
      <c r="R89" s="59">
        <f t="shared" si="55"/>
        <v>565.12744126565929</v>
      </c>
      <c r="S89" s="59">
        <f ca="1">AVERAGE(OFFSET($R$3,0,0,'Données projet'!$E$9+1,1))-AVERAGE(OFFSET($H$3,0,0,'Données projet'!$E$9+1,1))</f>
        <v>168.81286953191102</v>
      </c>
      <c r="T89" s="59">
        <f t="shared" si="88"/>
        <v>255.78677933103666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16.708151244851045</v>
      </c>
      <c r="AA89" s="21">
        <f>EXP(-LN(2)/25)*AA88+(1-EXP(-LN(2)/25))/(LN(2)/25)*Calculateur!V89*Calculateur!X89*VLOOKUP('Données projet'!$B$9,Paramètres!$A$1:$I$89,3,0)*0.475*44/12</f>
        <v>16.300317245522844</v>
      </c>
      <c r="AB89" s="21">
        <f>EXP(-LN(2)/2)*AB88+(1-EXP(-LN(2)/2))/(LN(2)/2)*V89*Y89*VLOOKUP('Données projet'!$B$9,Paramètres!$A$1:$I$89,3,0)*0.475*44/12</f>
        <v>7.2969941076371895E-6</v>
      </c>
      <c r="AC89" s="22">
        <f t="shared" si="57"/>
        <v>33.008475787367992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435.00000000000023</v>
      </c>
      <c r="AJ89" s="13">
        <f>AI89*VLOOKUP('Données projet'!$B$10,Paramètres!$A$1:$I$89,3,0)*VLOOKUP('Données projet'!$B$10,Paramètres!$A$1:$I$89,5,0)</f>
        <v>260.13000000000017</v>
      </c>
      <c r="AK89" s="13">
        <f t="shared" si="89"/>
        <v>62.75008789651104</v>
      </c>
      <c r="AL89" s="20">
        <f t="shared" si="58"/>
        <v>562.349486419757</v>
      </c>
      <c r="AM89" s="59">
        <f t="shared" si="59"/>
        <v>855.68281975309037</v>
      </c>
      <c r="AN89" s="59">
        <f ca="1">AVERAGE(OFFSET($AM$3,0,0,'Données projet'!$E$10+1,1))-AVERAGE(OFFSET($H$3,0,0,'Données projet'!$E$10+1,1))</f>
        <v>247.08914525784144</v>
      </c>
      <c r="AO89" s="59">
        <f t="shared" si="90"/>
        <v>286.9617518796191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21.412338008521502</v>
      </c>
      <c r="AV89" s="21">
        <f>EXP(-LN(2)/25)*AV88+(1-EXP(-LN(2)/25))/(LN(2)/25)*Calculateur!AQ89*Calculateur!AS89*VLOOKUP('Données projet'!$B$10,Paramètres!$A$1:$I$89,3,0)*0.475*44/12</f>
        <v>15.563287362928545</v>
      </c>
      <c r="AW89" s="21">
        <f>EXP(-LN(2)/2)*AW88+(1-EXP(-LN(2)/2))/(LN(2)/2)*AQ89*AT89*VLOOKUP('Données projet'!$B$10,Paramètres!$A$1:$I$89,3,0)*0.475*44/12</f>
        <v>6.8530328525014789E-4</v>
      </c>
      <c r="AX89" s="21">
        <f t="shared" si="60"/>
        <v>36.976310674735302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318.99999999999994</v>
      </c>
      <c r="BE89" s="13">
        <f>BD89*VLOOKUP('Données projet'!$B$11,Paramètres!$A$1:$I$89,3,0)*VLOOKUP('Données projet'!$B$11,Paramètres!$A$1:$I$89,5,0)</f>
        <v>253.79639999999995</v>
      </c>
      <c r="BF89" s="13">
        <f t="shared" si="91"/>
        <v>61.398168322280704</v>
      </c>
      <c r="BG89" s="20">
        <f t="shared" si="61"/>
        <v>548.9638731613054</v>
      </c>
      <c r="BH89" s="59">
        <f t="shared" si="62"/>
        <v>842.29720649463866</v>
      </c>
      <c r="BI89" s="59">
        <f ca="1">AVERAGE(OFFSET($BH$3,0,0,'Données projet'!$E$11+1,1))-AVERAGE(OFFSET($H$3,0,0,'Données projet'!$E$11+1,1))</f>
        <v>280.45463274302153</v>
      </c>
      <c r="BJ89" s="59">
        <f t="shared" si="92"/>
        <v>276.06968650495287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36.321046597507205</v>
      </c>
      <c r="BQ89" s="21">
        <f>EXP(-LN(2)/25)*BQ88+(1-EXP(-LN(2)/25))/(LN(2)/25)*Calculateur!BL89*Calculateur!BN89*VLOOKUP('Données projet'!$B$11,Paramètres!$A$1:$I$89,3,0)*0.475*44/12</f>
        <v>2.1648913448519234</v>
      </c>
      <c r="BR89" s="21">
        <f>EXP(-LN(2)/2)*BR88+(1-EXP(-LN(2)/2))/(LN(2)/2)*BL89*BO89*VLOOKUP('Données projet'!$B$11,Paramètres!$A$1:$I$89,3,0)*0.475*44/12</f>
        <v>7.6661669325193402E-2</v>
      </c>
      <c r="BS89" s="22">
        <f t="shared" si="63"/>
        <v>38.56259961168432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40.716000000000065</v>
      </c>
      <c r="D90" s="11">
        <f t="shared" si="86"/>
        <v>12.188226385475193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408.38350192296684</v>
      </c>
      <c r="H90" s="67">
        <f t="shared" si="56"/>
        <v>385.47486095470271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197.99999999999994</v>
      </c>
      <c r="O90" s="13">
        <f>N90*VLOOKUP('Données projet'!$B$9,Paramètres!$A$1:$I$89,3,0)*VLOOKUP('Données projet'!$B$9,Paramètres!$A$1:$I$89,5,0)</f>
        <v>123.55199999999995</v>
      </c>
      <c r="P90" s="13">
        <f t="shared" si="87"/>
        <v>32.502033262579566</v>
      </c>
      <c r="Q90" s="20">
        <f t="shared" si="54"/>
        <v>271.79410793232597</v>
      </c>
      <c r="R90" s="59">
        <f t="shared" si="55"/>
        <v>565.12744126565929</v>
      </c>
      <c r="S90" s="59">
        <f ca="1">AVERAGE(OFFSET($R$3,0,0,'Données projet'!$E$9+1,1))-AVERAGE(OFFSET($H$3,0,0,'Données projet'!$E$9+1,1))</f>
        <v>168.81286953191102</v>
      </c>
      <c r="T90" s="59">
        <f t="shared" si="88"/>
        <v>255.78677933103666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16.380514589905502</v>
      </c>
      <c r="AA90" s="21">
        <f>EXP(-LN(2)/25)*AA89+(1-EXP(-LN(2)/25))/(LN(2)/25)*Calculateur!V90*Calculateur!X90*VLOOKUP('Données projet'!$B$9,Paramètres!$A$1:$I$89,3,0)*0.475*44/12</f>
        <v>15.854584213247593</v>
      </c>
      <c r="AB90" s="21">
        <f>EXP(-LN(2)/2)*AB89+(1-EXP(-LN(2)/2))/(LN(2)/2)*V90*Y90*VLOOKUP('Données projet'!$B$9,Paramètres!$A$1:$I$89,3,0)*0.475*44/12</f>
        <v>5.1597540157885367E-6</v>
      </c>
      <c r="AC90" s="22">
        <f t="shared" si="57"/>
        <v>32.235103962907111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435.00000000000023</v>
      </c>
      <c r="AJ90" s="13">
        <f>AI90*VLOOKUP('Données projet'!$B$10,Paramètres!$A$1:$I$89,3,0)*VLOOKUP('Données projet'!$B$10,Paramètres!$A$1:$I$89,5,0)</f>
        <v>260.13000000000017</v>
      </c>
      <c r="AK90" s="13">
        <f t="shared" si="89"/>
        <v>62.75008789651104</v>
      </c>
      <c r="AL90" s="20">
        <f t="shared" si="58"/>
        <v>562.349486419757</v>
      </c>
      <c r="AM90" s="59">
        <f t="shared" si="59"/>
        <v>855.68281975309037</v>
      </c>
      <c r="AN90" s="59">
        <f ca="1">AVERAGE(OFFSET($AM$3,0,0,'Données projet'!$E$10+1,1))-AVERAGE(OFFSET($H$3,0,0,'Données projet'!$E$10+1,1))</f>
        <v>247.08914525784144</v>
      </c>
      <c r="AO90" s="59">
        <f t="shared" si="90"/>
        <v>286.9617518796191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20.992455120410987</v>
      </c>
      <c r="AV90" s="21">
        <f>EXP(-LN(2)/25)*AV89+(1-EXP(-LN(2)/25))/(LN(2)/25)*Calculateur!AQ90*Calculateur!AS90*VLOOKUP('Données projet'!$B$10,Paramètres!$A$1:$I$89,3,0)*0.475*44/12</f>
        <v>15.137708451551552</v>
      </c>
      <c r="AW90" s="21">
        <f>EXP(-LN(2)/2)*AW89+(1-EXP(-LN(2)/2))/(LN(2)/2)*AQ90*AT90*VLOOKUP('Données projet'!$B$10,Paramètres!$A$1:$I$89,3,0)*0.475*44/12</f>
        <v>4.8458260016979852E-4</v>
      </c>
      <c r="AX90" s="21">
        <f t="shared" si="60"/>
        <v>36.130648154562714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318.99999999999994</v>
      </c>
      <c r="BE90" s="13">
        <f>BD90*VLOOKUP('Données projet'!$B$11,Paramètres!$A$1:$I$89,3,0)*VLOOKUP('Données projet'!$B$11,Paramètres!$A$1:$I$89,5,0)</f>
        <v>253.79639999999995</v>
      </c>
      <c r="BF90" s="13">
        <f t="shared" si="91"/>
        <v>61.398168322280704</v>
      </c>
      <c r="BG90" s="20">
        <f t="shared" si="61"/>
        <v>548.9638731613054</v>
      </c>
      <c r="BH90" s="59">
        <f t="shared" si="62"/>
        <v>842.29720649463866</v>
      </c>
      <c r="BI90" s="59">
        <f ca="1">AVERAGE(OFFSET($BH$3,0,0,'Données projet'!$E$11+1,1))-AVERAGE(OFFSET($H$3,0,0,'Données projet'!$E$11+1,1))</f>
        <v>280.45463274302153</v>
      </c>
      <c r="BJ90" s="59">
        <f t="shared" si="92"/>
        <v>276.06968650495287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35.608813027381025</v>
      </c>
      <c r="BQ90" s="21">
        <f>EXP(-LN(2)/25)*BQ89+(1-EXP(-LN(2)/25))/(LN(2)/25)*Calculateur!BL90*Calculateur!BN90*VLOOKUP('Données projet'!$B$11,Paramètres!$A$1:$I$89,3,0)*0.475*44/12</f>
        <v>2.1056922771802595</v>
      </c>
      <c r="BR90" s="21">
        <f>EXP(-LN(2)/2)*BR89+(1-EXP(-LN(2)/2))/(LN(2)/2)*BL90*BO90*VLOOKUP('Données projet'!$B$11,Paramètres!$A$1:$I$89,3,0)*0.475*44/12</f>
        <v>5.4207986236925E-2</v>
      </c>
      <c r="BS90" s="22">
        <f t="shared" si="63"/>
        <v>37.76871329079821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41.184000000000069</v>
      </c>
      <c r="D91" s="11">
        <f t="shared" si="86"/>
        <v>12.311931477761863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412.95105000377634</v>
      </c>
      <c r="H91" s="67">
        <f t="shared" si="56"/>
        <v>386.50541399043533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197.99999999999994</v>
      </c>
      <c r="O91" s="13">
        <f>N91*VLOOKUP('Données projet'!$B$9,Paramètres!$A$1:$I$89,3,0)*VLOOKUP('Données projet'!$B$9,Paramètres!$A$1:$I$89,5,0)</f>
        <v>123.55199999999995</v>
      </c>
      <c r="P91" s="13">
        <f t="shared" si="87"/>
        <v>32.502033262579566</v>
      </c>
      <c r="Q91" s="20">
        <f t="shared" si="54"/>
        <v>271.79410793232597</v>
      </c>
      <c r="R91" s="59">
        <f t="shared" si="55"/>
        <v>565.12744126565929</v>
      </c>
      <c r="S91" s="59">
        <f ca="1">AVERAGE(OFFSET($R$3,0,0,'Données projet'!$E$9+1,1))-AVERAGE(OFFSET($H$3,0,0,'Données projet'!$E$9+1,1))</f>
        <v>168.81286953191102</v>
      </c>
      <c r="T91" s="59">
        <f t="shared" si="88"/>
        <v>255.78677933103666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16.059302689924813</v>
      </c>
      <c r="AA91" s="21">
        <f>EXP(-LN(2)/25)*AA90+(1-EXP(-LN(2)/25))/(LN(2)/25)*Calculateur!V91*Calculateur!X91*VLOOKUP('Données projet'!$B$9,Paramètres!$A$1:$I$89,3,0)*0.475*44/12</f>
        <v>15.42103977417999</v>
      </c>
      <c r="AB91" s="21">
        <f>EXP(-LN(2)/2)*AB90+(1-EXP(-LN(2)/2))/(LN(2)/2)*V91*Y91*VLOOKUP('Données projet'!$B$9,Paramètres!$A$1:$I$89,3,0)*0.475*44/12</f>
        <v>3.6484970538185948E-6</v>
      </c>
      <c r="AC91" s="22">
        <f t="shared" si="57"/>
        <v>31.480346112601854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435.00000000000023</v>
      </c>
      <c r="AJ91" s="13">
        <f>AI91*VLOOKUP('Données projet'!$B$10,Paramètres!$A$1:$I$89,3,0)*VLOOKUP('Données projet'!$B$10,Paramètres!$A$1:$I$89,5,0)</f>
        <v>260.13000000000017</v>
      </c>
      <c r="AK91" s="13">
        <f t="shared" si="89"/>
        <v>62.75008789651104</v>
      </c>
      <c r="AL91" s="20">
        <f t="shared" si="58"/>
        <v>562.349486419757</v>
      </c>
      <c r="AM91" s="59">
        <f t="shared" si="59"/>
        <v>855.68281975309037</v>
      </c>
      <c r="AN91" s="59">
        <f ca="1">AVERAGE(OFFSET($AM$3,0,0,'Données projet'!$E$10+1,1))-AVERAGE(OFFSET($H$3,0,0,'Données projet'!$E$10+1,1))</f>
        <v>247.08914525784144</v>
      </c>
      <c r="AO91" s="59">
        <f t="shared" si="90"/>
        <v>286.9617518796191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20.580805879633047</v>
      </c>
      <c r="AV91" s="21">
        <f>EXP(-LN(2)/25)*AV90+(1-EXP(-LN(2)/25))/(LN(2)/25)*Calculateur!AQ91*Calculateur!AS91*VLOOKUP('Données projet'!$B$10,Paramètres!$A$1:$I$89,3,0)*0.475*44/12</f>
        <v>14.723767017886384</v>
      </c>
      <c r="AW91" s="21">
        <f>EXP(-LN(2)/2)*AW90+(1-EXP(-LN(2)/2))/(LN(2)/2)*AQ91*AT91*VLOOKUP('Données projet'!$B$10,Paramètres!$A$1:$I$89,3,0)*0.475*44/12</f>
        <v>3.42651642625074E-4</v>
      </c>
      <c r="AX91" s="21">
        <f t="shared" si="60"/>
        <v>35.304915549162061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318.99999999999994</v>
      </c>
      <c r="BE91" s="13">
        <f>BD91*VLOOKUP('Données projet'!$B$11,Paramètres!$A$1:$I$89,3,0)*VLOOKUP('Données projet'!$B$11,Paramètres!$A$1:$I$89,5,0)</f>
        <v>253.79639999999995</v>
      </c>
      <c r="BF91" s="13">
        <f t="shared" si="91"/>
        <v>61.398168322280704</v>
      </c>
      <c r="BG91" s="20">
        <f t="shared" si="61"/>
        <v>548.9638731613054</v>
      </c>
      <c r="BH91" s="59">
        <f t="shared" si="62"/>
        <v>842.29720649463866</v>
      </c>
      <c r="BI91" s="59">
        <f ca="1">AVERAGE(OFFSET($BH$3,0,0,'Données projet'!$E$11+1,1))-AVERAGE(OFFSET($H$3,0,0,'Données projet'!$E$11+1,1))</f>
        <v>280.45463274302153</v>
      </c>
      <c r="BJ91" s="59">
        <f t="shared" si="92"/>
        <v>276.06968650495287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34.910545923145435</v>
      </c>
      <c r="BQ91" s="21">
        <f>EXP(-LN(2)/25)*BQ90+(1-EXP(-LN(2)/25))/(LN(2)/25)*Calculateur!BL91*Calculateur!BN91*VLOOKUP('Données projet'!$B$11,Paramètres!$A$1:$I$89,3,0)*0.475*44/12</f>
        <v>2.0481120111272211</v>
      </c>
      <c r="BR91" s="21">
        <f>EXP(-LN(2)/2)*BR90+(1-EXP(-LN(2)/2))/(LN(2)/2)*BL91*BO91*VLOOKUP('Données projet'!$B$11,Paramètres!$A$1:$I$89,3,0)*0.475*44/12</f>
        <v>3.8330834662596708E-2</v>
      </c>
      <c r="BS91" s="22">
        <f t="shared" si="63"/>
        <v>36.996988768935253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41.652000000000072</v>
      </c>
      <c r="D92" s="11">
        <f t="shared" si="86"/>
        <v>12.435473046397316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417.51733579675187</v>
      </c>
      <c r="H92" s="67">
        <f t="shared" si="56"/>
        <v>387.53568222247543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197.99999999999994</v>
      </c>
      <c r="O92" s="13">
        <f>N92*VLOOKUP('Données projet'!$B$9,Paramètres!$A$1:$I$89,3,0)*VLOOKUP('Données projet'!$B$9,Paramètres!$A$1:$I$89,5,0)</f>
        <v>123.55199999999995</v>
      </c>
      <c r="P92" s="13">
        <f t="shared" si="87"/>
        <v>32.502033262579566</v>
      </c>
      <c r="Q92" s="20">
        <f t="shared" si="54"/>
        <v>271.79410793232597</v>
      </c>
      <c r="R92" s="59">
        <f t="shared" si="55"/>
        <v>565.12744126565929</v>
      </c>
      <c r="S92" s="59">
        <f ca="1">AVERAGE(OFFSET($R$3,0,0,'Données projet'!$E$9+1,1))-AVERAGE(OFFSET($H$3,0,0,'Données projet'!$E$9+1,1))</f>
        <v>168.81286953191102</v>
      </c>
      <c r="T92" s="59">
        <f t="shared" si="88"/>
        <v>255.78677933103666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15.744389559382832</v>
      </c>
      <c r="AA92" s="21">
        <f>EXP(-LN(2)/25)*AA91+(1-EXP(-LN(2)/25))/(LN(2)/25)*Calculateur!V92*Calculateur!X92*VLOOKUP('Données projet'!$B$9,Paramètres!$A$1:$I$89,3,0)*0.475*44/12</f>
        <v>14.999350630597801</v>
      </c>
      <c r="AB92" s="21">
        <f>EXP(-LN(2)/2)*AB91+(1-EXP(-LN(2)/2))/(LN(2)/2)*V92*Y92*VLOOKUP('Données projet'!$B$9,Paramètres!$A$1:$I$89,3,0)*0.475*44/12</f>
        <v>2.5798770078942684E-6</v>
      </c>
      <c r="AC92" s="22">
        <f t="shared" si="57"/>
        <v>30.743742769857644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435.00000000000023</v>
      </c>
      <c r="AJ92" s="13">
        <f>AI92*VLOOKUP('Données projet'!$B$10,Paramètres!$A$1:$I$89,3,0)*VLOOKUP('Données projet'!$B$10,Paramètres!$A$1:$I$89,5,0)</f>
        <v>260.13000000000017</v>
      </c>
      <c r="AK92" s="13">
        <f t="shared" si="89"/>
        <v>62.75008789651104</v>
      </c>
      <c r="AL92" s="20">
        <f t="shared" si="58"/>
        <v>562.349486419757</v>
      </c>
      <c r="AM92" s="59">
        <f t="shared" si="59"/>
        <v>855.68281975309037</v>
      </c>
      <c r="AN92" s="59">
        <f ca="1">AVERAGE(OFFSET($AM$3,0,0,'Données projet'!$E$10+1,1))-AVERAGE(OFFSET($H$3,0,0,'Données projet'!$E$10+1,1))</f>
        <v>247.08914525784144</v>
      </c>
      <c r="AO92" s="59">
        <f t="shared" si="90"/>
        <v>286.9617518796191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20.17722882938552</v>
      </c>
      <c r="AV92" s="21">
        <f>EXP(-LN(2)/25)*AV91+(1-EXP(-LN(2)/25))/(LN(2)/25)*Calculateur!AQ92*Calculateur!AS92*VLOOKUP('Données projet'!$B$10,Paramètres!$A$1:$I$89,3,0)*0.475*44/12</f>
        <v>14.321144834493026</v>
      </c>
      <c r="AW92" s="21">
        <f>EXP(-LN(2)/2)*AW91+(1-EXP(-LN(2)/2))/(LN(2)/2)*AQ92*AT92*VLOOKUP('Données projet'!$B$10,Paramètres!$A$1:$I$89,3,0)*0.475*44/12</f>
        <v>2.4229130008489929E-4</v>
      </c>
      <c r="AX92" s="21">
        <f t="shared" si="60"/>
        <v>34.498615955178629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318.99999999999994</v>
      </c>
      <c r="BE92" s="13">
        <f>BD92*VLOOKUP('Données projet'!$B$11,Paramètres!$A$1:$I$89,3,0)*VLOOKUP('Données projet'!$B$11,Paramètres!$A$1:$I$89,5,0)</f>
        <v>253.79639999999995</v>
      </c>
      <c r="BF92" s="13">
        <f t="shared" si="91"/>
        <v>61.398168322280704</v>
      </c>
      <c r="BG92" s="20">
        <f t="shared" si="61"/>
        <v>548.9638731613054</v>
      </c>
      <c r="BH92" s="59">
        <f t="shared" si="62"/>
        <v>842.29720649463866</v>
      </c>
      <c r="BI92" s="59">
        <f ca="1">AVERAGE(OFFSET($BH$3,0,0,'Données projet'!$E$11+1,1))-AVERAGE(OFFSET($H$3,0,0,'Données projet'!$E$11+1,1))</f>
        <v>280.45463274302153</v>
      </c>
      <c r="BJ92" s="59">
        <f t="shared" si="92"/>
        <v>276.06968650495287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34.225971410923023</v>
      </c>
      <c r="BQ92" s="21">
        <f>EXP(-LN(2)/25)*BQ91+(1-EXP(-LN(2)/25))/(LN(2)/25)*Calculateur!BL92*Calculateur!BN92*VLOOKUP('Données projet'!$B$11,Paramètres!$A$1:$I$89,3,0)*0.475*44/12</f>
        <v>1.9921062804774177</v>
      </c>
      <c r="BR92" s="21">
        <f>EXP(-LN(2)/2)*BR91+(1-EXP(-LN(2)/2))/(LN(2)/2)*BL92*BO92*VLOOKUP('Données projet'!$B$11,Paramètres!$A$1:$I$89,3,0)*0.475*44/12</f>
        <v>2.7103993118462504E-2</v>
      </c>
      <c r="BS92" s="22">
        <f t="shared" si="63"/>
        <v>36.245181684518904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42.120000000000076</v>
      </c>
      <c r="D93" s="11">
        <f t="shared" si="86"/>
        <v>12.558853141338776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422.08237512612442</v>
      </c>
      <c r="H93" s="67">
        <f t="shared" si="56"/>
        <v>388.56566922116514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197.99999999999994</v>
      </c>
      <c r="O93" s="13">
        <f>N93*VLOOKUP('Données projet'!$B$9,Paramètres!$A$1:$I$89,3,0)*VLOOKUP('Données projet'!$B$9,Paramètres!$A$1:$I$89,5,0)</f>
        <v>123.55199999999995</v>
      </c>
      <c r="P93" s="13">
        <f t="shared" si="87"/>
        <v>32.502033262579566</v>
      </c>
      <c r="Q93" s="20">
        <f t="shared" si="54"/>
        <v>271.79410793232597</v>
      </c>
      <c r="R93" s="59">
        <f t="shared" si="55"/>
        <v>565.12744126565929</v>
      </c>
      <c r="S93" s="59">
        <f ca="1">AVERAGE(OFFSET($R$3,0,0,'Données projet'!$E$9+1,1))-AVERAGE(OFFSET($H$3,0,0,'Données projet'!$E$9+1,1))</f>
        <v>168.81286953191102</v>
      </c>
      <c r="T93" s="59">
        <f t="shared" si="88"/>
        <v>255.78677933103666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15.435651683252734</v>
      </c>
      <c r="AA93" s="21">
        <f>EXP(-LN(2)/25)*AA92+(1-EXP(-LN(2)/25))/(LN(2)/25)*Calculateur!V93*Calculateur!X93*VLOOKUP('Données projet'!$B$9,Paramètres!$A$1:$I$89,3,0)*0.475*44/12</f>
        <v>14.589192598822537</v>
      </c>
      <c r="AB93" s="21">
        <f>EXP(-LN(2)/2)*AB92+(1-EXP(-LN(2)/2))/(LN(2)/2)*V93*Y93*VLOOKUP('Données projet'!$B$9,Paramètres!$A$1:$I$89,3,0)*0.475*44/12</f>
        <v>1.8242485269092974E-6</v>
      </c>
      <c r="AC93" s="22">
        <f t="shared" si="57"/>
        <v>30.0248461063238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435.00000000000023</v>
      </c>
      <c r="AJ93" s="13">
        <f>AI93*VLOOKUP('Données projet'!$B$10,Paramètres!$A$1:$I$89,3,0)*VLOOKUP('Données projet'!$B$10,Paramètres!$A$1:$I$89,5,0)</f>
        <v>260.13000000000017</v>
      </c>
      <c r="AK93" s="13">
        <f t="shared" si="89"/>
        <v>62.75008789651104</v>
      </c>
      <c r="AL93" s="20">
        <f t="shared" si="58"/>
        <v>562.349486419757</v>
      </c>
      <c r="AM93" s="59">
        <f t="shared" si="59"/>
        <v>855.68281975309037</v>
      </c>
      <c r="AN93" s="59">
        <f ca="1">AVERAGE(OFFSET($AM$3,0,0,'Données projet'!$E$10+1,1))-AVERAGE(OFFSET($H$3,0,0,'Données projet'!$E$10+1,1))</f>
        <v>247.08914525784144</v>
      </c>
      <c r="AO93" s="59">
        <f t="shared" si="90"/>
        <v>286.9617518796191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19.78156567893565</v>
      </c>
      <c r="AV93" s="21">
        <f>EXP(-LN(2)/25)*AV92+(1-EXP(-LN(2)/25))/(LN(2)/25)*Calculateur!AQ93*Calculateur!AS93*VLOOKUP('Données projet'!$B$10,Paramètres!$A$1:$I$89,3,0)*0.475*44/12</f>
        <v>13.929532375877539</v>
      </c>
      <c r="AW93" s="21">
        <f>EXP(-LN(2)/2)*AW92+(1-EXP(-LN(2)/2))/(LN(2)/2)*AQ93*AT93*VLOOKUP('Données projet'!$B$10,Paramètres!$A$1:$I$89,3,0)*0.475*44/12</f>
        <v>1.7132582131253703E-4</v>
      </c>
      <c r="AX93" s="21">
        <f t="shared" si="60"/>
        <v>33.711269380634505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318.99999999999994</v>
      </c>
      <c r="BE93" s="13">
        <f>BD93*VLOOKUP('Données projet'!$B$11,Paramètres!$A$1:$I$89,3,0)*VLOOKUP('Données projet'!$B$11,Paramètres!$A$1:$I$89,5,0)</f>
        <v>253.79639999999995</v>
      </c>
      <c r="BF93" s="13">
        <f t="shared" si="91"/>
        <v>61.398168322280704</v>
      </c>
      <c r="BG93" s="20">
        <f t="shared" si="61"/>
        <v>548.9638731613054</v>
      </c>
      <c r="BH93" s="59">
        <f t="shared" si="62"/>
        <v>842.29720649463866</v>
      </c>
      <c r="BI93" s="59">
        <f ca="1">AVERAGE(OFFSET($BH$3,0,0,'Données projet'!$E$11+1,1))-AVERAGE(OFFSET($H$3,0,0,'Données projet'!$E$11+1,1))</f>
        <v>280.45463274302153</v>
      </c>
      <c r="BJ93" s="59">
        <f t="shared" si="92"/>
        <v>276.06968650495287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33.554820987336072</v>
      </c>
      <c r="BQ93" s="21">
        <f>EXP(-LN(2)/25)*BQ92+(1-EXP(-LN(2)/25))/(LN(2)/25)*Calculateur!BL93*Calculateur!BN93*VLOOKUP('Données projet'!$B$11,Paramètres!$A$1:$I$89,3,0)*0.475*44/12</f>
        <v>1.9376320294774465</v>
      </c>
      <c r="BR93" s="21">
        <f>EXP(-LN(2)/2)*BR92+(1-EXP(-LN(2)/2))/(LN(2)/2)*BL93*BO93*VLOOKUP('Données projet'!$B$11,Paramètres!$A$1:$I$89,3,0)*0.475*44/12</f>
        <v>1.9165417331298357E-2</v>
      </c>
      <c r="BS93" s="22">
        <f t="shared" si="63"/>
        <v>35.511618434144822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42.588000000000079</v>
      </c>
      <c r="D94" s="11">
        <f t="shared" si="86"/>
        <v>12.682073764365786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426.64618344422774</v>
      </c>
      <c r="H94" s="67">
        <f t="shared" si="56"/>
        <v>389.59537847293717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197.99999999999994</v>
      </c>
      <c r="O94" s="13">
        <f>N94*VLOOKUP('Données projet'!$B$9,Paramètres!$A$1:$I$89,3,0)*VLOOKUP('Données projet'!$B$9,Paramètres!$A$1:$I$89,5,0)</f>
        <v>123.55199999999995</v>
      </c>
      <c r="P94" s="13">
        <f t="shared" si="87"/>
        <v>32.502033262579566</v>
      </c>
      <c r="Q94" s="20">
        <f t="shared" si="54"/>
        <v>271.79410793232597</v>
      </c>
      <c r="R94" s="59">
        <f t="shared" si="55"/>
        <v>565.12744126565929</v>
      </c>
      <c r="S94" s="59">
        <f ca="1">AVERAGE(OFFSET($R$3,0,0,'Données projet'!$E$9+1,1))-AVERAGE(OFFSET($H$3,0,0,'Données projet'!$E$9+1,1))</f>
        <v>168.81286953191102</v>
      </c>
      <c r="T94" s="59">
        <f t="shared" si="88"/>
        <v>255.78677933103666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15.132967968562038</v>
      </c>
      <c r="AA94" s="21">
        <f>EXP(-LN(2)/25)*AA93+(1-EXP(-LN(2)/25))/(LN(2)/25)*Calculateur!V94*Calculateur!X94*VLOOKUP('Données projet'!$B$9,Paramètres!$A$1:$I$89,3,0)*0.475*44/12</f>
        <v>14.19025035999544</v>
      </c>
      <c r="AB94" s="21">
        <f>EXP(-LN(2)/2)*AB93+(1-EXP(-LN(2)/2))/(LN(2)/2)*V94*Y94*VLOOKUP('Données projet'!$B$9,Paramètres!$A$1:$I$89,3,0)*0.475*44/12</f>
        <v>1.2899385039471342E-6</v>
      </c>
      <c r="AC94" s="22">
        <f t="shared" si="57"/>
        <v>29.323219618495983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435.00000000000023</v>
      </c>
      <c r="AJ94" s="13">
        <f>AI94*VLOOKUP('Données projet'!$B$10,Paramètres!$A$1:$I$89,3,0)*VLOOKUP('Données projet'!$B$10,Paramètres!$A$1:$I$89,5,0)</f>
        <v>260.13000000000017</v>
      </c>
      <c r="AK94" s="13">
        <f t="shared" si="89"/>
        <v>62.75008789651104</v>
      </c>
      <c r="AL94" s="20">
        <f t="shared" si="58"/>
        <v>562.349486419757</v>
      </c>
      <c r="AM94" s="59">
        <f t="shared" si="59"/>
        <v>855.68281975309037</v>
      </c>
      <c r="AN94" s="59">
        <f ca="1">AVERAGE(OFFSET($AM$3,0,0,'Données projet'!$E$10+1,1))-AVERAGE(OFFSET($H$3,0,0,'Données projet'!$E$10+1,1))</f>
        <v>247.08914525784144</v>
      </c>
      <c r="AO94" s="59">
        <f t="shared" si="90"/>
        <v>286.9617518796191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19.393661241535408</v>
      </c>
      <c r="AV94" s="21">
        <f>EXP(-LN(2)/25)*AV93+(1-EXP(-LN(2)/25))/(LN(2)/25)*Calculateur!AQ94*Calculateur!AS94*VLOOKUP('Données projet'!$B$10,Paramètres!$A$1:$I$89,3,0)*0.475*44/12</f>
        <v>13.548628580536896</v>
      </c>
      <c r="AW94" s="21">
        <f>EXP(-LN(2)/2)*AW93+(1-EXP(-LN(2)/2))/(LN(2)/2)*AQ94*AT94*VLOOKUP('Données projet'!$B$10,Paramètres!$A$1:$I$89,3,0)*0.475*44/12</f>
        <v>1.2114565004244967E-4</v>
      </c>
      <c r="AX94" s="21">
        <f t="shared" si="60"/>
        <v>32.942410967722346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318.99999999999994</v>
      </c>
      <c r="BE94" s="13">
        <f>BD94*VLOOKUP('Données projet'!$B$11,Paramètres!$A$1:$I$89,3,0)*VLOOKUP('Données projet'!$B$11,Paramètres!$A$1:$I$89,5,0)</f>
        <v>253.79639999999995</v>
      </c>
      <c r="BF94" s="13">
        <f t="shared" si="91"/>
        <v>61.398168322280704</v>
      </c>
      <c r="BG94" s="20">
        <f t="shared" si="61"/>
        <v>548.9638731613054</v>
      </c>
      <c r="BH94" s="59">
        <f t="shared" si="62"/>
        <v>842.29720649463866</v>
      </c>
      <c r="BI94" s="59">
        <f ca="1">AVERAGE(OFFSET($BH$3,0,0,'Données projet'!$E$11+1,1))-AVERAGE(OFFSET($H$3,0,0,'Données projet'!$E$11+1,1))</f>
        <v>280.45463274302153</v>
      </c>
      <c r="BJ94" s="59">
        <f t="shared" si="92"/>
        <v>276.06968650495287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32.896831414194324</v>
      </c>
      <c r="BQ94" s="21">
        <f>EXP(-LN(2)/25)*BQ93+(1-EXP(-LN(2)/25))/(LN(2)/25)*Calculateur!BL94*Calculateur!BN94*VLOOKUP('Données projet'!$B$11,Paramètres!$A$1:$I$89,3,0)*0.475*44/12</f>
        <v>1.8846473797357459</v>
      </c>
      <c r="BR94" s="21">
        <f>EXP(-LN(2)/2)*BR93+(1-EXP(-LN(2)/2))/(LN(2)/2)*BL94*BO94*VLOOKUP('Données projet'!$B$11,Paramètres!$A$1:$I$89,3,0)*0.475*44/12</f>
        <v>1.3551996559231254E-2</v>
      </c>
      <c r="BS94" s="22">
        <f t="shared" si="63"/>
        <v>34.795030790489299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43.056000000000083</v>
      </c>
      <c r="D95" s="11">
        <f t="shared" si="86"/>
        <v>12.805136870729203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431.20877584422607</v>
      </c>
      <c r="H95" s="67">
        <f t="shared" si="56"/>
        <v>390.62481338318679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197.99999999999994</v>
      </c>
      <c r="O95" s="13">
        <f>N95*VLOOKUP('Données projet'!$B$9,Paramètres!$A$1:$I$89,3,0)*VLOOKUP('Données projet'!$B$9,Paramètres!$A$1:$I$89,5,0)</f>
        <v>123.55199999999995</v>
      </c>
      <c r="P95" s="13">
        <f t="shared" si="87"/>
        <v>32.502033262579566</v>
      </c>
      <c r="Q95" s="20">
        <f t="shared" si="54"/>
        <v>271.79410793232597</v>
      </c>
      <c r="R95" s="59">
        <f t="shared" si="55"/>
        <v>565.12744126565929</v>
      </c>
      <c r="S95" s="59">
        <f ca="1">AVERAGE(OFFSET($R$3,0,0,'Données projet'!$E$9+1,1))-AVERAGE(OFFSET($H$3,0,0,'Données projet'!$E$9+1,1))</f>
        <v>168.81286953191102</v>
      </c>
      <c r="T95" s="59">
        <f t="shared" si="88"/>
        <v>255.78677933103666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14.836219696897592</v>
      </c>
      <c r="AA95" s="21">
        <f>EXP(-LN(2)/25)*AA94+(1-EXP(-LN(2)/25))/(LN(2)/25)*Calculateur!V95*Calculateur!X95*VLOOKUP('Données projet'!$B$9,Paramètres!$A$1:$I$89,3,0)*0.475*44/12</f>
        <v>13.802217217668531</v>
      </c>
      <c r="AB95" s="21">
        <f>EXP(-LN(2)/2)*AB94+(1-EXP(-LN(2)/2))/(LN(2)/2)*V95*Y95*VLOOKUP('Données projet'!$B$9,Paramètres!$A$1:$I$89,3,0)*0.475*44/12</f>
        <v>9.1212426345464869E-7</v>
      </c>
      <c r="AC95" s="22">
        <f t="shared" si="57"/>
        <v>28.638437826690385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435.00000000000023</v>
      </c>
      <c r="AJ95" s="13">
        <f>AI95*VLOOKUP('Données projet'!$B$10,Paramètres!$A$1:$I$89,3,0)*VLOOKUP('Données projet'!$B$10,Paramètres!$A$1:$I$89,5,0)</f>
        <v>260.13000000000017</v>
      </c>
      <c r="AK95" s="13">
        <f t="shared" si="89"/>
        <v>62.75008789651104</v>
      </c>
      <c r="AL95" s="20">
        <f t="shared" si="58"/>
        <v>562.349486419757</v>
      </c>
      <c r="AM95" s="59">
        <f t="shared" si="59"/>
        <v>855.68281975309037</v>
      </c>
      <c r="AN95" s="59">
        <f ca="1">AVERAGE(OFFSET($AM$3,0,0,'Données projet'!$E$10+1,1))-AVERAGE(OFFSET($H$3,0,0,'Données projet'!$E$10+1,1))</f>
        <v>247.08914525784144</v>
      </c>
      <c r="AO95" s="59">
        <f t="shared" si="90"/>
        <v>286.9617518796191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19.013363373554242</v>
      </c>
      <c r="AV95" s="21">
        <f>EXP(-LN(2)/25)*AV94+(1-EXP(-LN(2)/25))/(LN(2)/25)*Calculateur!AQ95*Calculateur!AS95*VLOOKUP('Données projet'!$B$10,Paramètres!$A$1:$I$89,3,0)*0.475*44/12</f>
        <v>13.178140619510703</v>
      </c>
      <c r="AW95" s="21">
        <f>EXP(-LN(2)/2)*AW94+(1-EXP(-LN(2)/2))/(LN(2)/2)*AQ95*AT95*VLOOKUP('Données projet'!$B$10,Paramètres!$A$1:$I$89,3,0)*0.475*44/12</f>
        <v>8.5662910656268527E-5</v>
      </c>
      <c r="AX95" s="21">
        <f t="shared" si="60"/>
        <v>32.191589655975598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318.99999999999994</v>
      </c>
      <c r="BE95" s="13">
        <f>BD95*VLOOKUP('Données projet'!$B$11,Paramètres!$A$1:$I$89,3,0)*VLOOKUP('Données projet'!$B$11,Paramètres!$A$1:$I$89,5,0)</f>
        <v>253.79639999999995</v>
      </c>
      <c r="BF95" s="13">
        <f t="shared" si="91"/>
        <v>61.398168322280704</v>
      </c>
      <c r="BG95" s="20">
        <f t="shared" si="61"/>
        <v>548.9638731613054</v>
      </c>
      <c r="BH95" s="59">
        <f t="shared" si="62"/>
        <v>842.29720649463866</v>
      </c>
      <c r="BI95" s="59">
        <f ca="1">AVERAGE(OFFSET($BH$3,0,0,'Données projet'!$E$11+1,1))-AVERAGE(OFFSET($H$3,0,0,'Données projet'!$E$11+1,1))</f>
        <v>280.45463274302153</v>
      </c>
      <c r="BJ95" s="59">
        <f t="shared" si="92"/>
        <v>276.06968650495287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32.251744615247873</v>
      </c>
      <c r="BQ95" s="21">
        <f>EXP(-LN(2)/25)*BQ94+(1-EXP(-LN(2)/25))/(LN(2)/25)*Calculateur!BL95*Calculateur!BN95*VLOOKUP('Données projet'!$B$11,Paramètres!$A$1:$I$89,3,0)*0.475*44/12</f>
        <v>1.8331115980275736</v>
      </c>
      <c r="BR95" s="21">
        <f>EXP(-LN(2)/2)*BR94+(1-EXP(-LN(2)/2))/(LN(2)/2)*BL95*BO95*VLOOKUP('Données projet'!$B$11,Paramètres!$A$1:$I$89,3,0)*0.475*44/12</f>
        <v>9.5827086656491804E-3</v>
      </c>
      <c r="BS95" s="22">
        <f t="shared" si="63"/>
        <v>34.094438921941091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43.524000000000086</v>
      </c>
      <c r="D96" s="11">
        <f t="shared" si="86"/>
        <v>12.928044370726413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435.77016707227472</v>
      </c>
      <c r="H96" s="67">
        <f t="shared" si="56"/>
        <v>391.65397727901529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197.99999999999994</v>
      </c>
      <c r="O96" s="13">
        <f>N96*VLOOKUP('Données projet'!$B$9,Paramètres!$A$1:$I$89,3,0)*VLOOKUP('Données projet'!$B$9,Paramètres!$A$1:$I$89,5,0)</f>
        <v>123.55199999999995</v>
      </c>
      <c r="P96" s="13">
        <f t="shared" si="87"/>
        <v>32.502033262579566</v>
      </c>
      <c r="Q96" s="20">
        <f t="shared" si="54"/>
        <v>271.79410793232597</v>
      </c>
      <c r="R96" s="59">
        <f t="shared" si="55"/>
        <v>565.12744126565929</v>
      </c>
      <c r="S96" s="59">
        <f ca="1">AVERAGE(OFFSET($R$3,0,0,'Données projet'!$E$9+1,1))-AVERAGE(OFFSET($H$3,0,0,'Données projet'!$E$9+1,1))</f>
        <v>168.81286953191102</v>
      </c>
      <c r="T96" s="59">
        <f t="shared" si="88"/>
        <v>255.78677933103666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14.545290477841911</v>
      </c>
      <c r="AA96" s="21">
        <f>EXP(-LN(2)/25)*AA95+(1-EXP(-LN(2)/25))/(LN(2)/25)*Calculateur!V96*Calculateur!X96*VLOOKUP('Données projet'!$B$9,Paramètres!$A$1:$I$89,3,0)*0.475*44/12</f>
        <v>13.424794862024326</v>
      </c>
      <c r="AB96" s="21">
        <f>EXP(-LN(2)/2)*AB95+(1-EXP(-LN(2)/2))/(LN(2)/2)*V96*Y96*VLOOKUP('Données projet'!$B$9,Paramètres!$A$1:$I$89,3,0)*0.475*44/12</f>
        <v>6.4496925197356709E-7</v>
      </c>
      <c r="AC96" s="22">
        <f t="shared" si="57"/>
        <v>27.970085984835489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435.00000000000023</v>
      </c>
      <c r="AJ96" s="13">
        <f>AI96*VLOOKUP('Données projet'!$B$10,Paramètres!$A$1:$I$89,3,0)*VLOOKUP('Données projet'!$B$10,Paramètres!$A$1:$I$89,5,0)</f>
        <v>260.13000000000017</v>
      </c>
      <c r="AK96" s="13">
        <f t="shared" si="89"/>
        <v>62.75008789651104</v>
      </c>
      <c r="AL96" s="20">
        <f t="shared" si="58"/>
        <v>562.349486419757</v>
      </c>
      <c r="AM96" s="59">
        <f t="shared" si="59"/>
        <v>855.68281975309037</v>
      </c>
      <c r="AN96" s="59">
        <f ca="1">AVERAGE(OFFSET($AM$3,0,0,'Données projet'!$E$10+1,1))-AVERAGE(OFFSET($H$3,0,0,'Données projet'!$E$10+1,1))</f>
        <v>247.08914525784144</v>
      </c>
      <c r="AO96" s="59">
        <f t="shared" si="90"/>
        <v>286.9617518796191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18.640522914805391</v>
      </c>
      <c r="AV96" s="21">
        <f>EXP(-LN(2)/25)*AV95+(1-EXP(-LN(2)/25))/(LN(2)/25)*Calculateur!AQ96*Calculateur!AS96*VLOOKUP('Données projet'!$B$10,Paramètres!$A$1:$I$89,3,0)*0.475*44/12</f>
        <v>12.817783671261887</v>
      </c>
      <c r="AW96" s="21">
        <f>EXP(-LN(2)/2)*AW95+(1-EXP(-LN(2)/2))/(LN(2)/2)*AQ96*AT96*VLOOKUP('Données projet'!$B$10,Paramètres!$A$1:$I$89,3,0)*0.475*44/12</f>
        <v>6.0572825021224842E-5</v>
      </c>
      <c r="AX96" s="21">
        <f t="shared" si="60"/>
        <v>31.458367158892301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318.99999999999994</v>
      </c>
      <c r="BE96" s="13">
        <f>BD96*VLOOKUP('Données projet'!$B$11,Paramètres!$A$1:$I$89,3,0)*VLOOKUP('Données projet'!$B$11,Paramètres!$A$1:$I$89,5,0)</f>
        <v>253.79639999999995</v>
      </c>
      <c r="BF96" s="13">
        <f t="shared" si="91"/>
        <v>61.398168322280704</v>
      </c>
      <c r="BG96" s="20">
        <f t="shared" si="61"/>
        <v>548.9638731613054</v>
      </c>
      <c r="BH96" s="59">
        <f t="shared" si="62"/>
        <v>842.29720649463866</v>
      </c>
      <c r="BI96" s="59">
        <f ca="1">AVERAGE(OFFSET($BH$3,0,0,'Données projet'!$E$11+1,1))-AVERAGE(OFFSET($H$3,0,0,'Données projet'!$E$11+1,1))</f>
        <v>280.45463274302153</v>
      </c>
      <c r="BJ96" s="59">
        <f t="shared" si="92"/>
        <v>276.06968650495287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31.619307574964665</v>
      </c>
      <c r="BQ96" s="21">
        <f>EXP(-LN(2)/25)*BQ95+(1-EXP(-LN(2)/25))/(LN(2)/25)*Calculateur!BL96*Calculateur!BN96*VLOOKUP('Données projet'!$B$11,Paramètres!$A$1:$I$89,3,0)*0.475*44/12</f>
        <v>1.7829850649803602</v>
      </c>
      <c r="BR96" s="21">
        <f>EXP(-LN(2)/2)*BR95+(1-EXP(-LN(2)/2))/(LN(2)/2)*BL96*BO96*VLOOKUP('Données projet'!$B$11,Paramètres!$A$1:$I$89,3,0)*0.475*44/12</f>
        <v>6.7759982796156285E-3</v>
      </c>
      <c r="BS96" s="22">
        <f t="shared" si="63"/>
        <v>33.409068638224639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43.99200000000009</v>
      </c>
      <c r="D97" s="11">
        <f t="shared" si="86"/>
        <v>13.050798131206898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440.33037153914165</v>
      </c>
      <c r="H97" s="67">
        <f t="shared" si="56"/>
        <v>392.68287341185214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197.99999999999994</v>
      </c>
      <c r="O97" s="13">
        <f>N97*VLOOKUP('Données projet'!$B$9,Paramètres!$A$1:$I$89,3,0)*VLOOKUP('Données projet'!$B$9,Paramètres!$A$1:$I$89,5,0)</f>
        <v>123.55199999999995</v>
      </c>
      <c r="P97" s="13">
        <f t="shared" si="87"/>
        <v>32.502033262579566</v>
      </c>
      <c r="Q97" s="20">
        <f t="shared" si="54"/>
        <v>271.79410793232597</v>
      </c>
      <c r="R97" s="59">
        <f t="shared" si="55"/>
        <v>565.12744126565929</v>
      </c>
      <c r="S97" s="59">
        <f ca="1">AVERAGE(OFFSET($R$3,0,0,'Données projet'!$E$9+1,1))-AVERAGE(OFFSET($H$3,0,0,'Données projet'!$E$9+1,1))</f>
        <v>168.81286953191102</v>
      </c>
      <c r="T97" s="59">
        <f t="shared" si="88"/>
        <v>255.78677933103666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14.26006620332261</v>
      </c>
      <c r="AA97" s="21">
        <f>EXP(-LN(2)/25)*AA96+(1-EXP(-LN(2)/25))/(LN(2)/25)*Calculateur!V97*Calculateur!X97*VLOOKUP('Données projet'!$B$9,Paramètres!$A$1:$I$89,3,0)*0.475*44/12</f>
        <v>13.057693140542991</v>
      </c>
      <c r="AB97" s="21">
        <f>EXP(-LN(2)/2)*AB96+(1-EXP(-LN(2)/2))/(LN(2)/2)*V97*Y97*VLOOKUP('Données projet'!$B$9,Paramètres!$A$1:$I$89,3,0)*0.475*44/12</f>
        <v>4.5606213172732434E-7</v>
      </c>
      <c r="AC97" s="22">
        <f t="shared" si="57"/>
        <v>27.317759799927735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435.00000000000023</v>
      </c>
      <c r="AJ97" s="13">
        <f>AI97*VLOOKUP('Données projet'!$B$10,Paramètres!$A$1:$I$89,3,0)*VLOOKUP('Données projet'!$B$10,Paramètres!$A$1:$I$89,5,0)</f>
        <v>260.13000000000017</v>
      </c>
      <c r="AK97" s="13">
        <f t="shared" si="89"/>
        <v>62.75008789651104</v>
      </c>
      <c r="AL97" s="20">
        <f t="shared" si="58"/>
        <v>562.349486419757</v>
      </c>
      <c r="AM97" s="59">
        <f t="shared" si="59"/>
        <v>855.68281975309037</v>
      </c>
      <c r="AN97" s="59">
        <f ca="1">AVERAGE(OFFSET($AM$3,0,0,'Données projet'!$E$10+1,1))-AVERAGE(OFFSET($H$3,0,0,'Données projet'!$E$10+1,1))</f>
        <v>247.08914525784144</v>
      </c>
      <c r="AO97" s="59">
        <f t="shared" si="90"/>
        <v>286.9617518796191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18.274993630042381</v>
      </c>
      <c r="AV97" s="21">
        <f>EXP(-LN(2)/25)*AV96+(1-EXP(-LN(2)/25))/(LN(2)/25)*Calculateur!AQ97*Calculateur!AS97*VLOOKUP('Données projet'!$B$10,Paramètres!$A$1:$I$89,3,0)*0.475*44/12</f>
        <v>12.467280702713284</v>
      </c>
      <c r="AW97" s="21">
        <f>EXP(-LN(2)/2)*AW96+(1-EXP(-LN(2)/2))/(LN(2)/2)*AQ97*AT97*VLOOKUP('Données projet'!$B$10,Paramètres!$A$1:$I$89,3,0)*0.475*44/12</f>
        <v>4.283145532813427E-5</v>
      </c>
      <c r="AX97" s="21">
        <f t="shared" si="60"/>
        <v>30.742317164210991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318.99999999999994</v>
      </c>
      <c r="BE97" s="13">
        <f>BD97*VLOOKUP('Données projet'!$B$11,Paramètres!$A$1:$I$89,3,0)*VLOOKUP('Données projet'!$B$11,Paramètres!$A$1:$I$89,5,0)</f>
        <v>253.79639999999995</v>
      </c>
      <c r="BF97" s="13">
        <f t="shared" si="91"/>
        <v>61.398168322280704</v>
      </c>
      <c r="BG97" s="20">
        <f t="shared" si="61"/>
        <v>548.9638731613054</v>
      </c>
      <c r="BH97" s="59">
        <f t="shared" si="62"/>
        <v>842.29720649463866</v>
      </c>
      <c r="BI97" s="59">
        <f ca="1">AVERAGE(OFFSET($BH$3,0,0,'Données projet'!$E$11+1,1))-AVERAGE(OFFSET($H$3,0,0,'Données projet'!$E$11+1,1))</f>
        <v>280.45463274302153</v>
      </c>
      <c r="BJ97" s="59">
        <f t="shared" si="92"/>
        <v>276.06968650495287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30.999272239292907</v>
      </c>
      <c r="BQ97" s="21">
        <f>EXP(-LN(2)/25)*BQ96+(1-EXP(-LN(2)/25))/(LN(2)/25)*Calculateur!BL97*Calculateur!BN97*VLOOKUP('Données projet'!$B$11,Paramètres!$A$1:$I$89,3,0)*0.475*44/12</f>
        <v>1.7342292446153629</v>
      </c>
      <c r="BR97" s="21">
        <f>EXP(-LN(2)/2)*BR96+(1-EXP(-LN(2)/2))/(LN(2)/2)*BL97*BO97*VLOOKUP('Données projet'!$B$11,Paramètres!$A$1:$I$89,3,0)*0.475*44/12</f>
        <v>4.7913543328245911E-3</v>
      </c>
      <c r="BS97" s="22">
        <f t="shared" si="63"/>
        <v>32.738292838241094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44.460000000000093</v>
      </c>
      <c r="D98" s="11">
        <f t="shared" si="86"/>
        <v>13.173399977011883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444.88940333132058</v>
      </c>
      <c r="H98" s="67">
        <f t="shared" si="56"/>
        <v>393.7115049599625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197.99999999999994</v>
      </c>
      <c r="O98" s="13">
        <f>N98*VLOOKUP('Données projet'!$B$9,Paramètres!$A$1:$I$89,3,0)*VLOOKUP('Données projet'!$B$9,Paramètres!$A$1:$I$89,5,0)</f>
        <v>123.55199999999995</v>
      </c>
      <c r="P98" s="13">
        <f t="shared" si="87"/>
        <v>32.502033262579566</v>
      </c>
      <c r="Q98" s="20">
        <f t="shared" si="54"/>
        <v>271.79410793232597</v>
      </c>
      <c r="R98" s="59">
        <f t="shared" si="55"/>
        <v>565.12744126565929</v>
      </c>
      <c r="S98" s="59">
        <f ca="1">AVERAGE(OFFSET($R$3,0,0,'Données projet'!$E$9+1,1))-AVERAGE(OFFSET($H$3,0,0,'Données projet'!$E$9+1,1))</f>
        <v>168.81286953191102</v>
      </c>
      <c r="T98" s="59">
        <f t="shared" si="88"/>
        <v>255.78677933103666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13.980435002857003</v>
      </c>
      <c r="AA98" s="21">
        <f>EXP(-LN(2)/25)*AA97+(1-EXP(-LN(2)/25))/(LN(2)/25)*Calculateur!V98*Calculateur!X98*VLOOKUP('Données projet'!$B$9,Paramètres!$A$1:$I$89,3,0)*0.475*44/12</f>
        <v>12.700629834940605</v>
      </c>
      <c r="AB98" s="21">
        <f>EXP(-LN(2)/2)*AB97+(1-EXP(-LN(2)/2))/(LN(2)/2)*V98*Y98*VLOOKUP('Données projet'!$B$9,Paramètres!$A$1:$I$89,3,0)*0.475*44/12</f>
        <v>3.2248462598678355E-7</v>
      </c>
      <c r="AC98" s="22">
        <f t="shared" si="57"/>
        <v>26.681065160282234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435.00000000000023</v>
      </c>
      <c r="AJ98" s="13">
        <f>AI98*VLOOKUP('Données projet'!$B$10,Paramètres!$A$1:$I$89,3,0)*VLOOKUP('Données projet'!$B$10,Paramètres!$A$1:$I$89,5,0)</f>
        <v>260.13000000000017</v>
      </c>
      <c r="AK98" s="13">
        <f t="shared" si="89"/>
        <v>62.75008789651104</v>
      </c>
      <c r="AL98" s="20">
        <f t="shared" si="58"/>
        <v>562.349486419757</v>
      </c>
      <c r="AM98" s="59">
        <f t="shared" si="59"/>
        <v>855.68281975309037</v>
      </c>
      <c r="AN98" s="59">
        <f ca="1">AVERAGE(OFFSET($AM$3,0,0,'Données projet'!$E$10+1,1))-AVERAGE(OFFSET($H$3,0,0,'Données projet'!$E$10+1,1))</f>
        <v>247.08914525784144</v>
      </c>
      <c r="AO98" s="59">
        <f t="shared" si="90"/>
        <v>286.9617518796191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17.916632151602723</v>
      </c>
      <c r="AV98" s="21">
        <f>EXP(-LN(2)/25)*AV97+(1-EXP(-LN(2)/25))/(LN(2)/25)*Calculateur!AQ98*Calculateur!AS98*VLOOKUP('Données projet'!$B$10,Paramètres!$A$1:$I$89,3,0)*0.475*44/12</f>
        <v>12.126362256271792</v>
      </c>
      <c r="AW98" s="21">
        <f>EXP(-LN(2)/2)*AW97+(1-EXP(-LN(2)/2))/(LN(2)/2)*AQ98*AT98*VLOOKUP('Données projet'!$B$10,Paramètres!$A$1:$I$89,3,0)*0.475*44/12</f>
        <v>3.0286412510612428E-5</v>
      </c>
      <c r="AX98" s="21">
        <f t="shared" si="60"/>
        <v>30.043024694287027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318.99999999999994</v>
      </c>
      <c r="BE98" s="13">
        <f>BD98*VLOOKUP('Données projet'!$B$11,Paramètres!$A$1:$I$89,3,0)*VLOOKUP('Données projet'!$B$11,Paramètres!$A$1:$I$89,5,0)</f>
        <v>253.79639999999995</v>
      </c>
      <c r="BF98" s="13">
        <f t="shared" si="91"/>
        <v>61.398168322280704</v>
      </c>
      <c r="BG98" s="20">
        <f t="shared" si="61"/>
        <v>548.9638731613054</v>
      </c>
      <c r="BH98" s="59">
        <f t="shared" si="62"/>
        <v>842.29720649463866</v>
      </c>
      <c r="BI98" s="59">
        <f ca="1">AVERAGE(OFFSET($BH$3,0,0,'Données projet'!$E$11+1,1))-AVERAGE(OFFSET($H$3,0,0,'Données projet'!$E$11+1,1))</f>
        <v>280.45463274302153</v>
      </c>
      <c r="BJ98" s="59">
        <f t="shared" si="92"/>
        <v>276.06968650495287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30.391395418369459</v>
      </c>
      <c r="BQ98" s="21">
        <f>EXP(-LN(2)/25)*BQ97+(1-EXP(-LN(2)/25))/(LN(2)/25)*Calculateur!BL98*Calculateur!BN98*VLOOKUP('Données projet'!$B$11,Paramètres!$A$1:$I$89,3,0)*0.475*44/12</f>
        <v>1.6868066547222034</v>
      </c>
      <c r="BR98" s="21">
        <f>EXP(-LN(2)/2)*BR97+(1-EXP(-LN(2)/2))/(LN(2)/2)*BL98*BO98*VLOOKUP('Données projet'!$B$11,Paramètres!$A$1:$I$89,3,0)*0.475*44/12</f>
        <v>3.3879991398078147E-3</v>
      </c>
      <c r="BS98" s="22">
        <f t="shared" si="63"/>
        <v>32.081590072231471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44.928000000000097</v>
      </c>
      <c r="D99" s="11">
        <f t="shared" si="86"/>
        <v>13.295851692351626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449.44727622166243</v>
      </c>
      <c r="H99" s="67">
        <f t="shared" si="56"/>
        <v>394.73987503084589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197.99999999999994</v>
      </c>
      <c r="O99" s="13">
        <f>N99*VLOOKUP('Données projet'!$B$9,Paramètres!$A$1:$I$89,3,0)*VLOOKUP('Données projet'!$B$9,Paramètres!$A$1:$I$89,5,0)</f>
        <v>123.55199999999995</v>
      </c>
      <c r="P99" s="13">
        <f t="shared" si="87"/>
        <v>32.502033262579566</v>
      </c>
      <c r="Q99" s="20">
        <f t="shared" ref="Q99:Q130" si="107">(O99+P99)*0.475*44/12</f>
        <v>271.79410793232597</v>
      </c>
      <c r="R99" s="59">
        <f t="shared" si="55"/>
        <v>565.12744126565929</v>
      </c>
      <c r="S99" s="59">
        <f ca="1">AVERAGE(OFFSET($R$3,0,0,'Données projet'!$E$9+1,1))-AVERAGE(OFFSET($H$3,0,0,'Données projet'!$E$9+1,1))</f>
        <v>168.81286953191102</v>
      </c>
      <c r="T99" s="59">
        <f t="shared" si="88"/>
        <v>255.78677933103666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13.706287199674335</v>
      </c>
      <c r="AA99" s="21">
        <f>EXP(-LN(2)/25)*AA98+(1-EXP(-LN(2)/25))/(LN(2)/25)*Calculateur!V99*Calculateur!X99*VLOOKUP('Données projet'!$B$9,Paramètres!$A$1:$I$89,3,0)*0.475*44/12</f>
        <v>12.353330444207058</v>
      </c>
      <c r="AB99" s="21">
        <f>EXP(-LN(2)/2)*AB98+(1-EXP(-LN(2)/2))/(LN(2)/2)*V99*Y99*VLOOKUP('Données projet'!$B$9,Paramètres!$A$1:$I$89,3,0)*0.475*44/12</f>
        <v>2.2803106586366217E-7</v>
      </c>
      <c r="AC99" s="22">
        <f t="shared" si="57"/>
        <v>26.059617871912462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435.00000000000023</v>
      </c>
      <c r="AJ99" s="13">
        <f>AI99*VLOOKUP('Données projet'!$B$10,Paramètres!$A$1:$I$89,3,0)*VLOOKUP('Données projet'!$B$10,Paramètres!$A$1:$I$89,5,0)</f>
        <v>260.13000000000017</v>
      </c>
      <c r="AK99" s="13">
        <f t="shared" si="89"/>
        <v>62.75008789651104</v>
      </c>
      <c r="AL99" s="20">
        <f t="shared" si="58"/>
        <v>562.349486419757</v>
      </c>
      <c r="AM99" s="59">
        <f t="shared" si="59"/>
        <v>855.68281975309037</v>
      </c>
      <c r="AN99" s="59">
        <f ca="1">AVERAGE(OFFSET($AM$3,0,0,'Données projet'!$E$10+1,1))-AVERAGE(OFFSET($H$3,0,0,'Données projet'!$E$10+1,1))</f>
        <v>247.08914525784144</v>
      </c>
      <c r="AO99" s="59">
        <f t="shared" si="90"/>
        <v>286.9617518796191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17.565297923176349</v>
      </c>
      <c r="AV99" s="21">
        <f>EXP(-LN(2)/25)*AV98+(1-EXP(-LN(2)/25))/(LN(2)/25)*Calculateur!AQ99*Calculateur!AS99*VLOOKUP('Données projet'!$B$10,Paramètres!$A$1:$I$89,3,0)*0.475*44/12</f>
        <v>11.794766242676364</v>
      </c>
      <c r="AW99" s="21">
        <f>EXP(-LN(2)/2)*AW98+(1-EXP(-LN(2)/2))/(LN(2)/2)*AQ99*AT99*VLOOKUP('Données projet'!$B$10,Paramètres!$A$1:$I$89,3,0)*0.475*44/12</f>
        <v>2.1415727664067139E-5</v>
      </c>
      <c r="AX99" s="21">
        <f t="shared" si="60"/>
        <v>29.360085581580375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318.99999999999994</v>
      </c>
      <c r="BE99" s="13">
        <f>BD99*VLOOKUP('Données projet'!$B$11,Paramètres!$A$1:$I$89,3,0)*VLOOKUP('Données projet'!$B$11,Paramètres!$A$1:$I$89,5,0)</f>
        <v>253.79639999999995</v>
      </c>
      <c r="BF99" s="13">
        <f t="shared" si="91"/>
        <v>61.398168322280704</v>
      </c>
      <c r="BG99" s="20">
        <f t="shared" si="61"/>
        <v>548.9638731613054</v>
      </c>
      <c r="BH99" s="59">
        <f t="shared" si="62"/>
        <v>842.29720649463866</v>
      </c>
      <c r="BI99" s="59">
        <f ca="1">AVERAGE(OFFSET($BH$3,0,0,'Données projet'!$E$11+1,1))-AVERAGE(OFFSET($H$3,0,0,'Données projet'!$E$11+1,1))</f>
        <v>280.45463274302153</v>
      </c>
      <c r="BJ99" s="59">
        <f t="shared" si="92"/>
        <v>276.06968650495287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29.79543869113607</v>
      </c>
      <c r="BQ99" s="21">
        <f>EXP(-LN(2)/25)*BQ98+(1-EXP(-LN(2)/25))/(LN(2)/25)*Calculateur!BL99*Calculateur!BN99*VLOOKUP('Données projet'!$B$11,Paramètres!$A$1:$I$89,3,0)*0.475*44/12</f>
        <v>1.6406808380435181</v>
      </c>
      <c r="BR99" s="21">
        <f>EXP(-LN(2)/2)*BR98+(1-EXP(-LN(2)/2))/(LN(2)/2)*BL99*BO99*VLOOKUP('Données projet'!$B$11,Paramètres!$A$1:$I$89,3,0)*0.475*44/12</f>
        <v>2.395677166412296E-3</v>
      </c>
      <c r="BS99" s="22">
        <f t="shared" si="63"/>
        <v>31.438515206346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45.3960000000001</v>
      </c>
      <c r="D100" s="11">
        <f t="shared" si="86"/>
        <v>13.418155022123713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454.00400367955223</v>
      </c>
      <c r="H100" s="67">
        <f t="shared" si="56"/>
        <v>395.76798666353227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197.99999999999994</v>
      </c>
      <c r="O100" s="13">
        <f>N100*VLOOKUP('Données projet'!$B$9,Paramètres!$A$1:$I$89,3,0)*VLOOKUP('Données projet'!$B$9,Paramètres!$A$1:$I$89,5,0)</f>
        <v>123.55199999999995</v>
      </c>
      <c r="P100" s="13">
        <f t="shared" si="87"/>
        <v>32.502033262579566</v>
      </c>
      <c r="Q100" s="20">
        <f t="shared" si="107"/>
        <v>271.79410793232597</v>
      </c>
      <c r="R100" s="59">
        <f t="shared" si="55"/>
        <v>565.12744126565929</v>
      </c>
      <c r="S100" s="59">
        <f ca="1">AVERAGE(OFFSET($R$3,0,0,'Données projet'!$E$9+1,1))-AVERAGE(OFFSET($H$3,0,0,'Données projet'!$E$9+1,1))</f>
        <v>168.81286953191102</v>
      </c>
      <c r="T100" s="59">
        <f t="shared" si="88"/>
        <v>255.78677933103666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13.437515267698432</v>
      </c>
      <c r="AA100" s="21">
        <f>EXP(-LN(2)/25)*AA99+(1-EXP(-LN(2)/25))/(LN(2)/25)*Calculateur!V100*Calculateur!X100*VLOOKUP('Données projet'!$B$9,Paramètres!$A$1:$I$89,3,0)*0.475*44/12</f>
        <v>12.015527973576802</v>
      </c>
      <c r="AB100" s="21">
        <f>EXP(-LN(2)/2)*AB99+(1-EXP(-LN(2)/2))/(LN(2)/2)*V100*Y100*VLOOKUP('Données projet'!$B$9,Paramètres!$A$1:$I$89,3,0)*0.475*44/12</f>
        <v>1.6124231299339177E-7</v>
      </c>
      <c r="AC100" s="22">
        <f t="shared" si="57"/>
        <v>25.453043402517544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435.00000000000023</v>
      </c>
      <c r="AJ100" s="13">
        <f>AI100*VLOOKUP('Données projet'!$B$10,Paramètres!$A$1:$I$89,3,0)*VLOOKUP('Données projet'!$B$10,Paramètres!$A$1:$I$89,5,0)</f>
        <v>260.13000000000017</v>
      </c>
      <c r="AK100" s="13">
        <f t="shared" si="89"/>
        <v>62.75008789651104</v>
      </c>
      <c r="AL100" s="20">
        <f t="shared" si="58"/>
        <v>562.349486419757</v>
      </c>
      <c r="AM100" s="59">
        <f t="shared" si="59"/>
        <v>855.68281975309037</v>
      </c>
      <c r="AN100" s="59">
        <f ca="1">AVERAGE(OFFSET($AM$3,0,0,'Données projet'!$E$10+1,1))-AVERAGE(OFFSET($H$3,0,0,'Données projet'!$E$10+1,1))</f>
        <v>247.08914525784144</v>
      </c>
      <c r="AO100" s="59">
        <f t="shared" si="90"/>
        <v>286.9617518796191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17.220853144676695</v>
      </c>
      <c r="AV100" s="21">
        <f>EXP(-LN(2)/25)*AV99+(1-EXP(-LN(2)/25))/(LN(2)/25)*Calculateur!AQ100*Calculateur!AS100*VLOOKUP('Données projet'!$B$10,Paramètres!$A$1:$I$89,3,0)*0.475*44/12</f>
        <v>11.472237739510579</v>
      </c>
      <c r="AW100" s="21">
        <f>EXP(-LN(2)/2)*AW99+(1-EXP(-LN(2)/2))/(LN(2)/2)*AQ100*AT100*VLOOKUP('Données projet'!$B$10,Paramètres!$A$1:$I$89,3,0)*0.475*44/12</f>
        <v>1.5143206255306216E-5</v>
      </c>
      <c r="AX100" s="21">
        <f t="shared" si="60"/>
        <v>28.693106027393529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318.99999999999994</v>
      </c>
      <c r="BE100" s="13">
        <f>BD100*VLOOKUP('Données projet'!$B$11,Paramètres!$A$1:$I$89,3,0)*VLOOKUP('Données projet'!$B$11,Paramètres!$A$1:$I$89,5,0)</f>
        <v>253.79639999999995</v>
      </c>
      <c r="BF100" s="13">
        <f t="shared" si="91"/>
        <v>61.398168322280704</v>
      </c>
      <c r="BG100" s="20">
        <f t="shared" si="61"/>
        <v>548.9638731613054</v>
      </c>
      <c r="BH100" s="59">
        <f t="shared" si="62"/>
        <v>842.29720649463866</v>
      </c>
      <c r="BI100" s="59">
        <f ca="1">AVERAGE(OFFSET($BH$3,0,0,'Données projet'!$E$11+1,1))-AVERAGE(OFFSET($H$3,0,0,'Données projet'!$E$11+1,1))</f>
        <v>280.45463274302153</v>
      </c>
      <c r="BJ100" s="59">
        <f t="shared" si="92"/>
        <v>276.06968650495287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29.211168311826018</v>
      </c>
      <c r="BQ100" s="21">
        <f>EXP(-LN(2)/25)*BQ99+(1-EXP(-LN(2)/25))/(LN(2)/25)*Calculateur!BL100*Calculateur!BN100*VLOOKUP('Données projet'!$B$11,Paramètres!$A$1:$I$89,3,0)*0.475*44/12</f>
        <v>1.5958163342475626</v>
      </c>
      <c r="BR100" s="21">
        <f>EXP(-LN(2)/2)*BR99+(1-EXP(-LN(2)/2))/(LN(2)/2)*BL100*BO100*VLOOKUP('Données projet'!$B$11,Paramètres!$A$1:$I$89,3,0)*0.475*44/12</f>
        <v>1.6939995699039078E-3</v>
      </c>
      <c r="BS100" s="22">
        <f t="shared" si="63"/>
        <v>30.808678645643486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45.864000000000104</v>
      </c>
      <c r="D101" s="11">
        <f t="shared" si="86"/>
        <v>13.540311673175431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458.55959888065331</v>
      </c>
      <c r="H101" s="67">
        <f t="shared" si="56"/>
        <v>396.79584283078071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197.99999999999994</v>
      </c>
      <c r="O101" s="13">
        <f>N101*VLOOKUP('Données projet'!$B$9,Paramètres!$A$1:$I$89,3,0)*VLOOKUP('Données projet'!$B$9,Paramètres!$A$1:$I$89,5,0)</f>
        <v>123.55199999999995</v>
      </c>
      <c r="P101" s="13">
        <f t="shared" si="87"/>
        <v>32.502033262579566</v>
      </c>
      <c r="Q101" s="20">
        <f t="shared" si="107"/>
        <v>271.79410793232597</v>
      </c>
      <c r="R101" s="59">
        <f t="shared" si="55"/>
        <v>565.12744126565929</v>
      </c>
      <c r="S101" s="59">
        <f ca="1">AVERAGE(OFFSET($R$3,0,0,'Données projet'!$E$9+1,1))-AVERAGE(OFFSET($H$3,0,0,'Données projet'!$E$9+1,1))</f>
        <v>168.81286953191102</v>
      </c>
      <c r="T101" s="59">
        <f t="shared" si="88"/>
        <v>255.78677933103666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13.174013789373884</v>
      </c>
      <c r="AA101" s="21">
        <f>EXP(-LN(2)/25)*AA100+(1-EXP(-LN(2)/25))/(LN(2)/25)*Calculateur!V101*Calculateur!X101*VLOOKUP('Données projet'!$B$9,Paramètres!$A$1:$I$89,3,0)*0.475*44/12</f>
        <v>11.68696272927019</v>
      </c>
      <c r="AB101" s="21">
        <f>EXP(-LN(2)/2)*AB100+(1-EXP(-LN(2)/2))/(LN(2)/2)*V101*Y101*VLOOKUP('Données projet'!$B$9,Paramètres!$A$1:$I$89,3,0)*0.475*44/12</f>
        <v>1.1401553293183109E-7</v>
      </c>
      <c r="AC101" s="22">
        <f t="shared" si="57"/>
        <v>24.860976632659604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435.00000000000023</v>
      </c>
      <c r="AJ101" s="13">
        <f>AI101*VLOOKUP('Données projet'!$B$10,Paramètres!$A$1:$I$89,3,0)*VLOOKUP('Données projet'!$B$10,Paramètres!$A$1:$I$89,5,0)</f>
        <v>260.13000000000017</v>
      </c>
      <c r="AK101" s="13">
        <f t="shared" si="89"/>
        <v>62.75008789651104</v>
      </c>
      <c r="AL101" s="20">
        <f t="shared" si="58"/>
        <v>562.349486419757</v>
      </c>
      <c r="AM101" s="59">
        <f t="shared" si="59"/>
        <v>855.68281975309037</v>
      </c>
      <c r="AN101" s="59">
        <f ca="1">AVERAGE(OFFSET($AM$3,0,0,'Données projet'!$E$10+1,1))-AVERAGE(OFFSET($H$3,0,0,'Données projet'!$E$10+1,1))</f>
        <v>247.08914525784144</v>
      </c>
      <c r="AO101" s="59">
        <f t="shared" si="90"/>
        <v>286.9617518796191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16.88316271819285</v>
      </c>
      <c r="AV101" s="21">
        <f>EXP(-LN(2)/25)*AV100+(1-EXP(-LN(2)/25))/(LN(2)/25)*Calculateur!AQ101*Calculateur!AS101*VLOOKUP('Données projet'!$B$10,Paramètres!$A$1:$I$89,3,0)*0.475*44/12</f>
        <v>11.1585287952249</v>
      </c>
      <c r="AW101" s="21">
        <f>EXP(-LN(2)/2)*AW100+(1-EXP(-LN(2)/2))/(LN(2)/2)*AQ101*AT101*VLOOKUP('Données projet'!$B$10,Paramètres!$A$1:$I$89,3,0)*0.475*44/12</f>
        <v>1.0707863832033571E-5</v>
      </c>
      <c r="AX101" s="21">
        <f t="shared" si="60"/>
        <v>28.041702221281582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318.99999999999994</v>
      </c>
      <c r="BE101" s="13">
        <f>BD101*VLOOKUP('Données projet'!$B$11,Paramètres!$A$1:$I$89,3,0)*VLOOKUP('Données projet'!$B$11,Paramètres!$A$1:$I$89,5,0)</f>
        <v>253.79639999999995</v>
      </c>
      <c r="BF101" s="13">
        <f t="shared" si="91"/>
        <v>61.398168322280704</v>
      </c>
      <c r="BG101" s="20">
        <f t="shared" si="61"/>
        <v>548.9638731613054</v>
      </c>
      <c r="BH101" s="59">
        <f t="shared" si="62"/>
        <v>842.29720649463866</v>
      </c>
      <c r="BI101" s="59">
        <f ca="1">AVERAGE(OFFSET($BH$3,0,0,'Données projet'!$E$11+1,1))-AVERAGE(OFFSET($H$3,0,0,'Données projet'!$E$11+1,1))</f>
        <v>280.45463274302153</v>
      </c>
      <c r="BJ101" s="59">
        <f t="shared" si="92"/>
        <v>276.06968650495287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28.638355118284494</v>
      </c>
      <c r="BQ101" s="21">
        <f>EXP(-LN(2)/25)*BQ100+(1-EXP(-LN(2)/25))/(LN(2)/25)*Calculateur!BL101*Calculateur!BN101*VLOOKUP('Données projet'!$B$11,Paramètres!$A$1:$I$89,3,0)*0.475*44/12</f>
        <v>1.5521786526672292</v>
      </c>
      <c r="BR101" s="21">
        <f>EXP(-LN(2)/2)*BR100+(1-EXP(-LN(2)/2))/(LN(2)/2)*BL101*BO101*VLOOKUP('Données projet'!$B$11,Paramètres!$A$1:$I$89,3,0)*0.475*44/12</f>
        <v>1.1978385832061482E-3</v>
      </c>
      <c r="BS101" s="22">
        <f t="shared" si="63"/>
        <v>30.19173160953493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46.332000000000107</v>
      </c>
      <c r="D102" s="11">
        <f t="shared" si="86"/>
        <v>13.662323315513085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463.11407471624216</v>
      </c>
      <c r="H102" s="67">
        <f t="shared" si="56"/>
        <v>397.82344644118547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197.99999999999994</v>
      </c>
      <c r="O102" s="13">
        <f>N102*VLOOKUP('Données projet'!$B$9,Paramètres!$A$1:$I$89,3,0)*VLOOKUP('Données projet'!$B$9,Paramètres!$A$1:$I$89,5,0)</f>
        <v>123.55199999999995</v>
      </c>
      <c r="P102" s="13">
        <f t="shared" si="87"/>
        <v>32.502033262579566</v>
      </c>
      <c r="Q102" s="20">
        <f t="shared" si="107"/>
        <v>271.79410793232597</v>
      </c>
      <c r="R102" s="59">
        <f t="shared" si="55"/>
        <v>565.12744126565929</v>
      </c>
      <c r="S102" s="59">
        <f ca="1">AVERAGE(OFFSET($R$3,0,0,'Données projet'!$E$9+1,1))-AVERAGE(OFFSET($H$3,0,0,'Données projet'!$E$9+1,1))</f>
        <v>168.81286953191102</v>
      </c>
      <c r="T102" s="59">
        <f t="shared" si="88"/>
        <v>255.78677933103666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12.915679414319248</v>
      </c>
      <c r="AA102" s="21">
        <f>EXP(-LN(2)/25)*AA101+(1-EXP(-LN(2)/25))/(LN(2)/25)*Calculateur!V102*Calculateur!X102*VLOOKUP('Données projet'!$B$9,Paramètres!$A$1:$I$89,3,0)*0.475*44/12</f>
        <v>11.367382118847638</v>
      </c>
      <c r="AB102" s="21">
        <f>EXP(-LN(2)/2)*AB101+(1-EXP(-LN(2)/2))/(LN(2)/2)*V102*Y102*VLOOKUP('Données projet'!$B$9,Paramètres!$A$1:$I$89,3,0)*0.475*44/12</f>
        <v>8.0621156496695886E-8</v>
      </c>
      <c r="AC102" s="22">
        <f t="shared" si="57"/>
        <v>24.283061613788043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435.00000000000023</v>
      </c>
      <c r="AJ102" s="13">
        <f>AI102*VLOOKUP('Données projet'!$B$10,Paramètres!$A$1:$I$89,3,0)*VLOOKUP('Données projet'!$B$10,Paramètres!$A$1:$I$89,5,0)</f>
        <v>260.13000000000017</v>
      </c>
      <c r="AK102" s="13">
        <f t="shared" si="89"/>
        <v>62.75008789651104</v>
      </c>
      <c r="AL102" s="20">
        <f t="shared" si="58"/>
        <v>562.349486419757</v>
      </c>
      <c r="AM102" s="59">
        <f t="shared" si="59"/>
        <v>855.68281975309037</v>
      </c>
      <c r="AN102" s="59">
        <f ca="1">AVERAGE(OFFSET($AM$3,0,0,'Données projet'!$E$10+1,1))-AVERAGE(OFFSET($H$3,0,0,'Données projet'!$E$10+1,1))</f>
        <v>247.08914525784144</v>
      </c>
      <c r="AO102" s="59">
        <f t="shared" si="90"/>
        <v>286.9617518796191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16.55209419500153</v>
      </c>
      <c r="AV102" s="21">
        <f>EXP(-LN(2)/25)*AV101+(1-EXP(-LN(2)/25))/(LN(2)/25)*Calculateur!AQ102*Calculateur!AS102*VLOOKUP('Données projet'!$B$10,Paramètres!$A$1:$I$89,3,0)*0.475*44/12</f>
        <v>10.853398238517949</v>
      </c>
      <c r="AW102" s="21">
        <f>EXP(-LN(2)/2)*AW101+(1-EXP(-LN(2)/2))/(LN(2)/2)*AQ102*AT102*VLOOKUP('Données projet'!$B$10,Paramètres!$A$1:$I$89,3,0)*0.475*44/12</f>
        <v>7.5716031276531086E-6</v>
      </c>
      <c r="AX102" s="21">
        <f t="shared" si="60"/>
        <v>27.405500005122605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318.99999999999994</v>
      </c>
      <c r="BE102" s="13">
        <f>BD102*VLOOKUP('Données projet'!$B$11,Paramètres!$A$1:$I$89,3,0)*VLOOKUP('Données projet'!$B$11,Paramètres!$A$1:$I$89,5,0)</f>
        <v>253.79639999999995</v>
      </c>
      <c r="BF102" s="13">
        <f t="shared" si="91"/>
        <v>61.398168322280704</v>
      </c>
      <c r="BG102" s="20">
        <f t="shared" si="61"/>
        <v>548.9638731613054</v>
      </c>
      <c r="BH102" s="59">
        <f t="shared" si="62"/>
        <v>842.29720649463866</v>
      </c>
      <c r="BI102" s="59">
        <f ca="1">AVERAGE(OFFSET($BH$3,0,0,'Données projet'!$E$11+1,1))-AVERAGE(OFFSET($H$3,0,0,'Données projet'!$E$11+1,1))</f>
        <v>280.45463274302153</v>
      </c>
      <c r="BJ102" s="59">
        <f t="shared" si="92"/>
        <v>276.06968650495287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28.076774442086769</v>
      </c>
      <c r="BQ102" s="21">
        <f>EXP(-LN(2)/25)*BQ101+(1-EXP(-LN(2)/25))/(LN(2)/25)*Calculateur!BL102*Calculateur!BN102*VLOOKUP('Données projet'!$B$11,Paramètres!$A$1:$I$89,3,0)*0.475*44/12</f>
        <v>1.509734245784516</v>
      </c>
      <c r="BR102" s="21">
        <f>EXP(-LN(2)/2)*BR101+(1-EXP(-LN(2)/2))/(LN(2)/2)*BL102*BO102*VLOOKUP('Données projet'!$B$11,Paramètres!$A$1:$I$89,3,0)*0.475*44/12</f>
        <v>8.4699978495195399E-4</v>
      </c>
      <c r="BS102" s="22">
        <f t="shared" si="63"/>
        <v>29.587355687656235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46.800000000000111</v>
      </c>
      <c r="D103" s="11">
        <f t="shared" si="86"/>
        <v>13.784191583461164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467.66744380215727</v>
      </c>
      <c r="H103" s="67">
        <f t="shared" si="56"/>
        <v>398.85080034119505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197.99999999999994</v>
      </c>
      <c r="O103" s="13">
        <f>N103*VLOOKUP('Données projet'!$B$9,Paramètres!$A$1:$I$89,3,0)*VLOOKUP('Données projet'!$B$9,Paramètres!$A$1:$I$89,5,0)</f>
        <v>123.55199999999995</v>
      </c>
      <c r="P103" s="13">
        <f t="shared" si="87"/>
        <v>32.502033262579566</v>
      </c>
      <c r="Q103" s="20">
        <f t="shared" si="107"/>
        <v>271.79410793232597</v>
      </c>
      <c r="R103" s="59">
        <f t="shared" si="55"/>
        <v>565.12744126565929</v>
      </c>
      <c r="S103" s="59">
        <f ca="1">AVERAGE(OFFSET($R$3,0,0,'Données projet'!$E$9+1,1))-AVERAGE(OFFSET($H$3,0,0,'Données projet'!$E$9+1,1))</f>
        <v>168.81286953191102</v>
      </c>
      <c r="T103" s="59">
        <f t="shared" si="88"/>
        <v>255.78677933103666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12.662410818791024</v>
      </c>
      <c r="AA103" s="21">
        <f>EXP(-LN(2)/25)*AA102+(1-EXP(-LN(2)/25))/(LN(2)/25)*Calculateur!V103*Calculateur!X103*VLOOKUP('Données projet'!$B$9,Paramètres!$A$1:$I$89,3,0)*0.475*44/12</f>
        <v>11.056540457023104</v>
      </c>
      <c r="AB103" s="21">
        <f>EXP(-LN(2)/2)*AB102+(1-EXP(-LN(2)/2))/(LN(2)/2)*V103*Y103*VLOOKUP('Données projet'!$B$9,Paramètres!$A$1:$I$89,3,0)*0.475*44/12</f>
        <v>5.7007766465915543E-8</v>
      </c>
      <c r="AC103" s="22">
        <f t="shared" si="57"/>
        <v>23.718951332821895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435.00000000000023</v>
      </c>
      <c r="AJ103" s="13">
        <f>AI103*VLOOKUP('Données projet'!$B$10,Paramètres!$A$1:$I$89,3,0)*VLOOKUP('Données projet'!$B$10,Paramètres!$A$1:$I$89,5,0)</f>
        <v>260.13000000000017</v>
      </c>
      <c r="AK103" s="13">
        <f t="shared" si="89"/>
        <v>62.75008789651104</v>
      </c>
      <c r="AL103" s="20">
        <f t="shared" si="58"/>
        <v>562.349486419757</v>
      </c>
      <c r="AM103" s="59">
        <f t="shared" si="59"/>
        <v>855.68281975309037</v>
      </c>
      <c r="AN103" s="59">
        <f ca="1">AVERAGE(OFFSET($AM$3,0,0,'Données projet'!$E$10+1,1))-AVERAGE(OFFSET($H$3,0,0,'Données projet'!$E$10+1,1))</f>
        <v>247.08914525784144</v>
      </c>
      <c r="AO103" s="59">
        <f t="shared" si="90"/>
        <v>286.9617518796191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16.227517723618135</v>
      </c>
      <c r="AV103" s="21">
        <f>EXP(-LN(2)/25)*AV102+(1-EXP(-LN(2)/25))/(LN(2)/25)*Calculateur!AQ103*Calculateur!AS103*VLOOKUP('Données projet'!$B$10,Paramètres!$A$1:$I$89,3,0)*0.475*44/12</f>
        <v>10.556611492930267</v>
      </c>
      <c r="AW103" s="21">
        <f>EXP(-LN(2)/2)*AW102+(1-EXP(-LN(2)/2))/(LN(2)/2)*AQ103*AT103*VLOOKUP('Données projet'!$B$10,Paramètres!$A$1:$I$89,3,0)*0.475*44/12</f>
        <v>5.3539319160167863E-6</v>
      </c>
      <c r="AX103" s="21">
        <f t="shared" si="60"/>
        <v>26.784134570480315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318.99999999999994</v>
      </c>
      <c r="BE103" s="13">
        <f>BD103*VLOOKUP('Données projet'!$B$11,Paramètres!$A$1:$I$89,3,0)*VLOOKUP('Données projet'!$B$11,Paramètres!$A$1:$I$89,5,0)</f>
        <v>253.79639999999995</v>
      </c>
      <c r="BF103" s="13">
        <f t="shared" si="91"/>
        <v>61.398168322280704</v>
      </c>
      <c r="BG103" s="20">
        <f t="shared" si="61"/>
        <v>548.9638731613054</v>
      </c>
      <c r="BH103" s="59">
        <f t="shared" si="62"/>
        <v>842.29720649463866</v>
      </c>
      <c r="BI103" s="59">
        <f ca="1">AVERAGE(OFFSET($BH$3,0,0,'Données projet'!$E$11+1,1))-AVERAGE(OFFSET($H$3,0,0,'Données projet'!$E$11+1,1))</f>
        <v>280.45463274302153</v>
      </c>
      <c r="BJ103" s="59">
        <f t="shared" si="92"/>
        <v>276.06968650495287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27.52620602041889</v>
      </c>
      <c r="BQ103" s="21">
        <f>EXP(-LN(2)/25)*BQ102+(1-EXP(-LN(2)/25))/(LN(2)/25)*Calculateur!BL103*Calculateur!BN103*VLOOKUP('Données projet'!$B$11,Paramètres!$A$1:$I$89,3,0)*0.475*44/12</f>
        <v>1.4684504834400649</v>
      </c>
      <c r="BR103" s="21">
        <f>EXP(-LN(2)/2)*BR102+(1-EXP(-LN(2)/2))/(LN(2)/2)*BL103*BO103*VLOOKUP('Données projet'!$B$11,Paramètres!$A$1:$I$89,3,0)*0.475*44/12</f>
        <v>5.9891929160307421E-4</v>
      </c>
      <c r="BS103" s="22">
        <f t="shared" si="63"/>
        <v>28.99525542315056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47.268000000000114</v>
      </c>
      <c r="D104" s="11">
        <f t="shared" si="86"/>
        <v>13.905918076773704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472.21971848737684</v>
      </c>
      <c r="H104" s="67">
        <f t="shared" si="56"/>
        <v>399.87790731704769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197.99999999999994</v>
      </c>
      <c r="O104" s="13">
        <f>N104*VLOOKUP('Données projet'!$B$9,Paramètres!$A$1:$I$89,3,0)*VLOOKUP('Données projet'!$B$9,Paramètres!$A$1:$I$89,5,0)</f>
        <v>123.55199999999995</v>
      </c>
      <c r="P104" s="13">
        <f t="shared" si="87"/>
        <v>32.502033262579566</v>
      </c>
      <c r="Q104" s="20">
        <f t="shared" si="107"/>
        <v>271.79410793232597</v>
      </c>
      <c r="R104" s="59">
        <f t="shared" si="55"/>
        <v>565.12744126565929</v>
      </c>
      <c r="S104" s="59">
        <f ca="1">AVERAGE(OFFSET($R$3,0,0,'Données projet'!$E$9+1,1))-AVERAGE(OFFSET($H$3,0,0,'Données projet'!$E$9+1,1))</f>
        <v>168.81286953191102</v>
      </c>
      <c r="T104" s="59">
        <f t="shared" si="88"/>
        <v>255.78677933103666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12.414108665942518</v>
      </c>
      <c r="AA104" s="21">
        <f>EXP(-LN(2)/25)*AA103+(1-EXP(-LN(2)/25))/(LN(2)/25)*Calculateur!V104*Calculateur!X104*VLOOKUP('Données projet'!$B$9,Paramètres!$A$1:$I$89,3,0)*0.475*44/12</f>
        <v>10.754198776787614</v>
      </c>
      <c r="AB104" s="21">
        <f>EXP(-LN(2)/2)*AB103+(1-EXP(-LN(2)/2))/(LN(2)/2)*V104*Y104*VLOOKUP('Données projet'!$B$9,Paramètres!$A$1:$I$89,3,0)*0.475*44/12</f>
        <v>4.0310578248347943E-8</v>
      </c>
      <c r="AC104" s="22">
        <f t="shared" si="57"/>
        <v>23.16830748304071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435.00000000000023</v>
      </c>
      <c r="AJ104" s="13">
        <f>AI104*VLOOKUP('Données projet'!$B$10,Paramètres!$A$1:$I$89,3,0)*VLOOKUP('Données projet'!$B$10,Paramètres!$A$1:$I$89,5,0)</f>
        <v>260.13000000000017</v>
      </c>
      <c r="AK104" s="13">
        <f t="shared" si="89"/>
        <v>62.75008789651104</v>
      </c>
      <c r="AL104" s="20">
        <f t="shared" si="58"/>
        <v>562.349486419757</v>
      </c>
      <c r="AM104" s="59">
        <f t="shared" si="59"/>
        <v>855.68281975309037</v>
      </c>
      <c r="AN104" s="59">
        <f ca="1">AVERAGE(OFFSET($AM$3,0,0,'Données projet'!$E$10+1,1))-AVERAGE(OFFSET($H$3,0,0,'Données projet'!$E$10+1,1))</f>
        <v>247.08914525784144</v>
      </c>
      <c r="AO104" s="59">
        <f t="shared" si="90"/>
        <v>286.9617518796191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15.909305998866467</v>
      </c>
      <c r="AV104" s="21">
        <f>EXP(-LN(2)/25)*AV103+(1-EXP(-LN(2)/25))/(LN(2)/25)*Calculateur!AQ104*Calculateur!AS104*VLOOKUP('Données projet'!$B$10,Paramètres!$A$1:$I$89,3,0)*0.475*44/12</f>
        <v>10.267940396508019</v>
      </c>
      <c r="AW104" s="21">
        <f>EXP(-LN(2)/2)*AW103+(1-EXP(-LN(2)/2))/(LN(2)/2)*AQ104*AT104*VLOOKUP('Données projet'!$B$10,Paramètres!$A$1:$I$89,3,0)*0.475*44/12</f>
        <v>3.7858015638265552E-6</v>
      </c>
      <c r="AX104" s="21">
        <f t="shared" si="60"/>
        <v>26.177250181176049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318.99999999999994</v>
      </c>
      <c r="BE104" s="13">
        <f>BD104*VLOOKUP('Données projet'!$B$11,Paramètres!$A$1:$I$89,3,0)*VLOOKUP('Données projet'!$B$11,Paramètres!$A$1:$I$89,5,0)</f>
        <v>253.79639999999995</v>
      </c>
      <c r="BF104" s="13">
        <f t="shared" si="91"/>
        <v>61.398168322280704</v>
      </c>
      <c r="BG104" s="20">
        <f t="shared" si="61"/>
        <v>548.9638731613054</v>
      </c>
      <c r="BH104" s="59">
        <f t="shared" si="62"/>
        <v>842.29720649463866</v>
      </c>
      <c r="BI104" s="59">
        <f ca="1">AVERAGE(OFFSET($BH$3,0,0,'Données projet'!$E$11+1,1))-AVERAGE(OFFSET($H$3,0,0,'Données projet'!$E$11+1,1))</f>
        <v>280.45463274302153</v>
      </c>
      <c r="BJ104" s="59">
        <f t="shared" si="92"/>
        <v>276.06968650495287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26.98643390968634</v>
      </c>
      <c r="BQ104" s="21">
        <f>EXP(-LN(2)/25)*BQ103+(1-EXP(-LN(2)/25))/(LN(2)/25)*Calculateur!BL104*Calculateur!BN104*VLOOKUP('Données projet'!$B$11,Paramètres!$A$1:$I$89,3,0)*0.475*44/12</f>
        <v>1.4282956277479415</v>
      </c>
      <c r="BR104" s="21">
        <f>EXP(-LN(2)/2)*BR103+(1-EXP(-LN(2)/2))/(LN(2)/2)*BL104*BO104*VLOOKUP('Données projet'!$B$11,Paramètres!$A$1:$I$89,3,0)*0.475*44/12</f>
        <v>4.2349989247597705E-4</v>
      </c>
      <c r="BS104" s="22">
        <f t="shared" si="63"/>
        <v>28.41515303732676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47.736000000000118</v>
      </c>
      <c r="D105" s="11">
        <f t="shared" si="86"/>
        <v>14.027504361700455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476.77091086225005</v>
      </c>
      <c r="H105" s="67">
        <f t="shared" si="56"/>
        <v>400.90477009662845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197.99999999999994</v>
      </c>
      <c r="O105" s="13">
        <f>N105*VLOOKUP('Données projet'!$B$9,Paramètres!$A$1:$I$89,3,0)*VLOOKUP('Données projet'!$B$9,Paramètres!$A$1:$I$89,5,0)</f>
        <v>123.55199999999995</v>
      </c>
      <c r="P105" s="13">
        <f t="shared" si="87"/>
        <v>32.502033262579566</v>
      </c>
      <c r="Q105" s="20">
        <f t="shared" si="107"/>
        <v>271.79410793232597</v>
      </c>
      <c r="R105" s="59">
        <f t="shared" si="55"/>
        <v>565.12744126565929</v>
      </c>
      <c r="S105" s="59">
        <f ca="1">AVERAGE(OFFSET($R$3,0,0,'Données projet'!$E$9+1,1))-AVERAGE(OFFSET($H$3,0,0,'Données projet'!$E$9+1,1))</f>
        <v>168.81286953191102</v>
      </c>
      <c r="T105" s="59">
        <f t="shared" si="88"/>
        <v>255.78677933103666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12.170675566862013</v>
      </c>
      <c r="AA105" s="21">
        <f>EXP(-LN(2)/25)*AA104+(1-EXP(-LN(2)/25))/(LN(2)/25)*Calculateur!V105*Calculateur!X105*VLOOKUP('Données projet'!$B$9,Paramètres!$A$1:$I$89,3,0)*0.475*44/12</f>
        <v>10.460124645697622</v>
      </c>
      <c r="AB105" s="21">
        <f>EXP(-LN(2)/2)*AB104+(1-EXP(-LN(2)/2))/(LN(2)/2)*V105*Y105*VLOOKUP('Données projet'!$B$9,Paramètres!$A$1:$I$89,3,0)*0.475*44/12</f>
        <v>2.8503883232957772E-8</v>
      </c>
      <c r="AC105" s="22">
        <f t="shared" si="57"/>
        <v>22.630800241063518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435.00000000000023</v>
      </c>
      <c r="AJ105" s="13">
        <f>AI105*VLOOKUP('Données projet'!$B$10,Paramètres!$A$1:$I$89,3,0)*VLOOKUP('Données projet'!$B$10,Paramètres!$A$1:$I$89,5,0)</f>
        <v>260.13000000000017</v>
      </c>
      <c r="AK105" s="13">
        <f t="shared" si="89"/>
        <v>62.75008789651104</v>
      </c>
      <c r="AL105" s="20">
        <f t="shared" si="58"/>
        <v>562.349486419757</v>
      </c>
      <c r="AM105" s="59">
        <f t="shared" si="59"/>
        <v>855.68281975309037</v>
      </c>
      <c r="AN105" s="59">
        <f ca="1">AVERAGE(OFFSET($AM$3,0,0,'Données projet'!$E$10+1,1))-AVERAGE(OFFSET($H$3,0,0,'Données projet'!$E$10+1,1))</f>
        <v>247.08914525784144</v>
      </c>
      <c r="AO105" s="59">
        <f t="shared" si="90"/>
        <v>286.9617518796191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15.597334211947192</v>
      </c>
      <c r="AV105" s="21">
        <f>EXP(-LN(2)/25)*AV104+(1-EXP(-LN(2)/25))/(LN(2)/25)*Calculateur!AQ105*Calculateur!AS105*VLOOKUP('Données projet'!$B$10,Paramètres!$A$1:$I$89,3,0)*0.475*44/12</f>
        <v>9.9871630263979885</v>
      </c>
      <c r="AW105" s="21">
        <f>EXP(-LN(2)/2)*AW104+(1-EXP(-LN(2)/2))/(LN(2)/2)*AQ105*AT105*VLOOKUP('Données projet'!$B$10,Paramètres!$A$1:$I$89,3,0)*0.475*44/12</f>
        <v>2.6769659580083936E-6</v>
      </c>
      <c r="AX105" s="21">
        <f t="shared" si="60"/>
        <v>25.584499915311138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318.99999999999994</v>
      </c>
      <c r="BE105" s="13">
        <f>BD105*VLOOKUP('Données projet'!$B$11,Paramètres!$A$1:$I$89,3,0)*VLOOKUP('Données projet'!$B$11,Paramètres!$A$1:$I$89,5,0)</f>
        <v>253.79639999999995</v>
      </c>
      <c r="BF105" s="13">
        <f t="shared" si="91"/>
        <v>61.398168322280704</v>
      </c>
      <c r="BG105" s="20">
        <f t="shared" si="61"/>
        <v>548.9638731613054</v>
      </c>
      <c r="BH105" s="59">
        <f t="shared" si="62"/>
        <v>842.29720649463866</v>
      </c>
      <c r="BI105" s="59">
        <f ca="1">AVERAGE(OFFSET($BH$3,0,0,'Données projet'!$E$11+1,1))-AVERAGE(OFFSET($H$3,0,0,'Données projet'!$E$11+1,1))</f>
        <v>280.45463274302153</v>
      </c>
      <c r="BJ105" s="59">
        <f t="shared" si="92"/>
        <v>276.06968650495287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26.457246400816775</v>
      </c>
      <c r="BQ105" s="21">
        <f>EXP(-LN(2)/25)*BQ104+(1-EXP(-LN(2)/25))/(LN(2)/25)*Calculateur!BL105*Calculateur!BN105*VLOOKUP('Données projet'!$B$11,Paramètres!$A$1:$I$89,3,0)*0.475*44/12</f>
        <v>1.3892388086963714</v>
      </c>
      <c r="BR105" s="21">
        <f>EXP(-LN(2)/2)*BR104+(1-EXP(-LN(2)/2))/(LN(2)/2)*BL105*BO105*VLOOKUP('Données projet'!$B$11,Paramètres!$A$1:$I$89,3,0)*0.475*44/12</f>
        <v>2.994596458015371E-4</v>
      </c>
      <c r="BS105" s="22">
        <f t="shared" si="63"/>
        <v>27.84678466915895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48.204000000000121</v>
      </c>
      <c r="D106" s="11">
        <f t="shared" si="86"/>
        <v>14.148951972010016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481.32103276639413</v>
      </c>
      <c r="H106" s="67">
        <f t="shared" si="56"/>
        <v>401.93139135125097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197.99999999999994</v>
      </c>
      <c r="O106" s="13">
        <f>N106*VLOOKUP('Données projet'!$B$9,Paramètres!$A$1:$I$89,3,0)*VLOOKUP('Données projet'!$B$9,Paramètres!$A$1:$I$89,5,0)</f>
        <v>123.55199999999995</v>
      </c>
      <c r="P106" s="13">
        <f t="shared" si="87"/>
        <v>32.502033262579566</v>
      </c>
      <c r="Q106" s="20">
        <f t="shared" si="107"/>
        <v>271.79410793232597</v>
      </c>
      <c r="R106" s="59">
        <f t="shared" si="55"/>
        <v>565.12744126565929</v>
      </c>
      <c r="S106" s="59">
        <f ca="1">AVERAGE(OFFSET($R$3,0,0,'Données projet'!$E$9+1,1))-AVERAGE(OFFSET($H$3,0,0,'Données projet'!$E$9+1,1))</f>
        <v>168.81286953191102</v>
      </c>
      <c r="T106" s="59">
        <f t="shared" si="88"/>
        <v>255.78677933103666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11.932016042374947</v>
      </c>
      <c r="AA106" s="21">
        <f>EXP(-LN(2)/25)*AA105+(1-EXP(-LN(2)/25))/(LN(2)/25)*Calculateur!V106*Calculateur!X106*VLOOKUP('Données projet'!$B$9,Paramètres!$A$1:$I$89,3,0)*0.475*44/12</f>
        <v>10.174091987186973</v>
      </c>
      <c r="AB106" s="21">
        <f>EXP(-LN(2)/2)*AB105+(1-EXP(-LN(2)/2))/(LN(2)/2)*V106*Y106*VLOOKUP('Données projet'!$B$9,Paramètres!$A$1:$I$89,3,0)*0.475*44/12</f>
        <v>2.0155289124173972E-8</v>
      </c>
      <c r="AC106" s="22">
        <f t="shared" si="57"/>
        <v>22.106108049717211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435.00000000000023</v>
      </c>
      <c r="AJ106" s="13">
        <f>AI106*VLOOKUP('Données projet'!$B$10,Paramètres!$A$1:$I$89,3,0)*VLOOKUP('Données projet'!$B$10,Paramètres!$A$1:$I$89,5,0)</f>
        <v>260.13000000000017</v>
      </c>
      <c r="AK106" s="13">
        <f t="shared" si="89"/>
        <v>62.75008789651104</v>
      </c>
      <c r="AL106" s="20">
        <f t="shared" si="58"/>
        <v>562.349486419757</v>
      </c>
      <c r="AM106" s="59">
        <f t="shared" si="59"/>
        <v>855.68281975309037</v>
      </c>
      <c r="AN106" s="59">
        <f ca="1">AVERAGE(OFFSET($AM$3,0,0,'Données projet'!$E$10+1,1))-AVERAGE(OFFSET($H$3,0,0,'Données projet'!$E$10+1,1))</f>
        <v>247.08914525784144</v>
      </c>
      <c r="AO106" s="59">
        <f t="shared" si="90"/>
        <v>286.9617518796191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15.291480001485404</v>
      </c>
      <c r="AV106" s="21">
        <f>EXP(-LN(2)/25)*AV105+(1-EXP(-LN(2)/25))/(LN(2)/25)*Calculateur!AQ106*Calculateur!AS106*VLOOKUP('Données projet'!$B$10,Paramètres!$A$1:$I$89,3,0)*0.475*44/12</f>
        <v>9.7140635282390573</v>
      </c>
      <c r="AW106" s="21">
        <f>EXP(-LN(2)/2)*AW105+(1-EXP(-LN(2)/2))/(LN(2)/2)*AQ106*AT106*VLOOKUP('Données projet'!$B$10,Paramètres!$A$1:$I$89,3,0)*0.475*44/12</f>
        <v>1.8929007819132778E-6</v>
      </c>
      <c r="AX106" s="21">
        <f t="shared" si="60"/>
        <v>25.005545422625246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318.99999999999994</v>
      </c>
      <c r="BE106" s="13">
        <f>BD106*VLOOKUP('Données projet'!$B$11,Paramètres!$A$1:$I$89,3,0)*VLOOKUP('Données projet'!$B$11,Paramètres!$A$1:$I$89,5,0)</f>
        <v>253.79639999999995</v>
      </c>
      <c r="BF106" s="13">
        <f t="shared" si="91"/>
        <v>61.398168322280704</v>
      </c>
      <c r="BG106" s="20">
        <f t="shared" si="61"/>
        <v>548.9638731613054</v>
      </c>
      <c r="BH106" s="59">
        <f t="shared" si="62"/>
        <v>842.29720649463866</v>
      </c>
      <c r="BI106" s="59">
        <f ca="1">AVERAGE(OFFSET($BH$3,0,0,'Données projet'!$E$11+1,1))-AVERAGE(OFFSET($H$3,0,0,'Données projet'!$E$11+1,1))</f>
        <v>280.45463274302153</v>
      </c>
      <c r="BJ106" s="59">
        <f t="shared" si="92"/>
        <v>276.06968650495287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25.938435936223634</v>
      </c>
      <c r="BQ106" s="21">
        <f>EXP(-LN(2)/25)*BQ105+(1-EXP(-LN(2)/25))/(LN(2)/25)*Calculateur!BL106*Calculateur!BN106*VLOOKUP('Données projet'!$B$11,Paramètres!$A$1:$I$89,3,0)*0.475*44/12</f>
        <v>1.3512500004156753</v>
      </c>
      <c r="BR106" s="21">
        <f>EXP(-LN(2)/2)*BR105+(1-EXP(-LN(2)/2))/(LN(2)/2)*BL106*BO106*VLOOKUP('Données projet'!$B$11,Paramètres!$A$1:$I$89,3,0)*0.475*44/12</f>
        <v>2.1174994623798853E-4</v>
      </c>
      <c r="BS106" s="22">
        <f t="shared" si="63"/>
        <v>27.289897686585547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48.672000000000125</v>
      </c>
      <c r="D107" s="11">
        <f t="shared" si="86"/>
        <v>14.270262409972092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485.87009579627687</v>
      </c>
      <c r="H107" s="67">
        <f t="shared" si="56"/>
        <v>402.95777369736822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197.99999999999994</v>
      </c>
      <c r="O107" s="13">
        <f>N107*VLOOKUP('Données projet'!$B$9,Paramètres!$A$1:$I$89,3,0)*VLOOKUP('Données projet'!$B$9,Paramètres!$A$1:$I$89,5,0)</f>
        <v>123.55199999999995</v>
      </c>
      <c r="P107" s="13">
        <f t="shared" si="87"/>
        <v>32.502033262579566</v>
      </c>
      <c r="Q107" s="20">
        <f t="shared" si="107"/>
        <v>271.79410793232597</v>
      </c>
      <c r="R107" s="59">
        <f t="shared" si="55"/>
        <v>565.12744126565929</v>
      </c>
      <c r="S107" s="59">
        <f ca="1">AVERAGE(OFFSET($R$3,0,0,'Données projet'!$E$9+1,1))-AVERAGE(OFFSET($H$3,0,0,'Données projet'!$E$9+1,1))</f>
        <v>168.81286953191102</v>
      </c>
      <c r="T107" s="59">
        <f t="shared" si="88"/>
        <v>255.78677933103666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11.698036485595136</v>
      </c>
      <c r="AA107" s="21">
        <f>EXP(-LN(2)/25)*AA106+(1-EXP(-LN(2)/25))/(LN(2)/25)*Calculateur!V107*Calculateur!X107*VLOOKUP('Données projet'!$B$9,Paramètres!$A$1:$I$89,3,0)*0.475*44/12</f>
        <v>9.8958809067651003</v>
      </c>
      <c r="AB107" s="21">
        <f>EXP(-LN(2)/2)*AB106+(1-EXP(-LN(2)/2))/(LN(2)/2)*V107*Y107*VLOOKUP('Données projet'!$B$9,Paramètres!$A$1:$I$89,3,0)*0.475*44/12</f>
        <v>1.4251941616478886E-8</v>
      </c>
      <c r="AC107" s="22">
        <f t="shared" si="57"/>
        <v>21.593917406612178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435.00000000000023</v>
      </c>
      <c r="AJ107" s="13">
        <f>AI107*VLOOKUP('Données projet'!$B$10,Paramètres!$A$1:$I$89,3,0)*VLOOKUP('Données projet'!$B$10,Paramètres!$A$1:$I$89,5,0)</f>
        <v>260.13000000000017</v>
      </c>
      <c r="AK107" s="13">
        <f t="shared" si="89"/>
        <v>62.75008789651104</v>
      </c>
      <c r="AL107" s="20">
        <f t="shared" si="58"/>
        <v>562.349486419757</v>
      </c>
      <c r="AM107" s="59">
        <f t="shared" si="59"/>
        <v>855.68281975309037</v>
      </c>
      <c r="AN107" s="59">
        <f ca="1">AVERAGE(OFFSET($AM$3,0,0,'Données projet'!$E$10+1,1))-AVERAGE(OFFSET($H$3,0,0,'Données projet'!$E$10+1,1))</f>
        <v>247.08914525784144</v>
      </c>
      <c r="AO107" s="59">
        <f t="shared" si="90"/>
        <v>286.9617518796191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14.991623405538123</v>
      </c>
      <c r="AV107" s="21">
        <f>EXP(-LN(2)/25)*AV106+(1-EXP(-LN(2)/25))/(LN(2)/25)*Calculateur!AQ107*Calculateur!AS107*VLOOKUP('Données projet'!$B$10,Paramètres!$A$1:$I$89,3,0)*0.475*44/12</f>
        <v>9.4484319502189607</v>
      </c>
      <c r="AW107" s="21">
        <f>EXP(-LN(2)/2)*AW106+(1-EXP(-LN(2)/2))/(LN(2)/2)*AQ107*AT107*VLOOKUP('Données projet'!$B$10,Paramètres!$A$1:$I$89,3,0)*0.475*44/12</f>
        <v>1.338482979004197E-6</v>
      </c>
      <c r="AX107" s="21">
        <f t="shared" si="60"/>
        <v>24.440056694240059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318.99999999999994</v>
      </c>
      <c r="BE107" s="13">
        <f>BD107*VLOOKUP('Données projet'!$B$11,Paramètres!$A$1:$I$89,3,0)*VLOOKUP('Données projet'!$B$11,Paramètres!$A$1:$I$89,5,0)</f>
        <v>253.79639999999995</v>
      </c>
      <c r="BF107" s="13">
        <f t="shared" si="91"/>
        <v>61.398168322280704</v>
      </c>
      <c r="BG107" s="20">
        <f t="shared" si="61"/>
        <v>548.9638731613054</v>
      </c>
      <c r="BH107" s="59">
        <f t="shared" si="62"/>
        <v>842.29720649463866</v>
      </c>
      <c r="BI107" s="59">
        <f ca="1">AVERAGE(OFFSET($BH$3,0,0,'Données projet'!$E$11+1,1))-AVERAGE(OFFSET($H$3,0,0,'Données projet'!$E$11+1,1))</f>
        <v>280.45463274302153</v>
      </c>
      <c r="BJ107" s="59">
        <f t="shared" si="92"/>
        <v>276.06968650495287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25.429799028398026</v>
      </c>
      <c r="BQ107" s="21">
        <f>EXP(-LN(2)/25)*BQ106+(1-EXP(-LN(2)/25))/(LN(2)/25)*Calculateur!BL107*Calculateur!BN107*VLOOKUP('Données projet'!$B$11,Paramètres!$A$1:$I$89,3,0)*0.475*44/12</f>
        <v>1.3142999980951595</v>
      </c>
      <c r="BR107" s="21">
        <f>EXP(-LN(2)/2)*BR106+(1-EXP(-LN(2)/2))/(LN(2)/2)*BL107*BO107*VLOOKUP('Données projet'!$B$11,Paramètres!$A$1:$I$89,3,0)*0.475*44/12</f>
        <v>1.4972982290076855E-4</v>
      </c>
      <c r="BS107" s="22">
        <f t="shared" si="63"/>
        <v>26.744248756316086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49.140000000000128</v>
      </c>
      <c r="D108" s="11">
        <f t="shared" si="86"/>
        <v>14.3914371473009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490.41811131249915</v>
      </c>
      <c r="H108" s="67">
        <f t="shared" si="56"/>
        <v>403.98391969821591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197.99999999999994</v>
      </c>
      <c r="O108" s="13">
        <f>N108*VLOOKUP('Données projet'!$B$9,Paramètres!$A$1:$I$89,3,0)*VLOOKUP('Données projet'!$B$9,Paramètres!$A$1:$I$89,5,0)</f>
        <v>123.55199999999995</v>
      </c>
      <c r="P108" s="13">
        <f t="shared" si="87"/>
        <v>32.502033262579566</v>
      </c>
      <c r="Q108" s="20">
        <f t="shared" si="107"/>
        <v>271.79410793232597</v>
      </c>
      <c r="R108" s="59">
        <f t="shared" si="55"/>
        <v>565.12744126565929</v>
      </c>
      <c r="S108" s="59">
        <f ca="1">AVERAGE(OFFSET($R$3,0,0,'Données projet'!$E$9+1,1))-AVERAGE(OFFSET($H$3,0,0,'Données projet'!$E$9+1,1))</f>
        <v>168.81286953191102</v>
      </c>
      <c r="T108" s="59">
        <f t="shared" si="88"/>
        <v>255.78677933103666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11.468645125210339</v>
      </c>
      <c r="AA108" s="21">
        <f>EXP(-LN(2)/25)*AA107+(1-EXP(-LN(2)/25))/(LN(2)/25)*Calculateur!V108*Calculateur!X108*VLOOKUP('Données projet'!$B$9,Paramètres!$A$1:$I$89,3,0)*0.475*44/12</f>
        <v>9.6252775229678491</v>
      </c>
      <c r="AB108" s="21">
        <f>EXP(-LN(2)/2)*AB107+(1-EXP(-LN(2)/2))/(LN(2)/2)*V108*Y108*VLOOKUP('Données projet'!$B$9,Paramètres!$A$1:$I$89,3,0)*0.475*44/12</f>
        <v>1.0077644562086986E-8</v>
      </c>
      <c r="AC108" s="22">
        <f t="shared" si="57"/>
        <v>21.093922658255831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435.00000000000023</v>
      </c>
      <c r="AJ108" s="13">
        <f>AI108*VLOOKUP('Données projet'!$B$10,Paramètres!$A$1:$I$89,3,0)*VLOOKUP('Données projet'!$B$10,Paramètres!$A$1:$I$89,5,0)</f>
        <v>260.13000000000017</v>
      </c>
      <c r="AK108" s="13">
        <f t="shared" si="89"/>
        <v>62.75008789651104</v>
      </c>
      <c r="AL108" s="20">
        <f t="shared" si="58"/>
        <v>562.349486419757</v>
      </c>
      <c r="AM108" s="59">
        <f t="shared" si="59"/>
        <v>855.68281975309037</v>
      </c>
      <c r="AN108" s="59">
        <f ca="1">AVERAGE(OFFSET($AM$3,0,0,'Données projet'!$E$10+1,1))-AVERAGE(OFFSET($H$3,0,0,'Données projet'!$E$10+1,1))</f>
        <v>247.08914525784144</v>
      </c>
      <c r="AO108" s="59">
        <f t="shared" si="90"/>
        <v>286.9617518796191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14.697646814542903</v>
      </c>
      <c r="AV108" s="21">
        <f>EXP(-LN(2)/25)*AV107+(1-EXP(-LN(2)/25))/(LN(2)/25)*Calculateur!AQ108*Calculateur!AS108*VLOOKUP('Données projet'!$B$10,Paramètres!$A$1:$I$89,3,0)*0.475*44/12</f>
        <v>9.1900640816687815</v>
      </c>
      <c r="AW108" s="21">
        <f>EXP(-LN(2)/2)*AW107+(1-EXP(-LN(2)/2))/(LN(2)/2)*AQ108*AT108*VLOOKUP('Données projet'!$B$10,Paramètres!$A$1:$I$89,3,0)*0.475*44/12</f>
        <v>9.4645039095663911E-7</v>
      </c>
      <c r="AX108" s="21">
        <f t="shared" si="60"/>
        <v>23.887711842662078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318.99999999999994</v>
      </c>
      <c r="BE108" s="13">
        <f>BD108*VLOOKUP('Données projet'!$B$11,Paramètres!$A$1:$I$89,3,0)*VLOOKUP('Données projet'!$B$11,Paramètres!$A$1:$I$89,5,0)</f>
        <v>253.79639999999995</v>
      </c>
      <c r="BF108" s="13">
        <f t="shared" si="91"/>
        <v>61.398168322280704</v>
      </c>
      <c r="BG108" s="20">
        <f t="shared" si="61"/>
        <v>548.9638731613054</v>
      </c>
      <c r="BH108" s="59">
        <f t="shared" si="62"/>
        <v>842.29720649463866</v>
      </c>
      <c r="BI108" s="59">
        <f ca="1">AVERAGE(OFFSET($BH$3,0,0,'Données projet'!$E$11+1,1))-AVERAGE(OFFSET($H$3,0,0,'Données projet'!$E$11+1,1))</f>
        <v>280.45463274302153</v>
      </c>
      <c r="BJ108" s="59">
        <f t="shared" si="92"/>
        <v>276.06968650495287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24.931136180096999</v>
      </c>
      <c r="BQ108" s="21">
        <f>EXP(-LN(2)/25)*BQ107+(1-EXP(-LN(2)/25))/(LN(2)/25)*Calculateur!BL108*Calculateur!BN108*VLOOKUP('Données projet'!$B$11,Paramètres!$A$1:$I$89,3,0)*0.475*44/12</f>
        <v>1.2783603955312144</v>
      </c>
      <c r="BR108" s="21">
        <f>EXP(-LN(2)/2)*BR107+(1-EXP(-LN(2)/2))/(LN(2)/2)*BL108*BO108*VLOOKUP('Données projet'!$B$11,Paramètres!$A$1:$I$89,3,0)*0.475*44/12</f>
        <v>1.0587497311899426E-4</v>
      </c>
      <c r="BS108" s="22">
        <f t="shared" si="63"/>
        <v>26.209602450601334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49.608000000000132</v>
      </c>
      <c r="D109" s="11">
        <f t="shared" si="86"/>
        <v>14.512477626061624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494.96509044679243</v>
      </c>
      <c r="H109" s="67">
        <f t="shared" si="56"/>
        <v>405.00983186539088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197.99999999999994</v>
      </c>
      <c r="O109" s="13">
        <f>N109*VLOOKUP('Données projet'!$B$9,Paramètres!$A$1:$I$89,3,0)*VLOOKUP('Données projet'!$B$9,Paramètres!$A$1:$I$89,5,0)</f>
        <v>123.55199999999995</v>
      </c>
      <c r="P109" s="13">
        <f t="shared" si="87"/>
        <v>32.502033262579566</v>
      </c>
      <c r="Q109" s="20">
        <f t="shared" si="107"/>
        <v>271.79410793232597</v>
      </c>
      <c r="R109" s="59">
        <f t="shared" si="55"/>
        <v>565.12744126565929</v>
      </c>
      <c r="S109" s="59">
        <f ca="1">AVERAGE(OFFSET($R$3,0,0,'Données projet'!$E$9+1,1))-AVERAGE(OFFSET($H$3,0,0,'Données projet'!$E$9+1,1))</f>
        <v>168.81286953191102</v>
      </c>
      <c r="T109" s="59">
        <f t="shared" si="88"/>
        <v>255.78677933103666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11.243751989487773</v>
      </c>
      <c r="AA109" s="21">
        <f>EXP(-LN(2)/25)*AA108+(1-EXP(-LN(2)/25))/(LN(2)/25)*Calculateur!V109*Calculateur!X109*VLOOKUP('Données projet'!$B$9,Paramètres!$A$1:$I$89,3,0)*0.475*44/12</f>
        <v>9.3620738029309472</v>
      </c>
      <c r="AB109" s="21">
        <f>EXP(-LN(2)/2)*AB108+(1-EXP(-LN(2)/2))/(LN(2)/2)*V109*Y109*VLOOKUP('Données projet'!$B$9,Paramètres!$A$1:$I$89,3,0)*0.475*44/12</f>
        <v>7.1259708082394429E-9</v>
      </c>
      <c r="AC109" s="22">
        <f t="shared" si="57"/>
        <v>20.605825799544689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435.00000000000023</v>
      </c>
      <c r="AJ109" s="13">
        <f>AI109*VLOOKUP('Données projet'!$B$10,Paramètres!$A$1:$I$89,3,0)*VLOOKUP('Données projet'!$B$10,Paramètres!$A$1:$I$89,5,0)</f>
        <v>260.13000000000017</v>
      </c>
      <c r="AK109" s="13">
        <f t="shared" si="89"/>
        <v>62.75008789651104</v>
      </c>
      <c r="AL109" s="20">
        <f t="shared" si="58"/>
        <v>562.349486419757</v>
      </c>
      <c r="AM109" s="59">
        <f t="shared" si="59"/>
        <v>855.68281975309037</v>
      </c>
      <c r="AN109" s="59">
        <f ca="1">AVERAGE(OFFSET($AM$3,0,0,'Données projet'!$E$10+1,1))-AVERAGE(OFFSET($H$3,0,0,'Données projet'!$E$10+1,1))</f>
        <v>247.08914525784144</v>
      </c>
      <c r="AO109" s="59">
        <f t="shared" si="90"/>
        <v>286.9617518796191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14.409434925189085</v>
      </c>
      <c r="AV109" s="21">
        <f>EXP(-LN(2)/25)*AV108+(1-EXP(-LN(2)/25))/(LN(2)/25)*Calculateur!AQ109*Calculateur!AS109*VLOOKUP('Données projet'!$B$10,Paramètres!$A$1:$I$89,3,0)*0.475*44/12</f>
        <v>8.9387612960710836</v>
      </c>
      <c r="AW109" s="21">
        <f>EXP(-LN(2)/2)*AW108+(1-EXP(-LN(2)/2))/(LN(2)/2)*AQ109*AT109*VLOOKUP('Données projet'!$B$10,Paramètres!$A$1:$I$89,3,0)*0.475*44/12</f>
        <v>6.6924148950209861E-7</v>
      </c>
      <c r="AX109" s="21">
        <f t="shared" si="60"/>
        <v>23.348196890501658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318.99999999999994</v>
      </c>
      <c r="BE109" s="13">
        <f>BD109*VLOOKUP('Données projet'!$B$11,Paramètres!$A$1:$I$89,3,0)*VLOOKUP('Données projet'!$B$11,Paramètres!$A$1:$I$89,5,0)</f>
        <v>253.79639999999995</v>
      </c>
      <c r="BF109" s="13">
        <f t="shared" si="91"/>
        <v>61.398168322280704</v>
      </c>
      <c r="BG109" s="20">
        <f t="shared" si="61"/>
        <v>548.9638731613054</v>
      </c>
      <c r="BH109" s="59">
        <f t="shared" si="62"/>
        <v>842.29720649463866</v>
      </c>
      <c r="BI109" s="59">
        <f ca="1">AVERAGE(OFFSET($BH$3,0,0,'Données projet'!$E$11+1,1))-AVERAGE(OFFSET($H$3,0,0,'Données projet'!$E$11+1,1))</f>
        <v>280.45463274302153</v>
      </c>
      <c r="BJ109" s="59">
        <f t="shared" si="92"/>
        <v>276.06968650495287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24.442251806096852</v>
      </c>
      <c r="BQ109" s="21">
        <f>EXP(-LN(2)/25)*BQ108+(1-EXP(-LN(2)/25))/(LN(2)/25)*Calculateur!BL109*Calculateur!BN109*VLOOKUP('Données projet'!$B$11,Paramètres!$A$1:$I$89,3,0)*0.475*44/12</f>
        <v>1.2434035632893619</v>
      </c>
      <c r="BR109" s="21">
        <f>EXP(-LN(2)/2)*BR108+(1-EXP(-LN(2)/2))/(LN(2)/2)*BL109*BO109*VLOOKUP('Données projet'!$B$11,Paramètres!$A$1:$I$89,3,0)*0.475*44/12</f>
        <v>7.4864911450384276E-5</v>
      </c>
      <c r="BS109" s="22">
        <f t="shared" si="63"/>
        <v>25.685730234297665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50.076000000000136</v>
      </c>
      <c r="D110" s="11">
        <f t="shared" si="86"/>
        <v>14.633385259541638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499.51104410874353</v>
      </c>
      <c r="H110" s="67">
        <f t="shared" si="56"/>
        <v>406.03551266036857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197.99999999999994</v>
      </c>
      <c r="O110" s="13">
        <f>N110*VLOOKUP('Données projet'!$B$9,Paramètres!$A$1:$I$89,3,0)*VLOOKUP('Données projet'!$B$9,Paramètres!$A$1:$I$89,5,0)</f>
        <v>123.55199999999995</v>
      </c>
      <c r="P110" s="13">
        <f t="shared" si="87"/>
        <v>32.502033262579566</v>
      </c>
      <c r="Q110" s="20">
        <f t="shared" si="107"/>
        <v>271.79410793232597</v>
      </c>
      <c r="R110" s="59">
        <f t="shared" si="55"/>
        <v>565.12744126565929</v>
      </c>
      <c r="S110" s="59">
        <f ca="1">AVERAGE(OFFSET($R$3,0,0,'Données projet'!$E$9+1,1))-AVERAGE(OFFSET($H$3,0,0,'Données projet'!$E$9+1,1))</f>
        <v>168.81286953191102</v>
      </c>
      <c r="T110" s="59">
        <f t="shared" si="88"/>
        <v>255.78677933103666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11.02326887098546</v>
      </c>
      <c r="AA110" s="21">
        <f>EXP(-LN(2)/25)*AA109+(1-EXP(-LN(2)/25))/(LN(2)/25)*Calculateur!V110*Calculateur!X110*VLOOKUP('Données projet'!$B$9,Paramètres!$A$1:$I$89,3,0)*0.475*44/12</f>
        <v>9.1060674024597361</v>
      </c>
      <c r="AB110" s="21">
        <f>EXP(-LN(2)/2)*AB109+(1-EXP(-LN(2)/2))/(LN(2)/2)*V110*Y110*VLOOKUP('Données projet'!$B$9,Paramètres!$A$1:$I$89,3,0)*0.475*44/12</f>
        <v>5.0388222810434929E-9</v>
      </c>
      <c r="AC110" s="22">
        <f t="shared" si="57"/>
        <v>20.129336278484018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435.00000000000023</v>
      </c>
      <c r="AJ110" s="13">
        <f>AI110*VLOOKUP('Données projet'!$B$10,Paramètres!$A$1:$I$89,3,0)*VLOOKUP('Données projet'!$B$10,Paramètres!$A$1:$I$89,5,0)</f>
        <v>260.13000000000017</v>
      </c>
      <c r="AK110" s="13">
        <f t="shared" si="89"/>
        <v>62.75008789651104</v>
      </c>
      <c r="AL110" s="20">
        <f t="shared" si="58"/>
        <v>562.349486419757</v>
      </c>
      <c r="AM110" s="59">
        <f t="shared" si="59"/>
        <v>855.68281975309037</v>
      </c>
      <c r="AN110" s="59">
        <f ca="1">AVERAGE(OFFSET($AM$3,0,0,'Données projet'!$E$10+1,1))-AVERAGE(OFFSET($H$3,0,0,'Données projet'!$E$10+1,1))</f>
        <v>247.08914525784144</v>
      </c>
      <c r="AO110" s="59">
        <f t="shared" si="90"/>
        <v>286.9617518796191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14.126874695193601</v>
      </c>
      <c r="AV110" s="21">
        <f>EXP(-LN(2)/25)*AV109+(1-EXP(-LN(2)/25))/(LN(2)/25)*Calculateur!AQ110*Calculateur!AS110*VLOOKUP('Données projet'!$B$10,Paramètres!$A$1:$I$89,3,0)*0.475*44/12</f>
        <v>8.694330398360993</v>
      </c>
      <c r="AW110" s="21">
        <f>EXP(-LN(2)/2)*AW109+(1-EXP(-LN(2)/2))/(LN(2)/2)*AQ110*AT110*VLOOKUP('Données projet'!$B$10,Paramètres!$A$1:$I$89,3,0)*0.475*44/12</f>
        <v>4.7322519547831961E-7</v>
      </c>
      <c r="AX110" s="21">
        <f t="shared" si="60"/>
        <v>22.821205566779792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318.99999999999994</v>
      </c>
      <c r="BE110" s="13">
        <f>BD110*VLOOKUP('Données projet'!$B$11,Paramètres!$A$1:$I$89,3,0)*VLOOKUP('Données projet'!$B$11,Paramètres!$A$1:$I$89,5,0)</f>
        <v>253.79639999999995</v>
      </c>
      <c r="BF110" s="13">
        <f t="shared" si="91"/>
        <v>61.398168322280704</v>
      </c>
      <c r="BG110" s="20">
        <f t="shared" si="61"/>
        <v>548.9638731613054</v>
      </c>
      <c r="BH110" s="59">
        <f t="shared" si="62"/>
        <v>842.29720649463866</v>
      </c>
      <c r="BI110" s="59">
        <f ca="1">AVERAGE(OFFSET($BH$3,0,0,'Données projet'!$E$11+1,1))-AVERAGE(OFFSET($H$3,0,0,'Données projet'!$E$11+1,1))</f>
        <v>280.45463274302153</v>
      </c>
      <c r="BJ110" s="59">
        <f t="shared" si="92"/>
        <v>276.06968650495287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23.962954156480823</v>
      </c>
      <c r="BQ110" s="21">
        <f>EXP(-LN(2)/25)*BQ109+(1-EXP(-LN(2)/25))/(LN(2)/25)*Calculateur!BL110*Calculateur!BN110*VLOOKUP('Données projet'!$B$11,Paramètres!$A$1:$I$89,3,0)*0.475*44/12</f>
        <v>1.2094026274634626</v>
      </c>
      <c r="BR110" s="21">
        <f>EXP(-LN(2)/2)*BR109+(1-EXP(-LN(2)/2))/(LN(2)/2)*BL110*BO110*VLOOKUP('Données projet'!$B$11,Paramètres!$A$1:$I$89,3,0)*0.475*44/12</f>
        <v>5.2937486559497131E-5</v>
      </c>
      <c r="BS110" s="22">
        <f t="shared" si="63"/>
        <v>25.172409721430842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50.544000000000139</v>
      </c>
      <c r="D111" s="11">
        <f t="shared" si="86"/>
        <v>14.754161433088285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504.05598299226153</v>
      </c>
      <c r="H111" s="67">
        <f t="shared" si="56"/>
        <v>407.06096449596231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197.99999999999994</v>
      </c>
      <c r="O111" s="13">
        <f>N111*VLOOKUP('Données projet'!$B$9,Paramètres!$A$1:$I$89,3,0)*VLOOKUP('Données projet'!$B$9,Paramètres!$A$1:$I$89,5,0)</f>
        <v>123.55199999999995</v>
      </c>
      <c r="P111" s="13">
        <f t="shared" si="87"/>
        <v>32.502033262579566</v>
      </c>
      <c r="Q111" s="20">
        <f t="shared" si="107"/>
        <v>271.79410793232597</v>
      </c>
      <c r="R111" s="59">
        <f t="shared" si="55"/>
        <v>565.12744126565929</v>
      </c>
      <c r="S111" s="59">
        <f ca="1">AVERAGE(OFFSET($R$3,0,0,'Données projet'!$E$9+1,1))-AVERAGE(OFFSET($H$3,0,0,'Données projet'!$E$9+1,1))</f>
        <v>168.81286953191102</v>
      </c>
      <c r="T111" s="59">
        <f t="shared" si="88"/>
        <v>255.78677933103666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10.807109291955552</v>
      </c>
      <c r="AA111" s="21">
        <f>EXP(-LN(2)/25)*AA110+(1-EXP(-LN(2)/25))/(LN(2)/25)*Calculateur!V111*Calculateur!X111*VLOOKUP('Données projet'!$B$9,Paramètres!$A$1:$I$89,3,0)*0.475*44/12</f>
        <v>8.8570615104722012</v>
      </c>
      <c r="AB111" s="21">
        <f>EXP(-LN(2)/2)*AB110+(1-EXP(-LN(2)/2))/(LN(2)/2)*V111*Y111*VLOOKUP('Données projet'!$B$9,Paramètres!$A$1:$I$89,3,0)*0.475*44/12</f>
        <v>3.5629854041197214E-9</v>
      </c>
      <c r="AC111" s="22">
        <f t="shared" si="57"/>
        <v>19.664170805990739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435.00000000000023</v>
      </c>
      <c r="AJ111" s="13">
        <f>AI111*VLOOKUP('Données projet'!$B$10,Paramètres!$A$1:$I$89,3,0)*VLOOKUP('Données projet'!$B$10,Paramètres!$A$1:$I$89,5,0)</f>
        <v>260.13000000000017</v>
      </c>
      <c r="AK111" s="13">
        <f t="shared" si="89"/>
        <v>62.75008789651104</v>
      </c>
      <c r="AL111" s="20">
        <f t="shared" si="58"/>
        <v>562.349486419757</v>
      </c>
      <c r="AM111" s="59">
        <f t="shared" si="59"/>
        <v>855.68281975309037</v>
      </c>
      <c r="AN111" s="59">
        <f ca="1">AVERAGE(OFFSET($AM$3,0,0,'Données projet'!$E$10+1,1))-AVERAGE(OFFSET($H$3,0,0,'Données projet'!$E$10+1,1))</f>
        <v>247.08914525784144</v>
      </c>
      <c r="AO111" s="59">
        <f t="shared" si="90"/>
        <v>286.9617518796191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13.849855298963606</v>
      </c>
      <c r="AV111" s="21">
        <f>EXP(-LN(2)/25)*AV110+(1-EXP(-LN(2)/25))/(LN(2)/25)*Calculateur!AQ111*Calculateur!AS111*VLOOKUP('Données projet'!$B$10,Paramètres!$A$1:$I$89,3,0)*0.475*44/12</f>
        <v>8.4565834764028462</v>
      </c>
      <c r="AW111" s="21">
        <f>EXP(-LN(2)/2)*AW110+(1-EXP(-LN(2)/2))/(LN(2)/2)*AQ111*AT111*VLOOKUP('Données projet'!$B$10,Paramètres!$A$1:$I$89,3,0)*0.475*44/12</f>
        <v>3.3462074475104936E-7</v>
      </c>
      <c r="AX111" s="21">
        <f t="shared" si="60"/>
        <v>22.306439109987195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318.99999999999994</v>
      </c>
      <c r="BE111" s="13">
        <f>BD111*VLOOKUP('Données projet'!$B$11,Paramètres!$A$1:$I$89,3,0)*VLOOKUP('Données projet'!$B$11,Paramètres!$A$1:$I$89,5,0)</f>
        <v>253.79639999999995</v>
      </c>
      <c r="BF111" s="13">
        <f t="shared" si="91"/>
        <v>61.398168322280704</v>
      </c>
      <c r="BG111" s="20">
        <f t="shared" si="61"/>
        <v>548.9638731613054</v>
      </c>
      <c r="BH111" s="59">
        <f t="shared" si="62"/>
        <v>842.29720649463866</v>
      </c>
      <c r="BI111" s="59">
        <f ca="1">AVERAGE(OFFSET($BH$3,0,0,'Données projet'!$E$11+1,1))-AVERAGE(OFFSET($H$3,0,0,'Données projet'!$E$11+1,1))</f>
        <v>280.45463274302153</v>
      </c>
      <c r="BJ111" s="59">
        <f t="shared" si="92"/>
        <v>276.06968650495287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23.493055241431062</v>
      </c>
      <c r="BQ111" s="21">
        <f>EXP(-LN(2)/25)*BQ110+(1-EXP(-LN(2)/25))/(LN(2)/25)*Calculateur!BL111*Calculateur!BN111*VLOOKUP('Données projet'!$B$11,Paramètres!$A$1:$I$89,3,0)*0.475*44/12</f>
        <v>1.1763314490157541</v>
      </c>
      <c r="BR111" s="21">
        <f>EXP(-LN(2)/2)*BR110+(1-EXP(-LN(2)/2))/(LN(2)/2)*BL111*BO111*VLOOKUP('Données projet'!$B$11,Paramètres!$A$1:$I$89,3,0)*0.475*44/12</f>
        <v>3.7432455725192138E-5</v>
      </c>
      <c r="BS111" s="22">
        <f t="shared" si="63"/>
        <v>24.669424122902541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51.012000000000143</v>
      </c>
      <c r="D112" s="11">
        <f t="shared" si="86"/>
        <v>14.874807504914717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508.59991758179893</v>
      </c>
      <c r="H112" s="67">
        <f t="shared" si="56"/>
        <v>408.08618973772667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197.99999999999994</v>
      </c>
      <c r="O112" s="13">
        <f>N112*VLOOKUP('Données projet'!$B$9,Paramètres!$A$1:$I$89,3,0)*VLOOKUP('Données projet'!$B$9,Paramètres!$A$1:$I$89,5,0)</f>
        <v>123.55199999999995</v>
      </c>
      <c r="P112" s="13">
        <f t="shared" si="87"/>
        <v>32.502033262579566</v>
      </c>
      <c r="Q112" s="20">
        <f t="shared" si="107"/>
        <v>271.79410793232597</v>
      </c>
      <c r="R112" s="59">
        <f t="shared" si="55"/>
        <v>565.12744126565929</v>
      </c>
      <c r="S112" s="59">
        <f ca="1">AVERAGE(OFFSET($R$3,0,0,'Données projet'!$E$9+1,1))-AVERAGE(OFFSET($H$3,0,0,'Données projet'!$E$9+1,1))</f>
        <v>168.81286953191102</v>
      </c>
      <c r="T112" s="59">
        <f t="shared" si="88"/>
        <v>255.78677933103666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10.595188470426097</v>
      </c>
      <c r="AA112" s="21">
        <f>EXP(-LN(2)/25)*AA111+(1-EXP(-LN(2)/25))/(LN(2)/25)*Calculateur!V112*Calculateur!X112*VLOOKUP('Données projet'!$B$9,Paramètres!$A$1:$I$89,3,0)*0.475*44/12</f>
        <v>8.6148646976957171</v>
      </c>
      <c r="AB112" s="21">
        <f>EXP(-LN(2)/2)*AB111+(1-EXP(-LN(2)/2))/(LN(2)/2)*V112*Y112*VLOOKUP('Données projet'!$B$9,Paramètres!$A$1:$I$89,3,0)*0.475*44/12</f>
        <v>2.5194111405217464E-9</v>
      </c>
      <c r="AC112" s="22">
        <f t="shared" si="57"/>
        <v>19.210053170641224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435.00000000000023</v>
      </c>
      <c r="AJ112" s="13">
        <f>AI112*VLOOKUP('Données projet'!$B$10,Paramètres!$A$1:$I$89,3,0)*VLOOKUP('Données projet'!$B$10,Paramètres!$A$1:$I$89,5,0)</f>
        <v>260.13000000000017</v>
      </c>
      <c r="AK112" s="13">
        <f t="shared" si="89"/>
        <v>62.75008789651104</v>
      </c>
      <c r="AL112" s="20">
        <f t="shared" si="58"/>
        <v>562.349486419757</v>
      </c>
      <c r="AM112" s="59">
        <f t="shared" si="59"/>
        <v>855.68281975309037</v>
      </c>
      <c r="AN112" s="59">
        <f ca="1">AVERAGE(OFFSET($AM$3,0,0,'Données projet'!$E$10+1,1))-AVERAGE(OFFSET($H$3,0,0,'Données projet'!$E$10+1,1))</f>
        <v>247.08914525784144</v>
      </c>
      <c r="AO112" s="59">
        <f t="shared" si="90"/>
        <v>286.9617518796191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13.578268084128533</v>
      </c>
      <c r="AV112" s="21">
        <f>EXP(-LN(2)/25)*AV111+(1-EXP(-LN(2)/25))/(LN(2)/25)*Calculateur!AQ112*Calculateur!AS112*VLOOKUP('Données projet'!$B$10,Paramètres!$A$1:$I$89,3,0)*0.475*44/12</f>
        <v>8.225337756528214</v>
      </c>
      <c r="AW112" s="21">
        <f>EXP(-LN(2)/2)*AW111+(1-EXP(-LN(2)/2))/(LN(2)/2)*AQ112*AT112*VLOOKUP('Données projet'!$B$10,Paramètres!$A$1:$I$89,3,0)*0.475*44/12</f>
        <v>2.3661259773915986E-7</v>
      </c>
      <c r="AX112" s="21">
        <f t="shared" si="60"/>
        <v>21.803606077269343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318.99999999999994</v>
      </c>
      <c r="BE112" s="13">
        <f>BD112*VLOOKUP('Données projet'!$B$11,Paramètres!$A$1:$I$89,3,0)*VLOOKUP('Données projet'!$B$11,Paramètres!$A$1:$I$89,5,0)</f>
        <v>253.79639999999995</v>
      </c>
      <c r="BF112" s="13">
        <f t="shared" si="91"/>
        <v>61.398168322280704</v>
      </c>
      <c r="BG112" s="20">
        <f t="shared" si="61"/>
        <v>548.9638731613054</v>
      </c>
      <c r="BH112" s="59">
        <f t="shared" si="62"/>
        <v>842.29720649463866</v>
      </c>
      <c r="BI112" s="59">
        <f ca="1">AVERAGE(OFFSET($BH$3,0,0,'Données projet'!$E$11+1,1))-AVERAGE(OFFSET($H$3,0,0,'Données projet'!$E$11+1,1))</f>
        <v>280.45463274302153</v>
      </c>
      <c r="BJ112" s="59">
        <f t="shared" si="92"/>
        <v>276.06968650495287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23.032370757495389</v>
      </c>
      <c r="BQ112" s="21">
        <f>EXP(-LN(2)/25)*BQ111+(1-EXP(-LN(2)/25))/(LN(2)/25)*Calculateur!BL112*Calculateur!BN112*VLOOKUP('Données projet'!$B$11,Paramètres!$A$1:$I$89,3,0)*0.475*44/12</f>
        <v>1.144164603681836</v>
      </c>
      <c r="BR112" s="21">
        <f>EXP(-LN(2)/2)*BR111+(1-EXP(-LN(2)/2))/(LN(2)/2)*BL112*BO112*VLOOKUP('Données projet'!$B$11,Paramètres!$A$1:$I$89,3,0)*0.475*44/12</f>
        <v>2.6468743279748566E-5</v>
      </c>
      <c r="BS112" s="22">
        <f t="shared" si="63"/>
        <v>24.176561829920505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51.480000000000146</v>
      </c>
      <c r="D113" s="11">
        <f t="shared" si="86"/>
        <v>14.995324806875265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513.14285815833648</v>
      </c>
      <c r="H113" s="67">
        <f t="shared" si="56"/>
        <v>409.11119070530799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197.99999999999994</v>
      </c>
      <c r="O113" s="13">
        <f>N113*VLOOKUP('Données projet'!$B$9,Paramètres!$A$1:$I$89,3,0)*VLOOKUP('Données projet'!$B$9,Paramètres!$A$1:$I$89,5,0)</f>
        <v>123.55199999999995</v>
      </c>
      <c r="P113" s="13">
        <f t="shared" si="87"/>
        <v>32.502033262579566</v>
      </c>
      <c r="Q113" s="20">
        <f t="shared" si="107"/>
        <v>271.79410793232597</v>
      </c>
      <c r="R113" s="59">
        <f t="shared" si="55"/>
        <v>565.12744126565929</v>
      </c>
      <c r="S113" s="59">
        <f ca="1">AVERAGE(OFFSET($R$3,0,0,'Données projet'!$E$9+1,1))-AVERAGE(OFFSET($H$3,0,0,'Données projet'!$E$9+1,1))</f>
        <v>168.81286953191102</v>
      </c>
      <c r="T113" s="59">
        <f t="shared" si="88"/>
        <v>255.78677933103666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10.387423286947897</v>
      </c>
      <c r="AA113" s="21">
        <f>EXP(-LN(2)/25)*AA112+(1-EXP(-LN(2)/25))/(LN(2)/25)*Calculateur!V113*Calculateur!X113*VLOOKUP('Données projet'!$B$9,Paramètres!$A$1:$I$89,3,0)*0.475*44/12</f>
        <v>8.379290769501182</v>
      </c>
      <c r="AB113" s="21">
        <f>EXP(-LN(2)/2)*AB112+(1-EXP(-LN(2)/2))/(LN(2)/2)*V113*Y113*VLOOKUP('Données projet'!$B$9,Paramètres!$A$1:$I$89,3,0)*0.475*44/12</f>
        <v>1.7814927020598607E-9</v>
      </c>
      <c r="AC113" s="22">
        <f t="shared" si="57"/>
        <v>18.766714058230573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435.00000000000023</v>
      </c>
      <c r="AJ113" s="13">
        <f>AI113*VLOOKUP('Données projet'!$B$10,Paramètres!$A$1:$I$89,3,0)*VLOOKUP('Données projet'!$B$10,Paramètres!$A$1:$I$89,5,0)</f>
        <v>260.13000000000017</v>
      </c>
      <c r="AK113" s="13">
        <f t="shared" si="89"/>
        <v>62.75008789651104</v>
      </c>
      <c r="AL113" s="20">
        <f t="shared" si="58"/>
        <v>562.349486419757</v>
      </c>
      <c r="AM113" s="59">
        <f t="shared" si="59"/>
        <v>855.68281975309037</v>
      </c>
      <c r="AN113" s="59">
        <f ca="1">AVERAGE(OFFSET($AM$3,0,0,'Données projet'!$E$10+1,1))-AVERAGE(OFFSET($H$3,0,0,'Données projet'!$E$10+1,1))</f>
        <v>247.08914525784144</v>
      </c>
      <c r="AO113" s="59">
        <f t="shared" si="90"/>
        <v>286.9617518796191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13.312006528924531</v>
      </c>
      <c r="AV113" s="21">
        <f>EXP(-LN(2)/25)*AV112+(1-EXP(-LN(2)/25))/(LN(2)/25)*Calculateur!AQ113*Calculateur!AS113*VLOOKUP('Données projet'!$B$10,Paramètres!$A$1:$I$89,3,0)*0.475*44/12</f>
        <v>8.0004154630242361</v>
      </c>
      <c r="AW113" s="21">
        <f>EXP(-LN(2)/2)*AW112+(1-EXP(-LN(2)/2))/(LN(2)/2)*AQ113*AT113*VLOOKUP('Données projet'!$B$10,Paramètres!$A$1:$I$89,3,0)*0.475*44/12</f>
        <v>1.6731037237552471E-7</v>
      </c>
      <c r="AX113" s="21">
        <f t="shared" si="60"/>
        <v>21.312422159259139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318.99999999999994</v>
      </c>
      <c r="BE113" s="13">
        <f>BD113*VLOOKUP('Données projet'!$B$11,Paramètres!$A$1:$I$89,3,0)*VLOOKUP('Données projet'!$B$11,Paramètres!$A$1:$I$89,5,0)</f>
        <v>253.79639999999995</v>
      </c>
      <c r="BF113" s="13">
        <f t="shared" si="91"/>
        <v>61.398168322280704</v>
      </c>
      <c r="BG113" s="20">
        <f t="shared" si="61"/>
        <v>548.9638731613054</v>
      </c>
      <c r="BH113" s="59">
        <f t="shared" si="62"/>
        <v>842.29720649463866</v>
      </c>
      <c r="BI113" s="59">
        <f ca="1">AVERAGE(OFFSET($BH$3,0,0,'Données projet'!$E$11+1,1))-AVERAGE(OFFSET($H$3,0,0,'Données projet'!$E$11+1,1))</f>
        <v>280.45463274302153</v>
      </c>
      <c r="BJ113" s="59">
        <f t="shared" si="92"/>
        <v>276.06968650495287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22.580720015299907</v>
      </c>
      <c r="BQ113" s="21">
        <f>EXP(-LN(2)/25)*BQ112+(1-EXP(-LN(2)/25))/(LN(2)/25)*Calculateur!BL113*Calculateur!BN113*VLOOKUP('Données projet'!$B$11,Paramètres!$A$1:$I$89,3,0)*0.475*44/12</f>
        <v>1.1128773624251547</v>
      </c>
      <c r="BR113" s="21">
        <f>EXP(-LN(2)/2)*BR112+(1-EXP(-LN(2)/2))/(LN(2)/2)*BL113*BO113*VLOOKUP('Données projet'!$B$11,Paramètres!$A$1:$I$89,3,0)*0.475*44/12</f>
        <v>1.8716227862596069E-5</v>
      </c>
      <c r="BS113" s="22">
        <f t="shared" si="63"/>
        <v>23.693616093952926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51.94800000000015</v>
      </c>
      <c r="D114" s="11">
        <f t="shared" si="86"/>
        <v>15.115714645211932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517.68481480514595</v>
      </c>
      <c r="H114" s="67">
        <f t="shared" si="56"/>
        <v>410.13596967374434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197.99999999999994</v>
      </c>
      <c r="O114" s="13">
        <f>N114*VLOOKUP('Données projet'!$B$9,Paramètres!$A$1:$I$89,3,0)*VLOOKUP('Données projet'!$B$9,Paramètres!$A$1:$I$89,5,0)</f>
        <v>123.55199999999995</v>
      </c>
      <c r="P114" s="13">
        <f t="shared" si="87"/>
        <v>32.502033262579566</v>
      </c>
      <c r="Q114" s="20">
        <f t="shared" si="107"/>
        <v>271.79410793232597</v>
      </c>
      <c r="R114" s="59">
        <f t="shared" si="55"/>
        <v>565.12744126565929</v>
      </c>
      <c r="S114" s="59">
        <f ca="1">AVERAGE(OFFSET($R$3,0,0,'Données projet'!$E$9+1,1))-AVERAGE(OFFSET($H$3,0,0,'Données projet'!$E$9+1,1))</f>
        <v>168.81286953191102</v>
      </c>
      <c r="T114" s="59">
        <f t="shared" si="88"/>
        <v>255.78677933103666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10.183732251993455</v>
      </c>
      <c r="AA114" s="21">
        <f>EXP(-LN(2)/25)*AA113+(1-EXP(-LN(2)/25))/(LN(2)/25)*Calculateur!V114*Calculateur!X114*VLOOKUP('Données projet'!$B$9,Paramètres!$A$1:$I$89,3,0)*0.475*44/12</f>
        <v>8.1501586227614222</v>
      </c>
      <c r="AB114" s="21">
        <f>EXP(-LN(2)/2)*AB113+(1-EXP(-LN(2)/2))/(LN(2)/2)*V114*Y114*VLOOKUP('Données projet'!$B$9,Paramètres!$A$1:$I$89,3,0)*0.475*44/12</f>
        <v>1.2597055702608732E-9</v>
      </c>
      <c r="AC114" s="22">
        <f t="shared" si="57"/>
        <v>18.333890876014586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435.00000000000023</v>
      </c>
      <c r="AJ114" s="13">
        <f>AI114*VLOOKUP('Données projet'!$B$10,Paramètres!$A$1:$I$89,3,0)*VLOOKUP('Données projet'!$B$10,Paramètres!$A$1:$I$89,5,0)</f>
        <v>260.13000000000017</v>
      </c>
      <c r="AK114" s="13">
        <f t="shared" si="89"/>
        <v>62.75008789651104</v>
      </c>
      <c r="AL114" s="20">
        <f t="shared" si="58"/>
        <v>562.349486419757</v>
      </c>
      <c r="AM114" s="59">
        <f t="shared" si="59"/>
        <v>855.68281975309037</v>
      </c>
      <c r="AN114" s="59">
        <f ca="1">AVERAGE(OFFSET($AM$3,0,0,'Données projet'!$E$10+1,1))-AVERAGE(OFFSET($H$3,0,0,'Données projet'!$E$10+1,1))</f>
        <v>247.08914525784144</v>
      </c>
      <c r="AO114" s="59">
        <f t="shared" si="90"/>
        <v>286.9617518796191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13.050966200414567</v>
      </c>
      <c r="AV114" s="21">
        <f>EXP(-LN(2)/25)*AV113+(1-EXP(-LN(2)/25))/(LN(2)/25)*Calculateur!AQ114*Calculateur!AS114*VLOOKUP('Données projet'!$B$10,Paramètres!$A$1:$I$89,3,0)*0.475*44/12</f>
        <v>7.7816436814642742</v>
      </c>
      <c r="AW114" s="21">
        <f>EXP(-LN(2)/2)*AW113+(1-EXP(-LN(2)/2))/(LN(2)/2)*AQ114*AT114*VLOOKUP('Données projet'!$B$10,Paramètres!$A$1:$I$89,3,0)*0.475*44/12</f>
        <v>1.1830629886957994E-7</v>
      </c>
      <c r="AX114" s="21">
        <f t="shared" si="60"/>
        <v>20.832610000185142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318.99999999999994</v>
      </c>
      <c r="BE114" s="13">
        <f>BD114*VLOOKUP('Données projet'!$B$11,Paramètres!$A$1:$I$89,3,0)*VLOOKUP('Données projet'!$B$11,Paramètres!$A$1:$I$89,5,0)</f>
        <v>253.79639999999995</v>
      </c>
      <c r="BF114" s="13">
        <f t="shared" si="91"/>
        <v>61.398168322280704</v>
      </c>
      <c r="BG114" s="20">
        <f t="shared" si="61"/>
        <v>548.9638731613054</v>
      </c>
      <c r="BH114" s="59">
        <f t="shared" si="62"/>
        <v>842.29720649463866</v>
      </c>
      <c r="BI114" s="59">
        <f ca="1">AVERAGE(OFFSET($BH$3,0,0,'Données projet'!$E$11+1,1))-AVERAGE(OFFSET($H$3,0,0,'Données projet'!$E$11+1,1))</f>
        <v>280.45463274302153</v>
      </c>
      <c r="BJ114" s="59">
        <f t="shared" si="92"/>
        <v>276.06968650495287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22.137925868679126</v>
      </c>
      <c r="BQ114" s="21">
        <f>EXP(-LN(2)/25)*BQ113+(1-EXP(-LN(2)/25))/(LN(2)/25)*Calculateur!BL114*Calculateur!BN114*VLOOKUP('Données projet'!$B$11,Paramètres!$A$1:$I$89,3,0)*0.475*44/12</f>
        <v>1.0824456724259619</v>
      </c>
      <c r="BR114" s="21">
        <f>EXP(-LN(2)/2)*BR113+(1-EXP(-LN(2)/2))/(LN(2)/2)*BL114*BO114*VLOOKUP('Données projet'!$B$11,Paramètres!$A$1:$I$89,3,0)*0.475*44/12</f>
        <v>1.3234371639874283E-5</v>
      </c>
      <c r="BS114" s="22">
        <f t="shared" si="63"/>
        <v>23.220384775476727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52.416000000000153</v>
      </c>
      <c r="D115" s="11">
        <f t="shared" si="86"/>
        <v>15.23597830127307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522.22579741333709</v>
      </c>
      <c r="H115" s="67">
        <f t="shared" si="56"/>
        <v>411.1605288747175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197.99999999999994</v>
      </c>
      <c r="O115" s="13">
        <f>N115*VLOOKUP('Données projet'!$B$9,Paramètres!$A$1:$I$89,3,0)*VLOOKUP('Données projet'!$B$9,Paramètres!$A$1:$I$89,5,0)</f>
        <v>123.55199999999995</v>
      </c>
      <c r="P115" s="13">
        <f t="shared" si="87"/>
        <v>32.502033262579566</v>
      </c>
      <c r="Q115" s="20">
        <f t="shared" si="107"/>
        <v>271.79410793232597</v>
      </c>
      <c r="R115" s="59">
        <f t="shared" si="55"/>
        <v>565.12744126565929</v>
      </c>
      <c r="S115" s="59">
        <f ca="1">AVERAGE(OFFSET($R$3,0,0,'Données projet'!$E$9+1,1))-AVERAGE(OFFSET($H$3,0,0,'Données projet'!$E$9+1,1))</f>
        <v>168.81286953191102</v>
      </c>
      <c r="T115" s="59">
        <f t="shared" si="88"/>
        <v>255.78677933103666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9.9840354739952062</v>
      </c>
      <c r="AA115" s="21">
        <f>EXP(-LN(2)/25)*AA114+(1-EXP(-LN(2)/25))/(LN(2)/25)*Calculateur!V115*Calculateur!X115*VLOOKUP('Données projet'!$B$9,Paramètres!$A$1:$I$89,3,0)*0.475*44/12</f>
        <v>7.9272921066237965</v>
      </c>
      <c r="AB115" s="21">
        <f>EXP(-LN(2)/2)*AB114+(1-EXP(-LN(2)/2))/(LN(2)/2)*V115*Y115*VLOOKUP('Données projet'!$B$9,Paramètres!$A$1:$I$89,3,0)*0.475*44/12</f>
        <v>8.9074635102993036E-10</v>
      </c>
      <c r="AC115" s="22">
        <f t="shared" si="57"/>
        <v>17.911327581509749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435.00000000000023</v>
      </c>
      <c r="AJ115" s="13">
        <f>AI115*VLOOKUP('Données projet'!$B$10,Paramètres!$A$1:$I$89,3,0)*VLOOKUP('Données projet'!$B$10,Paramètres!$A$1:$I$89,5,0)</f>
        <v>260.13000000000017</v>
      </c>
      <c r="AK115" s="13">
        <f t="shared" si="89"/>
        <v>62.75008789651104</v>
      </c>
      <c r="AL115" s="20">
        <f t="shared" si="58"/>
        <v>562.349486419757</v>
      </c>
      <c r="AM115" s="59">
        <f t="shared" si="59"/>
        <v>855.68281975309037</v>
      </c>
      <c r="AN115" s="59">
        <f ca="1">AVERAGE(OFFSET($AM$3,0,0,'Données projet'!$E$10+1,1))-AVERAGE(OFFSET($H$3,0,0,'Données projet'!$E$10+1,1))</f>
        <v>247.08914525784144</v>
      </c>
      <c r="AO115" s="59">
        <f t="shared" si="90"/>
        <v>286.9617518796191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12.795044713527805</v>
      </c>
      <c r="AV115" s="21">
        <f>EXP(-LN(2)/25)*AV114+(1-EXP(-LN(2)/25))/(LN(2)/25)*Calculateur!AQ115*Calculateur!AS115*VLOOKUP('Données projet'!$B$10,Paramètres!$A$1:$I$89,3,0)*0.475*44/12</f>
        <v>7.5688542257757776</v>
      </c>
      <c r="AW115" s="21">
        <f>EXP(-LN(2)/2)*AW114+(1-EXP(-LN(2)/2))/(LN(2)/2)*AQ115*AT115*VLOOKUP('Données projet'!$B$10,Paramètres!$A$1:$I$89,3,0)*0.475*44/12</f>
        <v>8.3655186187762366E-8</v>
      </c>
      <c r="AX115" s="21">
        <f t="shared" si="60"/>
        <v>20.363899022958769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318.99999999999994</v>
      </c>
      <c r="BE115" s="13">
        <f>BD115*VLOOKUP('Données projet'!$B$11,Paramètres!$A$1:$I$89,3,0)*VLOOKUP('Données projet'!$B$11,Paramètres!$A$1:$I$89,5,0)</f>
        <v>253.79639999999995</v>
      </c>
      <c r="BF115" s="13">
        <f t="shared" si="91"/>
        <v>61.398168322280704</v>
      </c>
      <c r="BG115" s="20">
        <f t="shared" si="61"/>
        <v>548.9638731613054</v>
      </c>
      <c r="BH115" s="59">
        <f t="shared" si="62"/>
        <v>842.29720649463866</v>
      </c>
      <c r="BI115" s="59">
        <f ca="1">AVERAGE(OFFSET($BH$3,0,0,'Données projet'!$E$11+1,1))-AVERAGE(OFFSET($H$3,0,0,'Données projet'!$E$11+1,1))</f>
        <v>280.45463274302153</v>
      </c>
      <c r="BJ115" s="59">
        <f t="shared" si="92"/>
        <v>276.06968650495287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21.703814645195816</v>
      </c>
      <c r="BQ115" s="21">
        <f>EXP(-LN(2)/25)*BQ114+(1-EXP(-LN(2)/25))/(LN(2)/25)*Calculateur!BL115*Calculateur!BN115*VLOOKUP('Données projet'!$B$11,Paramètres!$A$1:$I$89,3,0)*0.475*44/12</f>
        <v>1.05284613859013</v>
      </c>
      <c r="BR115" s="21">
        <f>EXP(-LN(2)/2)*BR114+(1-EXP(-LN(2)/2))/(LN(2)/2)*BL115*BO115*VLOOKUP('Données projet'!$B$11,Paramètres!$A$1:$I$89,3,0)*0.475*44/12</f>
        <v>9.3581139312980345E-6</v>
      </c>
      <c r="BS115" s="22">
        <f t="shared" si="63"/>
        <v>22.756670141899878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52.884000000000157</v>
      </c>
      <c r="D116" s="11">
        <f t="shared" si="86"/>
        <v>15.356117032205747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526.76581568720349</v>
      </c>
      <c r="H116" s="67">
        <f t="shared" si="56"/>
        <v>412.1848704977586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197.99999999999994</v>
      </c>
      <c r="O116" s="13">
        <f>N116*VLOOKUP('Données projet'!$B$9,Paramètres!$A$1:$I$89,3,0)*VLOOKUP('Données projet'!$B$9,Paramètres!$A$1:$I$89,5,0)</f>
        <v>123.55199999999995</v>
      </c>
      <c r="P116" s="13">
        <f t="shared" si="87"/>
        <v>32.502033262579566</v>
      </c>
      <c r="Q116" s="20">
        <f t="shared" si="107"/>
        <v>271.79410793232597</v>
      </c>
      <c r="R116" s="59">
        <f t="shared" si="55"/>
        <v>565.12744126565929</v>
      </c>
      <c r="S116" s="59">
        <f ca="1">AVERAGE(OFFSET($R$3,0,0,'Données projet'!$E$9+1,1))-AVERAGE(OFFSET($H$3,0,0,'Données projet'!$E$9+1,1))</f>
        <v>168.81286953191102</v>
      </c>
      <c r="T116" s="59">
        <f t="shared" si="88"/>
        <v>255.78677933103666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9.7882546280104954</v>
      </c>
      <c r="AA116" s="21">
        <f>EXP(-LN(2)/25)*AA115+(1-EXP(-LN(2)/25))/(LN(2)/25)*Calculateur!V116*Calculateur!X116*VLOOKUP('Données projet'!$B$9,Paramètres!$A$1:$I$89,3,0)*0.475*44/12</f>
        <v>7.7105198870899949</v>
      </c>
      <c r="AB116" s="21">
        <f>EXP(-LN(2)/2)*AB115+(1-EXP(-LN(2)/2))/(LN(2)/2)*V116*Y116*VLOOKUP('Données projet'!$B$9,Paramètres!$A$1:$I$89,3,0)*0.475*44/12</f>
        <v>6.2985278513043661E-10</v>
      </c>
      <c r="AC116" s="22">
        <f t="shared" si="57"/>
        <v>17.498774515730343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435.00000000000023</v>
      </c>
      <c r="AJ116" s="13">
        <f>AI116*VLOOKUP('Données projet'!$B$10,Paramètres!$A$1:$I$89,3,0)*VLOOKUP('Données projet'!$B$10,Paramètres!$A$1:$I$89,5,0)</f>
        <v>260.13000000000017</v>
      </c>
      <c r="AK116" s="13">
        <f t="shared" si="89"/>
        <v>62.75008789651104</v>
      </c>
      <c r="AL116" s="20">
        <f t="shared" si="58"/>
        <v>562.349486419757</v>
      </c>
      <c r="AM116" s="59">
        <f t="shared" si="59"/>
        <v>855.68281975309037</v>
      </c>
      <c r="AN116" s="59">
        <f ca="1">AVERAGE(OFFSET($AM$3,0,0,'Données projet'!$E$10+1,1))-AVERAGE(OFFSET($H$3,0,0,'Données projet'!$E$10+1,1))</f>
        <v>247.08914525784144</v>
      </c>
      <c r="AO116" s="59">
        <f t="shared" si="90"/>
        <v>286.9617518796191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12.544141690902197</v>
      </c>
      <c r="AV116" s="21">
        <f>EXP(-LN(2)/25)*AV115+(1-EXP(-LN(2)/25))/(LN(2)/25)*Calculateur!AQ116*Calculateur!AS116*VLOOKUP('Données projet'!$B$10,Paramètres!$A$1:$I$89,3,0)*0.475*44/12</f>
        <v>7.361883508943194</v>
      </c>
      <c r="AW116" s="21">
        <f>EXP(-LN(2)/2)*AW115+(1-EXP(-LN(2)/2))/(LN(2)/2)*AQ116*AT116*VLOOKUP('Données projet'!$B$10,Paramètres!$A$1:$I$89,3,0)*0.475*44/12</f>
        <v>5.9153149434789977E-8</v>
      </c>
      <c r="AX116" s="21">
        <f t="shared" si="60"/>
        <v>19.90602525899854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318.99999999999994</v>
      </c>
      <c r="BE116" s="13">
        <f>BD116*VLOOKUP('Données projet'!$B$11,Paramètres!$A$1:$I$89,3,0)*VLOOKUP('Données projet'!$B$11,Paramètres!$A$1:$I$89,5,0)</f>
        <v>253.79639999999995</v>
      </c>
      <c r="BF116" s="13">
        <f t="shared" si="91"/>
        <v>61.398168322280704</v>
      </c>
      <c r="BG116" s="20">
        <f t="shared" si="61"/>
        <v>548.9638731613054</v>
      </c>
      <c r="BH116" s="59">
        <f t="shared" si="62"/>
        <v>842.29720649463866</v>
      </c>
      <c r="BI116" s="59">
        <f ca="1">AVERAGE(OFFSET($BH$3,0,0,'Données projet'!$E$11+1,1))-AVERAGE(OFFSET($H$3,0,0,'Données projet'!$E$11+1,1))</f>
        <v>280.45463274302153</v>
      </c>
      <c r="BJ116" s="59">
        <f t="shared" si="92"/>
        <v>276.06968650495287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21.278216078023313</v>
      </c>
      <c r="BQ116" s="21">
        <f>EXP(-LN(2)/25)*BQ115+(1-EXP(-LN(2)/25))/(LN(2)/25)*Calculateur!BL116*Calculateur!BN116*VLOOKUP('Données projet'!$B$11,Paramètres!$A$1:$I$89,3,0)*0.475*44/12</f>
        <v>1.0240560055636108</v>
      </c>
      <c r="BR116" s="21">
        <f>EXP(-LN(2)/2)*BR115+(1-EXP(-LN(2)/2))/(LN(2)/2)*BL116*BO116*VLOOKUP('Données projet'!$B$11,Paramètres!$A$1:$I$89,3,0)*0.475*44/12</f>
        <v>6.6171858199371414E-6</v>
      </c>
      <c r="BS116" s="22">
        <f t="shared" si="63"/>
        <v>22.302278700772746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53.35200000000016</v>
      </c>
      <c r="D117" s="11">
        <f t="shared" si="86"/>
        <v>15.476132071622883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531.30487914937089</v>
      </c>
      <c r="H117" s="67">
        <f t="shared" si="56"/>
        <v>413.20899669141011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197.99999999999994</v>
      </c>
      <c r="O117" s="13">
        <f>N117*VLOOKUP('Données projet'!$B$9,Paramètres!$A$1:$I$89,3,0)*VLOOKUP('Données projet'!$B$9,Paramètres!$A$1:$I$89,5,0)</f>
        <v>123.55199999999995</v>
      </c>
      <c r="P117" s="13">
        <f t="shared" si="87"/>
        <v>32.502033262579566</v>
      </c>
      <c r="Q117" s="20">
        <f t="shared" si="107"/>
        <v>271.79410793232597</v>
      </c>
      <c r="R117" s="59">
        <f t="shared" si="55"/>
        <v>565.12744126565929</v>
      </c>
      <c r="S117" s="59">
        <f ca="1">AVERAGE(OFFSET($R$3,0,0,'Données projet'!$E$9+1,1))-AVERAGE(OFFSET($H$3,0,0,'Données projet'!$E$9+1,1))</f>
        <v>168.81286953191102</v>
      </c>
      <c r="T117" s="59">
        <f t="shared" si="88"/>
        <v>255.78677933103666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9.5963129250010191</v>
      </c>
      <c r="AA117" s="21">
        <f>EXP(-LN(2)/25)*AA116+(1-EXP(-LN(2)/25))/(LN(2)/25)*Calculateur!V117*Calculateur!X117*VLOOKUP('Données projet'!$B$9,Paramètres!$A$1:$I$89,3,0)*0.475*44/12</f>
        <v>7.4996753152989006</v>
      </c>
      <c r="AB117" s="21">
        <f>EXP(-LN(2)/2)*AB116+(1-EXP(-LN(2)/2))/(LN(2)/2)*V117*Y117*VLOOKUP('Données projet'!$B$9,Paramètres!$A$1:$I$89,3,0)*0.475*44/12</f>
        <v>4.4537317551496518E-10</v>
      </c>
      <c r="AC117" s="22">
        <f t="shared" si="57"/>
        <v>17.095988240745292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435.00000000000023</v>
      </c>
      <c r="AJ117" s="13">
        <f>AI117*VLOOKUP('Données projet'!$B$10,Paramètres!$A$1:$I$89,3,0)*VLOOKUP('Données projet'!$B$10,Paramètres!$A$1:$I$89,5,0)</f>
        <v>260.13000000000017</v>
      </c>
      <c r="AK117" s="13">
        <f t="shared" si="89"/>
        <v>62.75008789651104</v>
      </c>
      <c r="AL117" s="20">
        <f t="shared" si="58"/>
        <v>562.349486419757</v>
      </c>
      <c r="AM117" s="59">
        <f t="shared" si="59"/>
        <v>855.68281975309037</v>
      </c>
      <c r="AN117" s="59">
        <f ca="1">AVERAGE(OFFSET($AM$3,0,0,'Données projet'!$E$10+1,1))-AVERAGE(OFFSET($H$3,0,0,'Données projet'!$E$10+1,1))</f>
        <v>247.08914525784144</v>
      </c>
      <c r="AO117" s="59">
        <f t="shared" si="90"/>
        <v>286.9617518796191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12.298158723514547</v>
      </c>
      <c r="AV117" s="21">
        <f>EXP(-LN(2)/25)*AV116+(1-EXP(-LN(2)/25))/(LN(2)/25)*Calculateur!AQ117*Calculateur!AS117*VLOOKUP('Données projet'!$B$10,Paramètres!$A$1:$I$89,3,0)*0.475*44/12</f>
        <v>7.1605724172465148</v>
      </c>
      <c r="AW117" s="21">
        <f>EXP(-LN(2)/2)*AW116+(1-EXP(-LN(2)/2))/(LN(2)/2)*AQ117*AT117*VLOOKUP('Données projet'!$B$10,Paramètres!$A$1:$I$89,3,0)*0.475*44/12</f>
        <v>4.182759309388119E-8</v>
      </c>
      <c r="AX117" s="21">
        <f t="shared" si="60"/>
        <v>19.458731182588654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318.99999999999994</v>
      </c>
      <c r="BE117" s="13">
        <f>BD117*VLOOKUP('Données projet'!$B$11,Paramètres!$A$1:$I$89,3,0)*VLOOKUP('Données projet'!$B$11,Paramètres!$A$1:$I$89,5,0)</f>
        <v>253.79639999999995</v>
      </c>
      <c r="BF117" s="13">
        <f t="shared" si="91"/>
        <v>61.398168322280704</v>
      </c>
      <c r="BG117" s="20">
        <f t="shared" si="61"/>
        <v>548.9638731613054</v>
      </c>
      <c r="BH117" s="59">
        <f t="shared" si="62"/>
        <v>842.29720649463866</v>
      </c>
      <c r="BI117" s="59">
        <f ca="1">AVERAGE(OFFSET($BH$3,0,0,'Données projet'!$E$11+1,1))-AVERAGE(OFFSET($H$3,0,0,'Données projet'!$E$11+1,1))</f>
        <v>280.45463274302153</v>
      </c>
      <c r="BJ117" s="59">
        <f t="shared" si="92"/>
        <v>276.06968650495287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20.860963239163571</v>
      </c>
      <c r="BQ117" s="21">
        <f>EXP(-LN(2)/25)*BQ116+(1-EXP(-LN(2)/25))/(LN(2)/25)*Calculateur!BL117*Calculateur!BN117*VLOOKUP('Données projet'!$B$11,Paramètres!$A$1:$I$89,3,0)*0.475*44/12</f>
        <v>0.99605314023870906</v>
      </c>
      <c r="BR117" s="21">
        <f>EXP(-LN(2)/2)*BR116+(1-EXP(-LN(2)/2))/(LN(2)/2)*BL117*BO117*VLOOKUP('Données projet'!$B$11,Paramètres!$A$1:$I$89,3,0)*0.475*44/12</f>
        <v>4.6790569656490173E-6</v>
      </c>
      <c r="BS117" s="22">
        <f t="shared" si="63"/>
        <v>21.857021058459242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53.820000000000164</v>
      </c>
      <c r="D118" s="11">
        <f t="shared" si="86"/>
        <v>15.596024630246307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535.84299714576218</v>
      </c>
      <c r="H118" s="67">
        <f t="shared" si="56"/>
        <v>414.2329095643459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197.99999999999994</v>
      </c>
      <c r="O118" s="13">
        <f>N118*VLOOKUP('Données projet'!$B$9,Paramètres!$A$1:$I$89,3,0)*VLOOKUP('Données projet'!$B$9,Paramètres!$A$1:$I$89,5,0)</f>
        <v>123.55199999999995</v>
      </c>
      <c r="P118" s="13">
        <f t="shared" si="87"/>
        <v>32.502033262579566</v>
      </c>
      <c r="Q118" s="20">
        <f t="shared" si="107"/>
        <v>271.79410793232597</v>
      </c>
      <c r="R118" s="59">
        <f t="shared" si="55"/>
        <v>565.12744126565929</v>
      </c>
      <c r="S118" s="59">
        <f ca="1">AVERAGE(OFFSET($R$3,0,0,'Données projet'!$E$9+1,1))-AVERAGE(OFFSET($H$3,0,0,'Données projet'!$E$9+1,1))</f>
        <v>168.81286953191102</v>
      </c>
      <c r="T118" s="59">
        <f t="shared" si="88"/>
        <v>255.78677933103666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9.4081350817146809</v>
      </c>
      <c r="AA118" s="21">
        <f>EXP(-LN(2)/25)*AA117+(1-EXP(-LN(2)/25))/(LN(2)/25)*Calculateur!V118*Calculateur!X118*VLOOKUP('Données projet'!$B$9,Paramètres!$A$1:$I$89,3,0)*0.475*44/12</f>
        <v>7.2945962994112685</v>
      </c>
      <c r="AB118" s="21">
        <f>EXP(-LN(2)/2)*AB117+(1-EXP(-LN(2)/2))/(LN(2)/2)*V118*Y118*VLOOKUP('Données projet'!$B$9,Paramètres!$A$1:$I$89,3,0)*0.475*44/12</f>
        <v>3.1492639256521831E-10</v>
      </c>
      <c r="AC118" s="22">
        <f t="shared" si="57"/>
        <v>16.702731381440877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435.00000000000023</v>
      </c>
      <c r="AJ118" s="13">
        <f>AI118*VLOOKUP('Données projet'!$B$10,Paramètres!$A$1:$I$89,3,0)*VLOOKUP('Données projet'!$B$10,Paramètres!$A$1:$I$89,5,0)</f>
        <v>260.13000000000017</v>
      </c>
      <c r="AK118" s="13">
        <f t="shared" si="89"/>
        <v>62.75008789651104</v>
      </c>
      <c r="AL118" s="20">
        <f t="shared" si="58"/>
        <v>562.349486419757</v>
      </c>
      <c r="AM118" s="59">
        <f t="shared" si="59"/>
        <v>855.68281975309037</v>
      </c>
      <c r="AN118" s="59">
        <f ca="1">AVERAGE(OFFSET($AM$3,0,0,'Données projet'!$E$10+1,1))-AVERAGE(OFFSET($H$3,0,0,'Données projet'!$E$10+1,1))</f>
        <v>247.08914525784144</v>
      </c>
      <c r="AO118" s="59">
        <f t="shared" si="90"/>
        <v>286.9617518796191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12.056999332082572</v>
      </c>
      <c r="AV118" s="21">
        <f>EXP(-LN(2)/25)*AV117+(1-EXP(-LN(2)/25))/(LN(2)/25)*Calculateur!AQ118*Calculateur!AS118*VLOOKUP('Données projet'!$B$10,Paramètres!$A$1:$I$89,3,0)*0.475*44/12</f>
        <v>6.9647661879387712</v>
      </c>
      <c r="AW118" s="21">
        <f>EXP(-LN(2)/2)*AW117+(1-EXP(-LN(2)/2))/(LN(2)/2)*AQ118*AT118*VLOOKUP('Données projet'!$B$10,Paramètres!$A$1:$I$89,3,0)*0.475*44/12</f>
        <v>2.9576574717394995E-8</v>
      </c>
      <c r="AX118" s="21">
        <f t="shared" si="60"/>
        <v>19.021765549597919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318.99999999999994</v>
      </c>
      <c r="BE118" s="13">
        <f>BD118*VLOOKUP('Données projet'!$B$11,Paramètres!$A$1:$I$89,3,0)*VLOOKUP('Données projet'!$B$11,Paramètres!$A$1:$I$89,5,0)</f>
        <v>253.79639999999995</v>
      </c>
      <c r="BF118" s="13">
        <f t="shared" si="91"/>
        <v>61.398168322280704</v>
      </c>
      <c r="BG118" s="20">
        <f t="shared" si="61"/>
        <v>548.9638731613054</v>
      </c>
      <c r="BH118" s="59">
        <f t="shared" si="62"/>
        <v>842.29720649463866</v>
      </c>
      <c r="BI118" s="59">
        <f ca="1">AVERAGE(OFFSET($BH$3,0,0,'Données projet'!$E$11+1,1))-AVERAGE(OFFSET($H$3,0,0,'Données projet'!$E$11+1,1))</f>
        <v>280.45463274302153</v>
      </c>
      <c r="BJ118" s="59">
        <f t="shared" si="92"/>
        <v>276.06968650495287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20.451892473974766</v>
      </c>
      <c r="BQ118" s="21">
        <f>EXP(-LN(2)/25)*BQ117+(1-EXP(-LN(2)/25))/(LN(2)/25)*Calculateur!BL118*Calculateur!BN118*VLOOKUP('Données projet'!$B$11,Paramètres!$A$1:$I$89,3,0)*0.475*44/12</f>
        <v>0.96881601473872347</v>
      </c>
      <c r="BR118" s="21">
        <f>EXP(-LN(2)/2)*BR117+(1-EXP(-LN(2)/2))/(LN(2)/2)*BL118*BO118*VLOOKUP('Données projet'!$B$11,Paramètres!$A$1:$I$89,3,0)*0.475*44/12</f>
        <v>3.3085929099685707E-6</v>
      </c>
      <c r="BS118" s="22">
        <f t="shared" si="63"/>
        <v>21.420711797306399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54.288000000000167</v>
      </c>
      <c r="D119" s="11">
        <f t="shared" si="86"/>
        <v>15.715795896526787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540.38017885038346</v>
      </c>
      <c r="H119" s="67">
        <f t="shared" si="56"/>
        <v>415.2566111864511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197.99999999999994</v>
      </c>
      <c r="O119" s="13">
        <f>N119*VLOOKUP('Données projet'!$B$9,Paramètres!$A$1:$I$89,3,0)*VLOOKUP('Données projet'!$B$9,Paramètres!$A$1:$I$89,5,0)</f>
        <v>123.55199999999995</v>
      </c>
      <c r="P119" s="13">
        <f t="shared" si="87"/>
        <v>32.502033262579566</v>
      </c>
      <c r="Q119" s="20">
        <f t="shared" si="107"/>
        <v>271.79410793232597</v>
      </c>
      <c r="R119" s="59">
        <f t="shared" si="55"/>
        <v>565.12744126565929</v>
      </c>
      <c r="S119" s="59">
        <f ca="1">AVERAGE(OFFSET($R$3,0,0,'Données projet'!$E$9+1,1))-AVERAGE(OFFSET($H$3,0,0,'Données projet'!$E$9+1,1))</f>
        <v>168.81286953191102</v>
      </c>
      <c r="T119" s="59">
        <f t="shared" si="88"/>
        <v>255.78677933103666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9.2236472911580361</v>
      </c>
      <c r="AA119" s="21">
        <f>EXP(-LN(2)/25)*AA118+(1-EXP(-LN(2)/25))/(LN(2)/25)*Calculateur!V119*Calculateur!X119*VLOOKUP('Données projet'!$B$9,Paramètres!$A$1:$I$89,3,0)*0.475*44/12</f>
        <v>7.0951251799977202</v>
      </c>
      <c r="AB119" s="21">
        <f>EXP(-LN(2)/2)*AB118+(1-EXP(-LN(2)/2))/(LN(2)/2)*V119*Y119*VLOOKUP('Données projet'!$B$9,Paramètres!$A$1:$I$89,3,0)*0.475*44/12</f>
        <v>2.2268658775748259E-10</v>
      </c>
      <c r="AC119" s="22">
        <f t="shared" si="57"/>
        <v>16.318772471378445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435.00000000000023</v>
      </c>
      <c r="AJ119" s="13">
        <f>AI119*VLOOKUP('Données projet'!$B$10,Paramètres!$A$1:$I$89,3,0)*VLOOKUP('Données projet'!$B$10,Paramètres!$A$1:$I$89,5,0)</f>
        <v>260.13000000000017</v>
      </c>
      <c r="AK119" s="13">
        <f t="shared" si="89"/>
        <v>62.75008789651104</v>
      </c>
      <c r="AL119" s="20">
        <f t="shared" si="58"/>
        <v>562.349486419757</v>
      </c>
      <c r="AM119" s="59">
        <f t="shared" si="59"/>
        <v>855.68281975309037</v>
      </c>
      <c r="AN119" s="59">
        <f ca="1">AVERAGE(OFFSET($AM$3,0,0,'Données projet'!$E$10+1,1))-AVERAGE(OFFSET($H$3,0,0,'Données projet'!$E$10+1,1))</f>
        <v>247.08914525784144</v>
      </c>
      <c r="AO119" s="59">
        <f t="shared" si="90"/>
        <v>286.9617518796191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11.820568929223874</v>
      </c>
      <c r="AV119" s="21">
        <f>EXP(-LN(2)/25)*AV118+(1-EXP(-LN(2)/25))/(LN(2)/25)*Calculateur!AQ119*Calculateur!AS119*VLOOKUP('Données projet'!$B$10,Paramètres!$A$1:$I$89,3,0)*0.475*44/12</f>
        <v>6.7743142902684497</v>
      </c>
      <c r="AW119" s="21">
        <f>EXP(-LN(2)/2)*AW118+(1-EXP(-LN(2)/2))/(LN(2)/2)*AQ119*AT119*VLOOKUP('Données projet'!$B$10,Paramètres!$A$1:$I$89,3,0)*0.475*44/12</f>
        <v>2.0913796546940598E-8</v>
      </c>
      <c r="AX119" s="21">
        <f t="shared" si="60"/>
        <v>18.594883240406119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318.99999999999994</v>
      </c>
      <c r="BE119" s="13">
        <f>BD119*VLOOKUP('Données projet'!$B$11,Paramètres!$A$1:$I$89,3,0)*VLOOKUP('Données projet'!$B$11,Paramètres!$A$1:$I$89,5,0)</f>
        <v>253.79639999999995</v>
      </c>
      <c r="BF119" s="13">
        <f t="shared" si="91"/>
        <v>61.398168322280704</v>
      </c>
      <c r="BG119" s="20">
        <f t="shared" si="61"/>
        <v>548.9638731613054</v>
      </c>
      <c r="BH119" s="59">
        <f t="shared" si="62"/>
        <v>842.29720649463866</v>
      </c>
      <c r="BI119" s="59">
        <f ca="1">AVERAGE(OFFSET($BH$3,0,0,'Données projet'!$E$11+1,1))-AVERAGE(OFFSET($H$3,0,0,'Données projet'!$E$11+1,1))</f>
        <v>280.45463274302153</v>
      </c>
      <c r="BJ119" s="59">
        <f t="shared" si="92"/>
        <v>276.06968650495287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20.050843336982783</v>
      </c>
      <c r="BQ119" s="21">
        <f>EXP(-LN(2)/25)*BQ118+(1-EXP(-LN(2)/25))/(LN(2)/25)*Calculateur!BL119*Calculateur!BN119*VLOOKUP('Données projet'!$B$11,Paramètres!$A$1:$I$89,3,0)*0.475*44/12</f>
        <v>0.94232368986787307</v>
      </c>
      <c r="BR119" s="21">
        <f>EXP(-LN(2)/2)*BR118+(1-EXP(-LN(2)/2))/(LN(2)/2)*BL119*BO119*VLOOKUP('Données projet'!$B$11,Paramètres!$A$1:$I$89,3,0)*0.475*44/12</f>
        <v>2.3395284828245086E-6</v>
      </c>
      <c r="BS119" s="22">
        <f t="shared" si="63"/>
        <v>20.993169366379139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54.756000000000171</v>
      </c>
      <c r="D120" s="11">
        <f t="shared" si="86"/>
        <v>15.835447037242094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544.91643326994028</v>
      </c>
      <c r="H120" s="67">
        <f t="shared" si="56"/>
        <v>416.28010358986359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197.99999999999994</v>
      </c>
      <c r="O120" s="13">
        <f>N120*VLOOKUP('Données projet'!$B$9,Paramètres!$A$1:$I$89,3,0)*VLOOKUP('Données projet'!$B$9,Paramètres!$A$1:$I$89,5,0)</f>
        <v>123.55199999999995</v>
      </c>
      <c r="P120" s="13">
        <f t="shared" si="87"/>
        <v>32.502033262579566</v>
      </c>
      <c r="Q120" s="20">
        <f t="shared" si="107"/>
        <v>271.79410793232597</v>
      </c>
      <c r="R120" s="59">
        <f t="shared" si="55"/>
        <v>565.12744126565929</v>
      </c>
      <c r="S120" s="59">
        <f ca="1">AVERAGE(OFFSET($R$3,0,0,'Données projet'!$E$9+1,1))-AVERAGE(OFFSET($H$3,0,0,'Données projet'!$E$9+1,1))</f>
        <v>168.81286953191102</v>
      </c>
      <c r="T120" s="59">
        <f t="shared" si="88"/>
        <v>255.78677933103666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9.0427771936477654</v>
      </c>
      <c r="AA120" s="21">
        <f>EXP(-LN(2)/25)*AA119+(1-EXP(-LN(2)/25))/(LN(2)/25)*Calculateur!V120*Calculateur!X120*VLOOKUP('Données projet'!$B$9,Paramètres!$A$1:$I$89,3,0)*0.475*44/12</f>
        <v>6.9011086088342655</v>
      </c>
      <c r="AB120" s="21">
        <f>EXP(-LN(2)/2)*AB119+(1-EXP(-LN(2)/2))/(LN(2)/2)*V120*Y120*VLOOKUP('Données projet'!$B$9,Paramètres!$A$1:$I$89,3,0)*0.475*44/12</f>
        <v>1.5746319628260915E-10</v>
      </c>
      <c r="AC120" s="22">
        <f t="shared" si="57"/>
        <v>15.943885802639494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435.00000000000023</v>
      </c>
      <c r="AJ120" s="13">
        <f>AI120*VLOOKUP('Données projet'!$B$10,Paramètres!$A$1:$I$89,3,0)*VLOOKUP('Données projet'!$B$10,Paramètres!$A$1:$I$89,5,0)</f>
        <v>260.13000000000017</v>
      </c>
      <c r="AK120" s="13">
        <f t="shared" si="89"/>
        <v>62.75008789651104</v>
      </c>
      <c r="AL120" s="20">
        <f t="shared" si="58"/>
        <v>562.349486419757</v>
      </c>
      <c r="AM120" s="59">
        <f t="shared" si="59"/>
        <v>855.68281975309037</v>
      </c>
      <c r="AN120" s="59">
        <f ca="1">AVERAGE(OFFSET($AM$3,0,0,'Données projet'!$E$10+1,1))-AVERAGE(OFFSET($H$3,0,0,'Données projet'!$E$10+1,1))</f>
        <v>247.08914525784144</v>
      </c>
      <c r="AO120" s="59">
        <f t="shared" si="90"/>
        <v>286.9617518796191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11.588774782356928</v>
      </c>
      <c r="AV120" s="21">
        <f>EXP(-LN(2)/25)*AV119+(1-EXP(-LN(2)/25))/(LN(2)/25)*Calculateur!AQ120*Calculateur!AS120*VLOOKUP('Données projet'!$B$10,Paramètres!$A$1:$I$89,3,0)*0.475*44/12</f>
        <v>6.5890703097553533</v>
      </c>
      <c r="AW120" s="21">
        <f>EXP(-LN(2)/2)*AW119+(1-EXP(-LN(2)/2))/(LN(2)/2)*AQ120*AT120*VLOOKUP('Données projet'!$B$10,Paramètres!$A$1:$I$89,3,0)*0.475*44/12</f>
        <v>1.4788287358697499E-8</v>
      </c>
      <c r="AX120" s="21">
        <f t="shared" si="60"/>
        <v>18.17784510690057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318.99999999999994</v>
      </c>
      <c r="BE120" s="13">
        <f>BD120*VLOOKUP('Données projet'!$B$11,Paramètres!$A$1:$I$89,3,0)*VLOOKUP('Données projet'!$B$11,Paramètres!$A$1:$I$89,5,0)</f>
        <v>253.79639999999995</v>
      </c>
      <c r="BF120" s="13">
        <f t="shared" si="91"/>
        <v>61.398168322280704</v>
      </c>
      <c r="BG120" s="20">
        <f t="shared" si="61"/>
        <v>548.9638731613054</v>
      </c>
      <c r="BH120" s="59">
        <f t="shared" si="62"/>
        <v>842.29720649463866</v>
      </c>
      <c r="BI120" s="59">
        <f ca="1">AVERAGE(OFFSET($BH$3,0,0,'Données projet'!$E$11+1,1))-AVERAGE(OFFSET($H$3,0,0,'Données projet'!$E$11+1,1))</f>
        <v>280.45463274302153</v>
      </c>
      <c r="BJ120" s="59">
        <f t="shared" si="92"/>
        <v>276.06968650495287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19.657658528951394</v>
      </c>
      <c r="BQ120" s="21">
        <f>EXP(-LN(2)/25)*BQ119+(1-EXP(-LN(2)/25))/(LN(2)/25)*Calculateur!BL120*Calculateur!BN120*VLOOKUP('Données projet'!$B$11,Paramètres!$A$1:$I$89,3,0)*0.475*44/12</f>
        <v>0.91655579901378692</v>
      </c>
      <c r="BR120" s="21">
        <f>EXP(-LN(2)/2)*BR119+(1-EXP(-LN(2)/2))/(LN(2)/2)*BL120*BO120*VLOOKUP('Données projet'!$B$11,Paramètres!$A$1:$I$89,3,0)*0.475*44/12</f>
        <v>1.6542964549842854E-6</v>
      </c>
      <c r="BS120" s="22">
        <f t="shared" si="63"/>
        <v>20.574215982261634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55.224000000000174</v>
      </c>
      <c r="D121" s="11">
        <f t="shared" si="86"/>
        <v>15.954979198073998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549.45176924829184</v>
      </c>
      <c r="H121" s="67">
        <f t="shared" si="56"/>
        <v>417.30338876997916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197.99999999999994</v>
      </c>
      <c r="O121" s="13">
        <f>N121*VLOOKUP('Données projet'!$B$9,Paramètres!$A$1:$I$89,3,0)*VLOOKUP('Données projet'!$B$9,Paramètres!$A$1:$I$89,5,0)</f>
        <v>123.55199999999995</v>
      </c>
      <c r="P121" s="13">
        <f t="shared" si="87"/>
        <v>32.502033262579566</v>
      </c>
      <c r="Q121" s="20">
        <f t="shared" si="107"/>
        <v>271.79410793232597</v>
      </c>
      <c r="R121" s="59">
        <f t="shared" si="55"/>
        <v>565.12744126565929</v>
      </c>
      <c r="S121" s="59">
        <f ca="1">AVERAGE(OFFSET($R$3,0,0,'Données projet'!$E$9+1,1))-AVERAGE(OFFSET($H$3,0,0,'Données projet'!$E$9+1,1))</f>
        <v>168.81286953191102</v>
      </c>
      <c r="T121" s="59">
        <f t="shared" si="88"/>
        <v>255.78677933103666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8.8654538484298051</v>
      </c>
      <c r="AA121" s="21">
        <f>EXP(-LN(2)/25)*AA120+(1-EXP(-LN(2)/25))/(LN(2)/25)*Calculateur!V121*Calculateur!X121*VLOOKUP('Données projet'!$B$9,Paramètres!$A$1:$I$89,3,0)*0.475*44/12</f>
        <v>6.712397431012163</v>
      </c>
      <c r="AB121" s="21">
        <f>EXP(-LN(2)/2)*AB120+(1-EXP(-LN(2)/2))/(LN(2)/2)*V121*Y121*VLOOKUP('Données projet'!$B$9,Paramètres!$A$1:$I$89,3,0)*0.475*44/12</f>
        <v>1.113432938787413E-10</v>
      </c>
      <c r="AC121" s="22">
        <f t="shared" si="57"/>
        <v>15.577851279553313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435.00000000000023</v>
      </c>
      <c r="AJ121" s="13">
        <f>AI121*VLOOKUP('Données projet'!$B$10,Paramètres!$A$1:$I$89,3,0)*VLOOKUP('Données projet'!$B$10,Paramètres!$A$1:$I$89,5,0)</f>
        <v>260.13000000000017</v>
      </c>
      <c r="AK121" s="13">
        <f t="shared" si="89"/>
        <v>62.75008789651104</v>
      </c>
      <c r="AL121" s="20">
        <f t="shared" si="58"/>
        <v>562.349486419757</v>
      </c>
      <c r="AM121" s="59">
        <f t="shared" si="59"/>
        <v>855.68281975309037</v>
      </c>
      <c r="AN121" s="59">
        <f ca="1">AVERAGE(OFFSET($AM$3,0,0,'Données projet'!$E$10+1,1))-AVERAGE(OFFSET($H$3,0,0,'Données projet'!$E$10+1,1))</f>
        <v>247.08914525784144</v>
      </c>
      <c r="AO121" s="59">
        <f t="shared" si="90"/>
        <v>286.9617518796191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11.361525977329574</v>
      </c>
      <c r="AV121" s="21">
        <f>EXP(-LN(2)/25)*AV120+(1-EXP(-LN(2)/25))/(LN(2)/25)*Calculateur!AQ121*Calculateur!AS121*VLOOKUP('Données projet'!$B$10,Paramètres!$A$1:$I$89,3,0)*0.475*44/12</f>
        <v>6.4088918356309454</v>
      </c>
      <c r="AW121" s="21">
        <f>EXP(-LN(2)/2)*AW120+(1-EXP(-LN(2)/2))/(LN(2)/2)*AQ121*AT121*VLOOKUP('Données projet'!$B$10,Paramètres!$A$1:$I$89,3,0)*0.475*44/12</f>
        <v>1.0456898273470301E-8</v>
      </c>
      <c r="AX121" s="21">
        <f t="shared" si="60"/>
        <v>17.770417823417418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318.99999999999994</v>
      </c>
      <c r="BE121" s="13">
        <f>BD121*VLOOKUP('Données projet'!$B$11,Paramètres!$A$1:$I$89,3,0)*VLOOKUP('Données projet'!$B$11,Paramètres!$A$1:$I$89,5,0)</f>
        <v>253.79639999999995</v>
      </c>
      <c r="BF121" s="13">
        <f t="shared" si="91"/>
        <v>61.398168322280704</v>
      </c>
      <c r="BG121" s="20">
        <f t="shared" si="61"/>
        <v>548.9638731613054</v>
      </c>
      <c r="BH121" s="59">
        <f t="shared" si="62"/>
        <v>842.29720649463866</v>
      </c>
      <c r="BI121" s="59">
        <f ca="1">AVERAGE(OFFSET($BH$3,0,0,'Données projet'!$E$11+1,1))-AVERAGE(OFFSET($H$3,0,0,'Données projet'!$E$11+1,1))</f>
        <v>280.45463274302153</v>
      </c>
      <c r="BJ121" s="59">
        <f t="shared" si="92"/>
        <v>276.06968650495287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19.272183835186446</v>
      </c>
      <c r="BQ121" s="21">
        <f>EXP(-LN(2)/25)*BQ120+(1-EXP(-LN(2)/25))/(LN(2)/25)*Calculateur!BL121*Calculateur!BN121*VLOOKUP('Données projet'!$B$11,Paramètres!$A$1:$I$89,3,0)*0.475*44/12</f>
        <v>0.89149253249018023</v>
      </c>
      <c r="BR121" s="21">
        <f>EXP(-LN(2)/2)*BR120+(1-EXP(-LN(2)/2))/(LN(2)/2)*BL121*BO121*VLOOKUP('Données projet'!$B$11,Paramètres!$A$1:$I$89,3,0)*0.475*44/12</f>
        <v>1.1697642414122543E-6</v>
      </c>
      <c r="BS121" s="22">
        <f t="shared" si="63"/>
        <v>20.163677537440869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55.692000000000178</v>
      </c>
      <c r="D122" s="11">
        <f t="shared" si="86"/>
        <v>16.074393504165254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553.98619547075066</v>
      </c>
      <c r="H122" s="67">
        <f t="shared" si="56"/>
        <v>418.32646868642144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197.99999999999994</v>
      </c>
      <c r="O122" s="13">
        <f>N122*VLOOKUP('Données projet'!$B$9,Paramètres!$A$1:$I$89,3,0)*VLOOKUP('Données projet'!$B$9,Paramètres!$A$1:$I$89,5,0)</f>
        <v>123.55199999999995</v>
      </c>
      <c r="P122" s="13">
        <f t="shared" si="87"/>
        <v>32.502033262579566</v>
      </c>
      <c r="Q122" s="20">
        <f t="shared" si="107"/>
        <v>271.79410793232597</v>
      </c>
      <c r="R122" s="59">
        <f t="shared" si="55"/>
        <v>565.12744126565929</v>
      </c>
      <c r="S122" s="59">
        <f ca="1">AVERAGE(OFFSET($R$3,0,0,'Données projet'!$E$9+1,1))-AVERAGE(OFFSET($H$3,0,0,'Données projet'!$E$9+1,1))</f>
        <v>168.81286953191102</v>
      </c>
      <c r="T122" s="59">
        <f t="shared" si="88"/>
        <v>255.78677933103666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8.6916077058550076</v>
      </c>
      <c r="AA122" s="21">
        <f>EXP(-LN(2)/25)*AA121+(1-EXP(-LN(2)/25))/(LN(2)/25)*Calculateur!V122*Calculateur!X122*VLOOKUP('Données projet'!$B$9,Paramètres!$A$1:$I$89,3,0)*0.475*44/12</f>
        <v>6.5288465702714955</v>
      </c>
      <c r="AB122" s="21">
        <f>EXP(-LN(2)/2)*AB121+(1-EXP(-LN(2)/2))/(LN(2)/2)*V122*Y122*VLOOKUP('Données projet'!$B$9,Paramètres!$A$1:$I$89,3,0)*0.475*44/12</f>
        <v>7.8731598141304576E-11</v>
      </c>
      <c r="AC122" s="22">
        <f t="shared" si="57"/>
        <v>15.220454276205235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435.00000000000023</v>
      </c>
      <c r="AJ122" s="13">
        <f>AI122*VLOOKUP('Données projet'!$B$10,Paramètres!$A$1:$I$89,3,0)*VLOOKUP('Données projet'!$B$10,Paramètres!$A$1:$I$89,5,0)</f>
        <v>260.13000000000017</v>
      </c>
      <c r="AK122" s="13">
        <f t="shared" si="89"/>
        <v>62.75008789651104</v>
      </c>
      <c r="AL122" s="20">
        <f t="shared" si="58"/>
        <v>562.349486419757</v>
      </c>
      <c r="AM122" s="59">
        <f t="shared" si="59"/>
        <v>855.68281975309037</v>
      </c>
      <c r="AN122" s="59">
        <f ca="1">AVERAGE(OFFSET($AM$3,0,0,'Données projet'!$E$10+1,1))-AVERAGE(OFFSET($H$3,0,0,'Données projet'!$E$10+1,1))</f>
        <v>247.08914525784144</v>
      </c>
      <c r="AO122" s="59">
        <f t="shared" si="90"/>
        <v>286.9617518796191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11.138733382760721</v>
      </c>
      <c r="AV122" s="21">
        <f>EXP(-LN(2)/25)*AV121+(1-EXP(-LN(2)/25))/(LN(2)/25)*Calculateur!AQ122*Calculateur!AS122*VLOOKUP('Données projet'!$B$10,Paramètres!$A$1:$I$89,3,0)*0.475*44/12</f>
        <v>6.2336403513566436</v>
      </c>
      <c r="AW122" s="21">
        <f>EXP(-LN(2)/2)*AW121+(1-EXP(-LN(2)/2))/(LN(2)/2)*AQ122*AT122*VLOOKUP('Données projet'!$B$10,Paramètres!$A$1:$I$89,3,0)*0.475*44/12</f>
        <v>7.3941436793487513E-9</v>
      </c>
      <c r="AX122" s="21">
        <f t="shared" si="60"/>
        <v>17.372373741511506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318.99999999999994</v>
      </c>
      <c r="BE122" s="13">
        <f>BD122*VLOOKUP('Données projet'!$B$11,Paramètres!$A$1:$I$89,3,0)*VLOOKUP('Données projet'!$B$11,Paramètres!$A$1:$I$89,5,0)</f>
        <v>253.79639999999995</v>
      </c>
      <c r="BF122" s="13">
        <f t="shared" si="91"/>
        <v>61.398168322280704</v>
      </c>
      <c r="BG122" s="20">
        <f t="shared" si="61"/>
        <v>548.9638731613054</v>
      </c>
      <c r="BH122" s="59">
        <f t="shared" si="62"/>
        <v>842.29720649463866</v>
      </c>
      <c r="BI122" s="59">
        <f ca="1">AVERAGE(OFFSET($BH$3,0,0,'Données projet'!$E$11+1,1))-AVERAGE(OFFSET($H$3,0,0,'Données projet'!$E$11+1,1))</f>
        <v>280.45463274302153</v>
      </c>
      <c r="BJ122" s="59">
        <f t="shared" si="92"/>
        <v>276.06968650495287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18.894268065049882</v>
      </c>
      <c r="BQ122" s="21">
        <f>EXP(-LN(2)/25)*BQ121+(1-EXP(-LN(2)/25))/(LN(2)/25)*Calculateur!BL122*Calculateur!BN122*VLOOKUP('Données projet'!$B$11,Paramètres!$A$1:$I$89,3,0)*0.475*44/12</f>
        <v>0.86711462230768155</v>
      </c>
      <c r="BR122" s="21">
        <f>EXP(-LN(2)/2)*BR121+(1-EXP(-LN(2)/2))/(LN(2)/2)*BL122*BO122*VLOOKUP('Données projet'!$B$11,Paramètres!$A$1:$I$89,3,0)*0.475*44/12</f>
        <v>8.2714822749214268E-7</v>
      </c>
      <c r="BS122" s="22">
        <f t="shared" si="63"/>
        <v>19.761383514505791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56.160000000000181</v>
      </c>
      <c r="D123" s="11">
        <f t="shared" si="86"/>
        <v>16.193691060657081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558.51972046823164</v>
      </c>
      <c r="H123" s="67">
        <f t="shared" si="56"/>
        <v>419.34934526397802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197.99999999999994</v>
      </c>
      <c r="O123" s="13">
        <f>N123*VLOOKUP('Données projet'!$B$9,Paramètres!$A$1:$I$89,3,0)*VLOOKUP('Données projet'!$B$9,Paramètres!$A$1:$I$89,5,0)</f>
        <v>123.55199999999995</v>
      </c>
      <c r="P123" s="13">
        <f t="shared" si="87"/>
        <v>32.502033262579566</v>
      </c>
      <c r="Q123" s="20">
        <f t="shared" si="107"/>
        <v>271.79410793232597</v>
      </c>
      <c r="R123" s="59">
        <f t="shared" si="55"/>
        <v>565.12744126565929</v>
      </c>
      <c r="S123" s="59">
        <f ca="1">AVERAGE(OFFSET($R$3,0,0,'Données projet'!$E$9+1,1))-AVERAGE(OFFSET($H$3,0,0,'Données projet'!$E$9+1,1))</f>
        <v>168.81286953191102</v>
      </c>
      <c r="T123" s="59">
        <f t="shared" si="88"/>
        <v>255.78677933103666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8.5211705801004261</v>
      </c>
      <c r="AA123" s="21">
        <f>EXP(-LN(2)/25)*AA122+(1-EXP(-LN(2)/25))/(LN(2)/25)*Calculateur!V123*Calculateur!X123*VLOOKUP('Données projet'!$B$9,Paramètres!$A$1:$I$89,3,0)*0.475*44/12</f>
        <v>6.3503149174703024</v>
      </c>
      <c r="AB123" s="21">
        <f>EXP(-LN(2)/2)*AB122+(1-EXP(-LN(2)/2))/(LN(2)/2)*V123*Y123*VLOOKUP('Données projet'!$B$9,Paramètres!$A$1:$I$89,3,0)*0.475*44/12</f>
        <v>5.5671646939370648E-11</v>
      </c>
      <c r="AC123" s="22">
        <f t="shared" si="57"/>
        <v>14.871485497626399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435.00000000000023</v>
      </c>
      <c r="AJ123" s="13">
        <f>AI123*VLOOKUP('Données projet'!$B$10,Paramètres!$A$1:$I$89,3,0)*VLOOKUP('Données projet'!$B$10,Paramètres!$A$1:$I$89,5,0)</f>
        <v>260.13000000000017</v>
      </c>
      <c r="AK123" s="13">
        <f t="shared" si="89"/>
        <v>62.75008789651104</v>
      </c>
      <c r="AL123" s="20">
        <f t="shared" si="58"/>
        <v>562.349486419757</v>
      </c>
      <c r="AM123" s="59">
        <f t="shared" si="59"/>
        <v>855.68281975309037</v>
      </c>
      <c r="AN123" s="59">
        <f ca="1">AVERAGE(OFFSET($AM$3,0,0,'Données projet'!$E$10+1,1))-AVERAGE(OFFSET($H$3,0,0,'Données projet'!$E$10+1,1))</f>
        <v>247.08914525784144</v>
      </c>
      <c r="AO123" s="59">
        <f t="shared" si="90"/>
        <v>286.9617518796191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10.920309615081299</v>
      </c>
      <c r="AV123" s="21">
        <f>EXP(-LN(2)/25)*AV122+(1-EXP(-LN(2)/25))/(LN(2)/25)*Calculateur!AQ123*Calculateur!AS123*VLOOKUP('Données projet'!$B$10,Paramètres!$A$1:$I$89,3,0)*0.475*44/12</f>
        <v>6.0631811281358976</v>
      </c>
      <c r="AW123" s="21">
        <f>EXP(-LN(2)/2)*AW122+(1-EXP(-LN(2)/2))/(LN(2)/2)*AQ123*AT123*VLOOKUP('Données projet'!$B$10,Paramètres!$A$1:$I$89,3,0)*0.475*44/12</f>
        <v>5.2284491367351512E-9</v>
      </c>
      <c r="AX123" s="21">
        <f t="shared" si="60"/>
        <v>16.983490748445647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318.99999999999994</v>
      </c>
      <c r="BE123" s="13">
        <f>BD123*VLOOKUP('Données projet'!$B$11,Paramètres!$A$1:$I$89,3,0)*VLOOKUP('Données projet'!$B$11,Paramètres!$A$1:$I$89,5,0)</f>
        <v>253.79639999999995</v>
      </c>
      <c r="BF123" s="13">
        <f t="shared" si="91"/>
        <v>61.398168322280704</v>
      </c>
      <c r="BG123" s="20">
        <f t="shared" si="61"/>
        <v>548.9638731613054</v>
      </c>
      <c r="BH123" s="59">
        <f t="shared" si="62"/>
        <v>842.29720649463866</v>
      </c>
      <c r="BI123" s="59">
        <f ca="1">AVERAGE(OFFSET($BH$3,0,0,'Données projet'!$E$11+1,1))-AVERAGE(OFFSET($H$3,0,0,'Données projet'!$E$11+1,1))</f>
        <v>280.45463274302153</v>
      </c>
      <c r="BJ123" s="59">
        <f t="shared" si="92"/>
        <v>276.06968650495287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18.523762992659837</v>
      </c>
      <c r="BQ123" s="21">
        <f>EXP(-LN(2)/25)*BQ122+(1-EXP(-LN(2)/25))/(LN(2)/25)*Calculateur!BL123*Calculateur!BN123*VLOOKUP('Données projet'!$B$11,Paramètres!$A$1:$I$89,3,0)*0.475*44/12</f>
        <v>0.8434033273611018</v>
      </c>
      <c r="BR123" s="21">
        <f>EXP(-LN(2)/2)*BR122+(1-EXP(-LN(2)/2))/(LN(2)/2)*BL123*BO123*VLOOKUP('Données projet'!$B$11,Paramètres!$A$1:$I$89,3,0)*0.475*44/12</f>
        <v>5.8488212070612716E-7</v>
      </c>
      <c r="BS123" s="22">
        <f t="shared" si="63"/>
        <v>19.367166904903058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56.628000000000185</v>
      </c>
      <c r="D124" s="11">
        <f t="shared" si="86"/>
        <v>16.312872953208569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563.05235262126064</v>
      </c>
      <c r="H124" s="67">
        <f t="shared" si="56"/>
        <v>420.37202039350524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197.99999999999994</v>
      </c>
      <c r="O124" s="13">
        <f>N124*VLOOKUP('Données projet'!$B$9,Paramètres!$A$1:$I$89,3,0)*VLOOKUP('Données projet'!$B$9,Paramètres!$A$1:$I$89,5,0)</f>
        <v>123.55199999999995</v>
      </c>
      <c r="P124" s="13">
        <f t="shared" si="87"/>
        <v>32.502033262579566</v>
      </c>
      <c r="Q124" s="20">
        <f t="shared" si="107"/>
        <v>271.79410793232597</v>
      </c>
      <c r="R124" s="59">
        <f t="shared" si="55"/>
        <v>565.12744126565929</v>
      </c>
      <c r="S124" s="59">
        <f ca="1">AVERAGE(OFFSET($R$3,0,0,'Données projet'!$E$9+1,1))-AVERAGE(OFFSET($H$3,0,0,'Données projet'!$E$9+1,1))</f>
        <v>168.81286953191102</v>
      </c>
      <c r="T124" s="59">
        <f t="shared" si="88"/>
        <v>255.78677933103666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8.3540756224255102</v>
      </c>
      <c r="AA124" s="21">
        <f>EXP(-LN(2)/25)*AA123+(1-EXP(-LN(2)/25))/(LN(2)/25)*Calculateur!V124*Calculateur!X124*VLOOKUP('Données projet'!$B$9,Paramètres!$A$1:$I$89,3,0)*0.475*44/12</f>
        <v>6.1766652221035292</v>
      </c>
      <c r="AB124" s="21">
        <f>EXP(-LN(2)/2)*AB123+(1-EXP(-LN(2)/2))/(LN(2)/2)*V124*Y124*VLOOKUP('Données projet'!$B$9,Paramètres!$A$1:$I$89,3,0)*0.475*44/12</f>
        <v>3.9365799070652288E-11</v>
      </c>
      <c r="AC124" s="22">
        <f t="shared" si="57"/>
        <v>14.530740844568404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435.00000000000023</v>
      </c>
      <c r="AJ124" s="13">
        <f>AI124*VLOOKUP('Données projet'!$B$10,Paramètres!$A$1:$I$89,3,0)*VLOOKUP('Données projet'!$B$10,Paramètres!$A$1:$I$89,5,0)</f>
        <v>260.13000000000017</v>
      </c>
      <c r="AK124" s="13">
        <f t="shared" si="89"/>
        <v>62.75008789651104</v>
      </c>
      <c r="AL124" s="20">
        <f t="shared" si="58"/>
        <v>562.349486419757</v>
      </c>
      <c r="AM124" s="59">
        <f t="shared" si="59"/>
        <v>855.68281975309037</v>
      </c>
      <c r="AN124" s="59">
        <f ca="1">AVERAGE(OFFSET($AM$3,0,0,'Données projet'!$E$10+1,1))-AVERAGE(OFFSET($H$3,0,0,'Données projet'!$E$10+1,1))</f>
        <v>247.08914525784144</v>
      </c>
      <c r="AO124" s="59">
        <f t="shared" si="90"/>
        <v>286.9617518796191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10.706169004260728</v>
      </c>
      <c r="AV124" s="21">
        <f>EXP(-LN(2)/25)*AV123+(1-EXP(-LN(2)/25))/(LN(2)/25)*Calculateur!AQ124*Calculateur!AS124*VLOOKUP('Données projet'!$B$10,Paramètres!$A$1:$I$89,3,0)*0.475*44/12</f>
        <v>5.8973831213381835</v>
      </c>
      <c r="AW124" s="21">
        <f>EXP(-LN(2)/2)*AW123+(1-EXP(-LN(2)/2))/(LN(2)/2)*AQ124*AT124*VLOOKUP('Données projet'!$B$10,Paramètres!$A$1:$I$89,3,0)*0.475*44/12</f>
        <v>3.6970718396743761E-9</v>
      </c>
      <c r="AX124" s="21">
        <f t="shared" si="60"/>
        <v>16.603552129295981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318.99999999999994</v>
      </c>
      <c r="BE124" s="13">
        <f>BD124*VLOOKUP('Données projet'!$B$11,Paramètres!$A$1:$I$89,3,0)*VLOOKUP('Données projet'!$B$11,Paramètres!$A$1:$I$89,5,0)</f>
        <v>253.79639999999995</v>
      </c>
      <c r="BF124" s="13">
        <f t="shared" si="91"/>
        <v>61.398168322280704</v>
      </c>
      <c r="BG124" s="20">
        <f t="shared" si="61"/>
        <v>548.9638731613054</v>
      </c>
      <c r="BH124" s="59">
        <f t="shared" si="62"/>
        <v>842.29720649463866</v>
      </c>
      <c r="BI124" s="59">
        <f ca="1">AVERAGE(OFFSET($BH$3,0,0,'Données projet'!$E$11+1,1))-AVERAGE(OFFSET($H$3,0,0,'Données projet'!$E$11+1,1))</f>
        <v>280.45463274302153</v>
      </c>
      <c r="BJ124" s="59">
        <f t="shared" si="92"/>
        <v>276.06968650495287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18.160523298753581</v>
      </c>
      <c r="BQ124" s="21">
        <f>EXP(-LN(2)/25)*BQ123+(1-EXP(-LN(2)/25))/(LN(2)/25)*Calculateur!BL124*Calculateur!BN124*VLOOKUP('Données projet'!$B$11,Paramètres!$A$1:$I$89,3,0)*0.475*44/12</f>
        <v>0.82034041902175914</v>
      </c>
      <c r="BR124" s="21">
        <f>EXP(-LN(2)/2)*BR123+(1-EXP(-LN(2)/2))/(LN(2)/2)*BL124*BO124*VLOOKUP('Données projet'!$B$11,Paramètres!$A$1:$I$89,3,0)*0.475*44/12</f>
        <v>4.1357411374607134E-7</v>
      </c>
      <c r="BS124" s="22">
        <f t="shared" si="63"/>
        <v>18.980864131349453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57.096000000000188</v>
      </c>
      <c r="D125" s="11">
        <f t="shared" si="86"/>
        <v>16.431940248498069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567.58410016384607</v>
      </c>
      <c r="H125" s="67">
        <f t="shared" si="56"/>
        <v>421.39449593280108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197.99999999999994</v>
      </c>
      <c r="O125" s="13">
        <f>N125*VLOOKUP('Données projet'!$B$9,Paramètres!$A$1:$I$89,3,0)*VLOOKUP('Données projet'!$B$9,Paramètres!$A$1:$I$89,5,0)</f>
        <v>123.55199999999995</v>
      </c>
      <c r="P125" s="13">
        <f t="shared" si="87"/>
        <v>32.502033262579566</v>
      </c>
      <c r="Q125" s="20">
        <f t="shared" si="107"/>
        <v>271.79410793232597</v>
      </c>
      <c r="R125" s="59">
        <f t="shared" si="55"/>
        <v>565.12744126565929</v>
      </c>
      <c r="S125" s="59">
        <f ca="1">AVERAGE(OFFSET($R$3,0,0,'Données projet'!$E$9+1,1))-AVERAGE(OFFSET($H$3,0,0,'Données projet'!$E$9+1,1))</f>
        <v>168.81286953191102</v>
      </c>
      <c r="T125" s="59">
        <f t="shared" si="88"/>
        <v>255.78677933103666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8.1902572949527386</v>
      </c>
      <c r="AA125" s="21">
        <f>EXP(-LN(2)/25)*AA124+(1-EXP(-LN(2)/25))/(LN(2)/25)*Calculateur!V125*Calculateur!X125*VLOOKUP('Données projet'!$B$9,Paramètres!$A$1:$I$89,3,0)*0.475*44/12</f>
        <v>6.007763986788401</v>
      </c>
      <c r="AB125" s="21">
        <f>EXP(-LN(2)/2)*AB124+(1-EXP(-LN(2)/2))/(LN(2)/2)*V125*Y125*VLOOKUP('Données projet'!$B$9,Paramètres!$A$1:$I$89,3,0)*0.475*44/12</f>
        <v>2.7835823469685324E-11</v>
      </c>
      <c r="AC125" s="22">
        <f t="shared" si="57"/>
        <v>14.198021281768975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435.00000000000023</v>
      </c>
      <c r="AJ125" s="13">
        <f>AI125*VLOOKUP('Données projet'!$B$10,Paramètres!$A$1:$I$89,3,0)*VLOOKUP('Données projet'!$B$10,Paramètres!$A$1:$I$89,5,0)</f>
        <v>260.13000000000017</v>
      </c>
      <c r="AK125" s="13">
        <f t="shared" si="89"/>
        <v>62.75008789651104</v>
      </c>
      <c r="AL125" s="20">
        <f t="shared" si="58"/>
        <v>562.349486419757</v>
      </c>
      <c r="AM125" s="59">
        <f t="shared" si="59"/>
        <v>855.68281975309037</v>
      </c>
      <c r="AN125" s="59">
        <f ca="1">AVERAGE(OFFSET($AM$3,0,0,'Données projet'!$E$10+1,1))-AVERAGE(OFFSET($H$3,0,0,'Données projet'!$E$10+1,1))</f>
        <v>247.08914525784144</v>
      </c>
      <c r="AO125" s="59">
        <f t="shared" si="90"/>
        <v>286.9617518796191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10.496227560205472</v>
      </c>
      <c r="AV125" s="21">
        <f>EXP(-LN(2)/25)*AV124+(1-EXP(-LN(2)/25))/(LN(2)/25)*Calculateur!AQ125*Calculateur!AS125*VLOOKUP('Données projet'!$B$10,Paramètres!$A$1:$I$89,3,0)*0.475*44/12</f>
        <v>5.7361188697552912</v>
      </c>
      <c r="AW125" s="21">
        <f>EXP(-LN(2)/2)*AW124+(1-EXP(-LN(2)/2))/(LN(2)/2)*AQ125*AT125*VLOOKUP('Données projet'!$B$10,Paramètres!$A$1:$I$89,3,0)*0.475*44/12</f>
        <v>2.614224568367576E-9</v>
      </c>
      <c r="AX125" s="21">
        <f t="shared" si="60"/>
        <v>16.232346432574989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318.99999999999994</v>
      </c>
      <c r="BE125" s="13">
        <f>BD125*VLOOKUP('Données projet'!$B$11,Paramètres!$A$1:$I$89,3,0)*VLOOKUP('Données projet'!$B$11,Paramètres!$A$1:$I$89,5,0)</f>
        <v>253.79639999999995</v>
      </c>
      <c r="BF125" s="13">
        <f t="shared" si="91"/>
        <v>61.398168322280704</v>
      </c>
      <c r="BG125" s="20">
        <f t="shared" si="61"/>
        <v>548.9638731613054</v>
      </c>
      <c r="BH125" s="59">
        <f t="shared" si="62"/>
        <v>842.29720649463866</v>
      </c>
      <c r="BI125" s="59">
        <f ca="1">AVERAGE(OFFSET($BH$3,0,0,'Données projet'!$E$11+1,1))-AVERAGE(OFFSET($H$3,0,0,'Données projet'!$E$11+1,1))</f>
        <v>280.45463274302153</v>
      </c>
      <c r="BJ125" s="59">
        <f t="shared" si="92"/>
        <v>276.06968650495287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17.804406513690491</v>
      </c>
      <c r="BQ125" s="21">
        <f>EXP(-LN(2)/25)*BQ124+(1-EXP(-LN(2)/25))/(LN(2)/25)*Calculateur!BL125*Calculateur!BN125*VLOOKUP('Données projet'!$B$11,Paramètres!$A$1:$I$89,3,0)*0.475*44/12</f>
        <v>0.79790816712378143</v>
      </c>
      <c r="BR125" s="21">
        <f>EXP(-LN(2)/2)*BR124+(1-EXP(-LN(2)/2))/(LN(2)/2)*BL125*BO125*VLOOKUP('Données projet'!$B$11,Paramètres!$A$1:$I$89,3,0)*0.475*44/12</f>
        <v>2.9244106035306358E-7</v>
      </c>
      <c r="BS125" s="22">
        <f t="shared" si="63"/>
        <v>18.602314973255336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57.564000000000192</v>
      </c>
      <c r="D126" s="11">
        <f t="shared" si="86"/>
        <v>16.55089399470792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572.11497118722059</v>
      </c>
      <c r="H126" s="67">
        <f t="shared" si="56"/>
        <v>422.41677370744992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197.99999999999994</v>
      </c>
      <c r="O126" s="13">
        <f>N126*VLOOKUP('Données projet'!$B$9,Paramètres!$A$1:$I$89,3,0)*VLOOKUP('Données projet'!$B$9,Paramètres!$A$1:$I$89,5,0)</f>
        <v>123.55199999999995</v>
      </c>
      <c r="P126" s="13">
        <f t="shared" si="87"/>
        <v>32.502033262579566</v>
      </c>
      <c r="Q126" s="20">
        <f t="shared" si="107"/>
        <v>271.79410793232597</v>
      </c>
      <c r="R126" s="59">
        <f t="shared" si="55"/>
        <v>565.12744126565929</v>
      </c>
      <c r="S126" s="59">
        <f ca="1">AVERAGE(OFFSET($R$3,0,0,'Données projet'!$E$9+1,1))-AVERAGE(OFFSET($H$3,0,0,'Données projet'!$E$9+1,1))</f>
        <v>168.81286953191102</v>
      </c>
      <c r="T126" s="59">
        <f t="shared" si="88"/>
        <v>255.78677933103666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8.0296513449623941</v>
      </c>
      <c r="AA126" s="21">
        <f>EXP(-LN(2)/25)*AA125+(1-EXP(-LN(2)/25))/(LN(2)/25)*Calculateur!V126*Calculateur!X126*VLOOKUP('Données projet'!$B$9,Paramètres!$A$1:$I$89,3,0)*0.475*44/12</f>
        <v>5.8434813646350952</v>
      </c>
      <c r="AB126" s="21">
        <f>EXP(-LN(2)/2)*AB125+(1-EXP(-LN(2)/2))/(LN(2)/2)*V126*Y126*VLOOKUP('Données projet'!$B$9,Paramètres!$A$1:$I$89,3,0)*0.475*44/12</f>
        <v>1.9682899535326144E-11</v>
      </c>
      <c r="AC126" s="22">
        <f t="shared" si="57"/>
        <v>13.87313270961717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435.00000000000023</v>
      </c>
      <c r="AJ126" s="13">
        <f>AI126*VLOOKUP('Données projet'!$B$10,Paramètres!$A$1:$I$89,3,0)*VLOOKUP('Données projet'!$B$10,Paramètres!$A$1:$I$89,5,0)</f>
        <v>260.13000000000017</v>
      </c>
      <c r="AK126" s="13">
        <f t="shared" si="89"/>
        <v>62.75008789651104</v>
      </c>
      <c r="AL126" s="20">
        <f t="shared" si="58"/>
        <v>562.349486419757</v>
      </c>
      <c r="AM126" s="59">
        <f t="shared" si="59"/>
        <v>855.68281975309037</v>
      </c>
      <c r="AN126" s="59">
        <f ca="1">AVERAGE(OFFSET($AM$3,0,0,'Données projet'!$E$10+1,1))-AVERAGE(OFFSET($H$3,0,0,'Données projet'!$E$10+1,1))</f>
        <v>247.08914525784144</v>
      </c>
      <c r="AO126" s="59">
        <f t="shared" si="90"/>
        <v>286.9617518796191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10.290402939816504</v>
      </c>
      <c r="AV126" s="21">
        <f>EXP(-LN(2)/25)*AV125+(1-EXP(-LN(2)/25))/(LN(2)/25)*Calculateur!AQ126*Calculateur!AS126*VLOOKUP('Données projet'!$B$10,Paramètres!$A$1:$I$89,3,0)*0.475*44/12</f>
        <v>5.5792643976124516</v>
      </c>
      <c r="AW126" s="21">
        <f>EXP(-LN(2)/2)*AW125+(1-EXP(-LN(2)/2))/(LN(2)/2)*AQ126*AT126*VLOOKUP('Données projet'!$B$10,Paramètres!$A$1:$I$89,3,0)*0.475*44/12</f>
        <v>1.8485359198371882E-9</v>
      </c>
      <c r="AX126" s="21">
        <f t="shared" si="60"/>
        <v>15.869667339277491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318.99999999999994</v>
      </c>
      <c r="BE126" s="13">
        <f>BD126*VLOOKUP('Données projet'!$B$11,Paramètres!$A$1:$I$89,3,0)*VLOOKUP('Données projet'!$B$11,Paramètres!$A$1:$I$89,5,0)</f>
        <v>253.79639999999995</v>
      </c>
      <c r="BF126" s="13">
        <f t="shared" si="91"/>
        <v>61.398168322280704</v>
      </c>
      <c r="BG126" s="20">
        <f t="shared" si="61"/>
        <v>548.9638731613054</v>
      </c>
      <c r="BH126" s="59">
        <f t="shared" si="62"/>
        <v>842.29720649463866</v>
      </c>
      <c r="BI126" s="59">
        <f ca="1">AVERAGE(OFFSET($BH$3,0,0,'Données projet'!$E$11+1,1))-AVERAGE(OFFSET($H$3,0,0,'Données projet'!$E$11+1,1))</f>
        <v>280.45463274302153</v>
      </c>
      <c r="BJ126" s="59">
        <f t="shared" si="92"/>
        <v>276.06968650495287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17.455272961572696</v>
      </c>
      <c r="BQ126" s="21">
        <f>EXP(-LN(2)/25)*BQ125+(1-EXP(-LN(2)/25))/(LN(2)/25)*Calculateur!BL126*Calculateur!BN126*VLOOKUP('Données projet'!$B$11,Paramètres!$A$1:$I$89,3,0)*0.475*44/12</f>
        <v>0.77608932633361472</v>
      </c>
      <c r="BR126" s="21">
        <f>EXP(-LN(2)/2)*BR125+(1-EXP(-LN(2)/2))/(LN(2)/2)*BL126*BO126*VLOOKUP('Données projet'!$B$11,Paramètres!$A$1:$I$89,3,0)*0.475*44/12</f>
        <v>2.0678705687303567E-7</v>
      </c>
      <c r="BS126" s="22">
        <f t="shared" si="63"/>
        <v>18.231362494693368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58.032000000000195</v>
      </c>
      <c r="D127" s="11">
        <f t="shared" si="86"/>
        <v>16.669735221992848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576.64497364345516</v>
      </c>
      <c r="H127" s="67">
        <f t="shared" si="56"/>
        <v>423.43885551163788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197.99999999999994</v>
      </c>
      <c r="O127" s="13">
        <f>N127*VLOOKUP('Données projet'!$B$9,Paramètres!$A$1:$I$89,3,0)*VLOOKUP('Données projet'!$B$9,Paramètres!$A$1:$I$89,5,0)</f>
        <v>123.55199999999995</v>
      </c>
      <c r="P127" s="13">
        <f t="shared" si="87"/>
        <v>32.502033262579566</v>
      </c>
      <c r="Q127" s="20">
        <f t="shared" si="107"/>
        <v>271.79410793232597</v>
      </c>
      <c r="R127" s="59">
        <f t="shared" si="55"/>
        <v>565.12744126565929</v>
      </c>
      <c r="S127" s="59">
        <f ca="1">AVERAGE(OFFSET($R$3,0,0,'Données projet'!$E$9+1,1))-AVERAGE(OFFSET($H$3,0,0,'Données projet'!$E$9+1,1))</f>
        <v>168.81286953191102</v>
      </c>
      <c r="T127" s="59">
        <f t="shared" si="88"/>
        <v>255.78677933103666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7.8721947796914034</v>
      </c>
      <c r="AA127" s="21">
        <f>EXP(-LN(2)/25)*AA126+(1-EXP(-LN(2)/25))/(LN(2)/25)*Calculateur!V127*Calculateur!X127*VLOOKUP('Données projet'!$B$9,Paramètres!$A$1:$I$89,3,0)*0.475*44/12</f>
        <v>5.6836910594238192</v>
      </c>
      <c r="AB127" s="21">
        <f>EXP(-LN(2)/2)*AB126+(1-EXP(-LN(2)/2))/(LN(2)/2)*V127*Y127*VLOOKUP('Données projet'!$B$9,Paramètres!$A$1:$I$89,3,0)*0.475*44/12</f>
        <v>1.3917911734842662E-11</v>
      </c>
      <c r="AC127" s="22">
        <f t="shared" si="57"/>
        <v>13.555885839129141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435.00000000000023</v>
      </c>
      <c r="AJ127" s="13">
        <f>AI127*VLOOKUP('Données projet'!$B$10,Paramètres!$A$1:$I$89,3,0)*VLOOKUP('Données projet'!$B$10,Paramètres!$A$1:$I$89,5,0)</f>
        <v>260.13000000000017</v>
      </c>
      <c r="AK127" s="13">
        <f t="shared" si="89"/>
        <v>62.75008789651104</v>
      </c>
      <c r="AL127" s="20">
        <f t="shared" si="58"/>
        <v>562.349486419757</v>
      </c>
      <c r="AM127" s="59">
        <f t="shared" si="59"/>
        <v>855.68281975309037</v>
      </c>
      <c r="AN127" s="59">
        <f ca="1">AVERAGE(OFFSET($AM$3,0,0,'Données projet'!$E$10+1,1))-AVERAGE(OFFSET($H$3,0,0,'Données projet'!$E$10+1,1))</f>
        <v>247.08914525784144</v>
      </c>
      <c r="AO127" s="59">
        <f t="shared" si="90"/>
        <v>286.9617518796191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10.08861441469274</v>
      </c>
      <c r="AV127" s="21">
        <f>EXP(-LN(2)/25)*AV126+(1-EXP(-LN(2)/25))/(LN(2)/25)*Calculateur!AQ127*Calculateur!AS127*VLOOKUP('Données projet'!$B$10,Paramètres!$A$1:$I$89,3,0)*0.475*44/12</f>
        <v>5.4266991192589762</v>
      </c>
      <c r="AW127" s="21">
        <f>EXP(-LN(2)/2)*AW126+(1-EXP(-LN(2)/2))/(LN(2)/2)*AQ127*AT127*VLOOKUP('Données projet'!$B$10,Paramètres!$A$1:$I$89,3,0)*0.475*44/12</f>
        <v>1.3071122841837882E-9</v>
      </c>
      <c r="AX127" s="21">
        <f t="shared" si="60"/>
        <v>15.515313535258828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318.99999999999994</v>
      </c>
      <c r="BE127" s="13">
        <f>BD127*VLOOKUP('Données projet'!$B$11,Paramètres!$A$1:$I$89,3,0)*VLOOKUP('Données projet'!$B$11,Paramètres!$A$1:$I$89,5,0)</f>
        <v>253.79639999999995</v>
      </c>
      <c r="BF127" s="13">
        <f t="shared" si="91"/>
        <v>61.398168322280704</v>
      </c>
      <c r="BG127" s="20">
        <f t="shared" si="61"/>
        <v>548.9638731613054</v>
      </c>
      <c r="BH127" s="59">
        <f t="shared" si="62"/>
        <v>842.29720649463866</v>
      </c>
      <c r="BI127" s="59">
        <f ca="1">AVERAGE(OFFSET($BH$3,0,0,'Données projet'!$E$11+1,1))-AVERAGE(OFFSET($H$3,0,0,'Données projet'!$E$11+1,1))</f>
        <v>280.45463274302153</v>
      </c>
      <c r="BJ127" s="59">
        <f t="shared" si="92"/>
        <v>276.06968650495287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17.11298570546149</v>
      </c>
      <c r="BQ127" s="21">
        <f>EXP(-LN(2)/25)*BQ126+(1-EXP(-LN(2)/25))/(LN(2)/25)*Calculateur!BL127*Calculateur!BN127*VLOOKUP('Données projet'!$B$11,Paramètres!$A$1:$I$89,3,0)*0.475*44/12</f>
        <v>0.7548671228922581</v>
      </c>
      <c r="BR127" s="21">
        <f>EXP(-LN(2)/2)*BR126+(1-EXP(-LN(2)/2))/(LN(2)/2)*BL127*BO127*VLOOKUP('Données projet'!$B$11,Paramètres!$A$1:$I$89,3,0)*0.475*44/12</f>
        <v>1.4622053017653179E-7</v>
      </c>
      <c r="BS127" s="22">
        <f t="shared" si="63"/>
        <v>17.867852974574276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58.500000000000199</v>
      </c>
      <c r="D128" s="11">
        <f t="shared" si="86"/>
        <v>16.788464942932855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581.17411534895689</v>
      </c>
      <c r="H128" s="67">
        <f t="shared" si="56"/>
        <v>424.4607431089417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197.99999999999994</v>
      </c>
      <c r="O128" s="13">
        <f>N128*VLOOKUP('Données projet'!$B$9,Paramètres!$A$1:$I$89,3,0)*VLOOKUP('Données projet'!$B$9,Paramètres!$A$1:$I$89,5,0)</f>
        <v>123.55199999999995</v>
      </c>
      <c r="P128" s="13">
        <f t="shared" si="87"/>
        <v>32.502033262579566</v>
      </c>
      <c r="Q128" s="20">
        <f t="shared" si="107"/>
        <v>271.79410793232597</v>
      </c>
      <c r="R128" s="59">
        <f t="shared" si="55"/>
        <v>565.12744126565929</v>
      </c>
      <c r="S128" s="59">
        <f ca="1">AVERAGE(OFFSET($R$3,0,0,'Données projet'!$E$9+1,1))-AVERAGE(OFFSET($H$3,0,0,'Données projet'!$E$9+1,1))</f>
        <v>168.81286953191102</v>
      </c>
      <c r="T128" s="59">
        <f t="shared" si="88"/>
        <v>255.78677933103666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7.7178258416263557</v>
      </c>
      <c r="AA128" s="21">
        <f>EXP(-LN(2)/25)*AA127+(1-EXP(-LN(2)/25))/(LN(2)/25)*Calculateur!V128*Calculateur!X128*VLOOKUP('Données projet'!$B$9,Paramètres!$A$1:$I$89,3,0)*0.475*44/12</f>
        <v>5.5282702285115519</v>
      </c>
      <c r="AB128" s="21">
        <f>EXP(-LN(2)/2)*AB127+(1-EXP(-LN(2)/2))/(LN(2)/2)*V128*Y128*VLOOKUP('Données projet'!$B$9,Paramètres!$A$1:$I$89,3,0)*0.475*44/12</f>
        <v>9.8414497676630721E-12</v>
      </c>
      <c r="AC128" s="22">
        <f t="shared" si="57"/>
        <v>13.246096070147749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435.00000000000023</v>
      </c>
      <c r="AJ128" s="13">
        <f>AI128*VLOOKUP('Données projet'!$B$10,Paramètres!$A$1:$I$89,3,0)*VLOOKUP('Données projet'!$B$10,Paramètres!$A$1:$I$89,5,0)</f>
        <v>260.13000000000017</v>
      </c>
      <c r="AK128" s="13">
        <f t="shared" si="89"/>
        <v>62.75008789651104</v>
      </c>
      <c r="AL128" s="20">
        <f t="shared" si="58"/>
        <v>562.349486419757</v>
      </c>
      <c r="AM128" s="59">
        <f t="shared" si="59"/>
        <v>855.68281975309037</v>
      </c>
      <c r="AN128" s="59">
        <f ca="1">AVERAGE(OFFSET($AM$3,0,0,'Données projet'!$E$10+1,1))-AVERAGE(OFFSET($H$3,0,0,'Données projet'!$E$10+1,1))</f>
        <v>247.08914525784144</v>
      </c>
      <c r="AO128" s="59">
        <f t="shared" si="90"/>
        <v>286.9617518796191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9.890782839467807</v>
      </c>
      <c r="AV128" s="21">
        <f>EXP(-LN(2)/25)*AV127+(1-EXP(-LN(2)/25))/(LN(2)/25)*Calculateur!AQ128*Calculateur!AS128*VLOOKUP('Données projet'!$B$10,Paramètres!$A$1:$I$89,3,0)*0.475*44/12</f>
        <v>5.2783057464651355</v>
      </c>
      <c r="AW128" s="21">
        <f>EXP(-LN(2)/2)*AW127+(1-EXP(-LN(2)/2))/(LN(2)/2)*AQ128*AT128*VLOOKUP('Données projet'!$B$10,Paramètres!$A$1:$I$89,3,0)*0.475*44/12</f>
        <v>9.2426795991859433E-10</v>
      </c>
      <c r="AX128" s="21">
        <f t="shared" si="60"/>
        <v>15.169088586857212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318.99999999999994</v>
      </c>
      <c r="BE128" s="13">
        <f>BD128*VLOOKUP('Données projet'!$B$11,Paramètres!$A$1:$I$89,3,0)*VLOOKUP('Données projet'!$B$11,Paramètres!$A$1:$I$89,5,0)</f>
        <v>253.79639999999995</v>
      </c>
      <c r="BF128" s="13">
        <f t="shared" si="91"/>
        <v>61.398168322280704</v>
      </c>
      <c r="BG128" s="20">
        <f t="shared" si="61"/>
        <v>548.9638731613054</v>
      </c>
      <c r="BH128" s="59">
        <f t="shared" si="62"/>
        <v>842.29720649463866</v>
      </c>
      <c r="BI128" s="59">
        <f ca="1">AVERAGE(OFFSET($BH$3,0,0,'Données projet'!$E$11+1,1))-AVERAGE(OFFSET($H$3,0,0,'Données projet'!$E$11+1,1))</f>
        <v>280.45463274302153</v>
      </c>
      <c r="BJ128" s="59">
        <f t="shared" si="92"/>
        <v>276.06968650495287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16.777410493668015</v>
      </c>
      <c r="BQ128" s="21">
        <f>EXP(-LN(2)/25)*BQ127+(1-EXP(-LN(2)/25))/(LN(2)/25)*Calculateur!BL128*Calculateur!BN128*VLOOKUP('Données projet'!$B$11,Paramètres!$A$1:$I$89,3,0)*0.475*44/12</f>
        <v>0.73422524172003256</v>
      </c>
      <c r="BR128" s="21">
        <f>EXP(-LN(2)/2)*BR127+(1-EXP(-LN(2)/2))/(LN(2)/2)*BL128*BO128*VLOOKUP('Données projet'!$B$11,Paramètres!$A$1:$I$89,3,0)*0.475*44/12</f>
        <v>1.0339352843651783E-7</v>
      </c>
      <c r="BS128" s="22">
        <f t="shared" si="63"/>
        <v>17.511635838781576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58.968000000000202</v>
      </c>
      <c r="D129" s="11">
        <f t="shared" si="86"/>
        <v>16.907084152971169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585.70240398784915</v>
      </c>
      <c r="H129" s="67">
        <f t="shared" si="56"/>
        <v>425.48243823309178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197.99999999999994</v>
      </c>
      <c r="O129" s="13">
        <f>N129*VLOOKUP('Données projet'!$B$9,Paramètres!$A$1:$I$89,3,0)*VLOOKUP('Données projet'!$B$9,Paramètres!$A$1:$I$89,5,0)</f>
        <v>123.55199999999995</v>
      </c>
      <c r="P129" s="13">
        <f t="shared" si="87"/>
        <v>32.502033262579566</v>
      </c>
      <c r="Q129" s="20">
        <f t="shared" si="107"/>
        <v>271.79410793232597</v>
      </c>
      <c r="R129" s="59">
        <f t="shared" si="55"/>
        <v>565.12744126565929</v>
      </c>
      <c r="S129" s="59">
        <f ca="1">AVERAGE(OFFSET($R$3,0,0,'Données projet'!$E$9+1,1))-AVERAGE(OFFSET($H$3,0,0,'Données projet'!$E$9+1,1))</f>
        <v>168.81286953191102</v>
      </c>
      <c r="T129" s="59">
        <f t="shared" si="88"/>
        <v>255.78677933103666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7.5664839842810085</v>
      </c>
      <c r="AA129" s="21">
        <f>EXP(-LN(2)/25)*AA128+(1-EXP(-LN(2)/25))/(LN(2)/25)*Calculateur!V129*Calculateur!X129*VLOOKUP('Données projet'!$B$9,Paramètres!$A$1:$I$89,3,0)*0.475*44/12</f>
        <v>5.3770993883938072</v>
      </c>
      <c r="AB129" s="21">
        <f>EXP(-LN(2)/2)*AB128+(1-EXP(-LN(2)/2))/(LN(2)/2)*V129*Y129*VLOOKUP('Données projet'!$B$9,Paramètres!$A$1:$I$89,3,0)*0.475*44/12</f>
        <v>6.9589558674213309E-12</v>
      </c>
      <c r="AC129" s="22">
        <f t="shared" si="57"/>
        <v>12.943583372681776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435.00000000000023</v>
      </c>
      <c r="AJ129" s="13">
        <f>AI129*VLOOKUP('Données projet'!$B$10,Paramètres!$A$1:$I$89,3,0)*VLOOKUP('Données projet'!$B$10,Paramètres!$A$1:$I$89,5,0)</f>
        <v>260.13000000000017</v>
      </c>
      <c r="AK129" s="13">
        <f t="shared" si="89"/>
        <v>62.75008789651104</v>
      </c>
      <c r="AL129" s="20">
        <f t="shared" si="58"/>
        <v>562.349486419757</v>
      </c>
      <c r="AM129" s="59">
        <f t="shared" si="59"/>
        <v>855.68281975309037</v>
      </c>
      <c r="AN129" s="59">
        <f ca="1">AVERAGE(OFFSET($AM$3,0,0,'Données projet'!$E$10+1,1))-AVERAGE(OFFSET($H$3,0,0,'Données projet'!$E$10+1,1))</f>
        <v>247.08914525784144</v>
      </c>
      <c r="AO129" s="59">
        <f t="shared" si="90"/>
        <v>286.9617518796191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9.6968306207676882</v>
      </c>
      <c r="AV129" s="21">
        <f>EXP(-LN(2)/25)*AV128+(1-EXP(-LN(2)/25))/(LN(2)/25)*Calculateur!AQ129*Calculateur!AS129*VLOOKUP('Données projet'!$B$10,Paramètres!$A$1:$I$89,3,0)*0.475*44/12</f>
        <v>5.1339701982540111</v>
      </c>
      <c r="AW129" s="21">
        <f>EXP(-LN(2)/2)*AW128+(1-EXP(-LN(2)/2))/(LN(2)/2)*AQ129*AT129*VLOOKUP('Données projet'!$B$10,Paramètres!$A$1:$I$89,3,0)*0.475*44/12</f>
        <v>6.5355614209189421E-10</v>
      </c>
      <c r="AX129" s="21">
        <f t="shared" si="60"/>
        <v>14.830800819675256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318.99999999999994</v>
      </c>
      <c r="BE129" s="13">
        <f>BD129*VLOOKUP('Données projet'!$B$11,Paramètres!$A$1:$I$89,3,0)*VLOOKUP('Données projet'!$B$11,Paramètres!$A$1:$I$89,5,0)</f>
        <v>253.79639999999995</v>
      </c>
      <c r="BF129" s="13">
        <f t="shared" si="91"/>
        <v>61.398168322280704</v>
      </c>
      <c r="BG129" s="20">
        <f t="shared" si="61"/>
        <v>548.9638731613054</v>
      </c>
      <c r="BH129" s="59">
        <f t="shared" si="62"/>
        <v>842.29720649463866</v>
      </c>
      <c r="BI129" s="59">
        <f ca="1">AVERAGE(OFFSET($BH$3,0,0,'Données projet'!$E$11+1,1))-AVERAGE(OFFSET($H$3,0,0,'Données projet'!$E$11+1,1))</f>
        <v>280.45463274302153</v>
      </c>
      <c r="BJ129" s="59">
        <f t="shared" si="92"/>
        <v>276.06968650495287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16.448415707097141</v>
      </c>
      <c r="BQ129" s="21">
        <f>EXP(-LN(2)/25)*BQ128+(1-EXP(-LN(2)/25))/(LN(2)/25)*Calculateur!BL129*Calculateur!BN129*VLOOKUP('Données projet'!$B$11,Paramètres!$A$1:$I$89,3,0)*0.475*44/12</f>
        <v>0.71414781387397086</v>
      </c>
      <c r="BR129" s="21">
        <f>EXP(-LN(2)/2)*BR128+(1-EXP(-LN(2)/2))/(LN(2)/2)*BL129*BO129*VLOOKUP('Données projet'!$B$11,Paramètres!$A$1:$I$89,3,0)*0.475*44/12</f>
        <v>7.3110265088265895E-8</v>
      </c>
      <c r="BS129" s="22">
        <f t="shared" si="63"/>
        <v>17.162563594081377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59.436000000000206</v>
      </c>
      <c r="D130" s="11">
        <f t="shared" si="86"/>
        <v>17.025593830837963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590.22984711524202</v>
      </c>
      <c r="H130" s="67">
        <f t="shared" si="56"/>
        <v>426.50394258870983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197.99999999999994</v>
      </c>
      <c r="O130" s="13">
        <f>N130*VLOOKUP('Données projet'!$B$9,Paramètres!$A$1:$I$89,3,0)*VLOOKUP('Données projet'!$B$9,Paramètres!$A$1:$I$89,5,0)</f>
        <v>123.55199999999995</v>
      </c>
      <c r="P130" s="13">
        <f t="shared" si="87"/>
        <v>32.502033262579566</v>
      </c>
      <c r="Q130" s="20">
        <f t="shared" si="107"/>
        <v>271.79410793232597</v>
      </c>
      <c r="R130" s="59">
        <f t="shared" si="55"/>
        <v>565.12744126565929</v>
      </c>
      <c r="S130" s="59">
        <f ca="1">AVERAGE(OFFSET($R$3,0,0,'Données projet'!$E$9+1,1))-AVERAGE(OFFSET($H$3,0,0,'Données projet'!$E$9+1,1))</f>
        <v>168.81286953191102</v>
      </c>
      <c r="T130" s="59">
        <f t="shared" si="88"/>
        <v>255.78677933103666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7.4181098484487853</v>
      </c>
      <c r="AA130" s="21">
        <f>EXP(-LN(2)/25)*AA129+(1-EXP(-LN(2)/25))/(LN(2)/25)*Calculateur!V130*Calculateur!X130*VLOOKUP('Données projet'!$B$9,Paramètres!$A$1:$I$89,3,0)*0.475*44/12</f>
        <v>5.230062322848811</v>
      </c>
      <c r="AB130" s="21">
        <f>EXP(-LN(2)/2)*AB129+(1-EXP(-LN(2)/2))/(LN(2)/2)*V130*Y130*VLOOKUP('Données projet'!$B$9,Paramètres!$A$1:$I$89,3,0)*0.475*44/12</f>
        <v>4.920724883831536E-12</v>
      </c>
      <c r="AC130" s="22">
        <f t="shared" si="57"/>
        <v>12.648172171302516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435.00000000000023</v>
      </c>
      <c r="AJ130" s="13">
        <f>AI130*VLOOKUP('Données projet'!$B$10,Paramètres!$A$1:$I$89,3,0)*VLOOKUP('Données projet'!$B$10,Paramètres!$A$1:$I$89,5,0)</f>
        <v>260.13000000000017</v>
      </c>
      <c r="AK130" s="13">
        <f t="shared" si="89"/>
        <v>62.75008789651104</v>
      </c>
      <c r="AL130" s="20">
        <f t="shared" si="58"/>
        <v>562.349486419757</v>
      </c>
      <c r="AM130" s="59">
        <f t="shared" si="59"/>
        <v>855.68281975309037</v>
      </c>
      <c r="AN130" s="59">
        <f ca="1">AVERAGE(OFFSET($AM$3,0,0,'Données projet'!$E$10+1,1))-AVERAGE(OFFSET($H$3,0,0,'Données projet'!$E$10+1,1))</f>
        <v>247.08914525784144</v>
      </c>
      <c r="AO130" s="59">
        <f t="shared" si="90"/>
        <v>286.9617518796191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9.5066816867771067</v>
      </c>
      <c r="AV130" s="21">
        <f>EXP(-LN(2)/25)*AV129+(1-EXP(-LN(2)/25))/(LN(2)/25)*Calculateur!AQ130*Calculateur!AS130*VLOOKUP('Données projet'!$B$10,Paramètres!$A$1:$I$89,3,0)*0.475*44/12</f>
        <v>4.993581513198996</v>
      </c>
      <c r="AW130" s="21">
        <f>EXP(-LN(2)/2)*AW129+(1-EXP(-LN(2)/2))/(LN(2)/2)*AQ130*AT130*VLOOKUP('Données projet'!$B$10,Paramètres!$A$1:$I$89,3,0)*0.475*44/12</f>
        <v>4.6213397995929722E-10</v>
      </c>
      <c r="AX130" s="21">
        <f t="shared" si="60"/>
        <v>14.500263200438237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318.99999999999994</v>
      </c>
      <c r="BE130" s="13">
        <f>BD130*VLOOKUP('Données projet'!$B$11,Paramètres!$A$1:$I$89,3,0)*VLOOKUP('Données projet'!$B$11,Paramètres!$A$1:$I$89,5,0)</f>
        <v>253.79639999999995</v>
      </c>
      <c r="BF130" s="13">
        <f t="shared" si="91"/>
        <v>61.398168322280704</v>
      </c>
      <c r="BG130" s="20">
        <f t="shared" si="61"/>
        <v>548.9638731613054</v>
      </c>
      <c r="BH130" s="59">
        <f t="shared" si="62"/>
        <v>842.29720649463866</v>
      </c>
      <c r="BI130" s="59">
        <f ca="1">AVERAGE(OFFSET($BH$3,0,0,'Données projet'!$E$11+1,1))-AVERAGE(OFFSET($H$3,0,0,'Données projet'!$E$11+1,1))</f>
        <v>280.45463274302153</v>
      </c>
      <c r="BJ130" s="59">
        <f t="shared" si="92"/>
        <v>276.06968650495287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16.125872307623915</v>
      </c>
      <c r="BQ130" s="21">
        <f>EXP(-LN(2)/25)*BQ129+(1-EXP(-LN(2)/25))/(LN(2)/25)*Calculateur!BL130*Calculateur!BN130*VLOOKUP('Données projet'!$B$11,Paramètres!$A$1:$I$89,3,0)*0.475*44/12</f>
        <v>0.69461940434818581</v>
      </c>
      <c r="BR130" s="21">
        <f>EXP(-LN(2)/2)*BR129+(1-EXP(-LN(2)/2))/(LN(2)/2)*BL130*BO130*VLOOKUP('Données projet'!$B$11,Paramètres!$A$1:$I$89,3,0)*0.475*44/12</f>
        <v>5.1696764218258917E-8</v>
      </c>
      <c r="BS130" s="22">
        <f t="shared" si="63"/>
        <v>16.820491763668866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59.90400000000021</v>
      </c>
      <c r="D131" s="11">
        <f t="shared" si="86"/>
        <v>17.143994938960237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594.75645216039641</v>
      </c>
      <c r="H131" s="67">
        <f t="shared" si="56"/>
        <v>427.52525785202272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197.99999999999994</v>
      </c>
      <c r="O131" s="13">
        <f>N131*VLOOKUP('Données projet'!$B$9,Paramètres!$A$1:$I$89,3,0)*VLOOKUP('Données projet'!$B$9,Paramètres!$A$1:$I$89,5,0)</f>
        <v>123.55199999999995</v>
      </c>
      <c r="P131" s="13">
        <f t="shared" si="87"/>
        <v>32.502033262579566</v>
      </c>
      <c r="Q131" s="20">
        <f t="shared" ref="Q131:Q153" si="108">(O131+P131)*0.475*44/12</f>
        <v>271.79410793232597</v>
      </c>
      <c r="R131" s="59">
        <f t="shared" ref="R131:R194" si="109">Q131+(I131+J131)*44/12</f>
        <v>565.12744126565929</v>
      </c>
      <c r="S131" s="59">
        <f ca="1">AVERAGE(OFFSET($R$3,0,0,'Données projet'!$E$9+1,1))-AVERAGE(OFFSET($H$3,0,0,'Données projet'!$E$9+1,1))</f>
        <v>168.81286953191102</v>
      </c>
      <c r="T131" s="59">
        <f t="shared" si="88"/>
        <v>255.78677933103666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7.2726452389209451</v>
      </c>
      <c r="AA131" s="21">
        <f>EXP(-LN(2)/25)*AA130+(1-EXP(-LN(2)/25))/(LN(2)/25)*Calculateur!V131*Calculateur!X131*VLOOKUP('Données projet'!$B$9,Paramètres!$A$1:$I$89,3,0)*0.475*44/12</f>
        <v>5.0870459935934864</v>
      </c>
      <c r="AB131" s="21">
        <f>EXP(-LN(2)/2)*AB130+(1-EXP(-LN(2)/2))/(LN(2)/2)*V131*Y131*VLOOKUP('Données projet'!$B$9,Paramètres!$A$1:$I$89,3,0)*0.475*44/12</f>
        <v>3.4794779337106655E-12</v>
      </c>
      <c r="AC131" s="22">
        <f t="shared" si="57"/>
        <v>12.359691232517912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435.00000000000023</v>
      </c>
      <c r="AJ131" s="13">
        <f>AI131*VLOOKUP('Données projet'!$B$10,Paramètres!$A$1:$I$89,3,0)*VLOOKUP('Données projet'!$B$10,Paramètres!$A$1:$I$89,5,0)</f>
        <v>260.13000000000017</v>
      </c>
      <c r="AK131" s="13">
        <f t="shared" si="89"/>
        <v>62.75008789651104</v>
      </c>
      <c r="AL131" s="20">
        <f t="shared" si="58"/>
        <v>562.349486419757</v>
      </c>
      <c r="AM131" s="59">
        <f t="shared" si="59"/>
        <v>855.68281975309037</v>
      </c>
      <c r="AN131" s="59">
        <f ca="1">AVERAGE(OFFSET($AM$3,0,0,'Données projet'!$E$10+1,1))-AVERAGE(OFFSET($H$3,0,0,'Données projet'!$E$10+1,1))</f>
        <v>247.08914525784144</v>
      </c>
      <c r="AO131" s="59">
        <f t="shared" si="90"/>
        <v>286.9617518796191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9.3202614574026814</v>
      </c>
      <c r="AV131" s="21">
        <f>EXP(-LN(2)/25)*AV130+(1-EXP(-LN(2)/25))/(LN(2)/25)*Calculateur!AQ131*Calculateur!AS131*VLOOKUP('Données projet'!$B$10,Paramètres!$A$1:$I$89,3,0)*0.475*44/12</f>
        <v>4.8570317641195304</v>
      </c>
      <c r="AW131" s="21">
        <f>EXP(-LN(2)/2)*AW130+(1-EXP(-LN(2)/2))/(LN(2)/2)*AQ131*AT131*VLOOKUP('Données projet'!$B$10,Paramètres!$A$1:$I$89,3,0)*0.475*44/12</f>
        <v>3.2677807104594716E-10</v>
      </c>
      <c r="AX131" s="21">
        <f t="shared" si="60"/>
        <v>14.177293221848991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318.99999999999994</v>
      </c>
      <c r="BE131" s="13">
        <f>BD131*VLOOKUP('Données projet'!$B$11,Paramètres!$A$1:$I$89,3,0)*VLOOKUP('Données projet'!$B$11,Paramètres!$A$1:$I$89,5,0)</f>
        <v>253.79639999999995</v>
      </c>
      <c r="BF131" s="13">
        <f t="shared" si="91"/>
        <v>61.398168322280704</v>
      </c>
      <c r="BG131" s="20">
        <f t="shared" si="61"/>
        <v>548.9638731613054</v>
      </c>
      <c r="BH131" s="59">
        <f t="shared" si="62"/>
        <v>842.29720649463866</v>
      </c>
      <c r="BI131" s="59">
        <f ca="1">AVERAGE(OFFSET($BH$3,0,0,'Données projet'!$E$11+1,1))-AVERAGE(OFFSET($H$3,0,0,'Données projet'!$E$11+1,1))</f>
        <v>280.45463274302153</v>
      </c>
      <c r="BJ131" s="59">
        <f t="shared" si="92"/>
        <v>276.06968650495287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15.809653787482311</v>
      </c>
      <c r="BQ131" s="21">
        <f>EXP(-LN(2)/25)*BQ130+(1-EXP(-LN(2)/25))/(LN(2)/25)*Calculateur!BL131*Calculateur!BN131*VLOOKUP('Données projet'!$B$11,Paramètres!$A$1:$I$89,3,0)*0.475*44/12</f>
        <v>0.67562500020783778</v>
      </c>
      <c r="BR131" s="21">
        <f>EXP(-LN(2)/2)*BR130+(1-EXP(-LN(2)/2))/(LN(2)/2)*BL131*BO131*VLOOKUP('Données projet'!$B$11,Paramètres!$A$1:$I$89,3,0)*0.475*44/12</f>
        <v>3.6555132544132947E-8</v>
      </c>
      <c r="BS131" s="22">
        <f t="shared" si="63"/>
        <v>16.485278824245281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60.372000000000213</v>
      </c>
      <c r="D132" s="11">
        <f t="shared" si="86"/>
        <v>17.262288423858621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599.28222642978756</v>
      </c>
      <c r="H132" s="67">
        <f t="shared" ref="H132:H195" si="110">(B132+E132+F132)*44/12+(C132+D132)*0.475*44/12</f>
        <v>428.54638567155416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197.99999999999994</v>
      </c>
      <c r="O132" s="13">
        <f>N132*VLOOKUP('Données projet'!$B$9,Paramètres!$A$1:$I$89,3,0)*VLOOKUP('Données projet'!$B$9,Paramètres!$A$1:$I$89,5,0)</f>
        <v>123.55199999999995</v>
      </c>
      <c r="P132" s="13">
        <f t="shared" si="87"/>
        <v>32.502033262579566</v>
      </c>
      <c r="Q132" s="20">
        <f t="shared" si="108"/>
        <v>271.79410793232597</v>
      </c>
      <c r="R132" s="59">
        <f t="shared" si="109"/>
        <v>565.12744126565929</v>
      </c>
      <c r="S132" s="59">
        <f ca="1">AVERAGE(OFFSET($R$3,0,0,'Données projet'!$E$9+1,1))-AVERAGE(OFFSET($H$3,0,0,'Données projet'!$E$9+1,1))</f>
        <v>168.81286953191102</v>
      </c>
      <c r="T132" s="59">
        <f t="shared" si="88"/>
        <v>255.78677933103666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7.1300331016612946</v>
      </c>
      <c r="AA132" s="21">
        <f>EXP(-LN(2)/25)*AA131+(1-EXP(-LN(2)/25))/(LN(2)/25)*Calculateur!V132*Calculateur!X132*VLOOKUP('Données projet'!$B$9,Paramètres!$A$1:$I$89,3,0)*0.475*44/12</f>
        <v>4.9479404533825502</v>
      </c>
      <c r="AB132" s="21">
        <f>EXP(-LN(2)/2)*AB131+(1-EXP(-LN(2)/2))/(LN(2)/2)*V132*Y132*VLOOKUP('Données projet'!$B$9,Paramètres!$A$1:$I$89,3,0)*0.475*44/12</f>
        <v>2.460362441915768E-12</v>
      </c>
      <c r="AC132" s="22">
        <f t="shared" ref="AC132:AC153" si="111">SUM(Z132:AB132)</f>
        <v>12.077973555046304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435.00000000000023</v>
      </c>
      <c r="AJ132" s="13">
        <f>AI132*VLOOKUP('Données projet'!$B$10,Paramètres!$A$1:$I$89,3,0)*VLOOKUP('Données projet'!$B$10,Paramètres!$A$1:$I$89,5,0)</f>
        <v>260.13000000000017</v>
      </c>
      <c r="AK132" s="13">
        <f t="shared" si="89"/>
        <v>62.75008789651104</v>
      </c>
      <c r="AL132" s="20">
        <f t="shared" ref="AL132:AL153" si="112">(AJ132+AK132)*0.475*44/12</f>
        <v>562.349486419757</v>
      </c>
      <c r="AM132" s="59">
        <f t="shared" ref="AM132:AM195" si="113">AL132+(AD132+AE132)*44/12</f>
        <v>855.68281975309037</v>
      </c>
      <c r="AN132" s="59">
        <f ca="1">AVERAGE(OFFSET($AM$3,0,0,'Données projet'!$E$10+1,1))-AVERAGE(OFFSET($H$3,0,0,'Données projet'!$E$10+1,1))</f>
        <v>247.08914525784144</v>
      </c>
      <c r="AO132" s="59">
        <f t="shared" si="90"/>
        <v>286.9617518796191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9.1374968150211764</v>
      </c>
      <c r="AV132" s="21">
        <f>EXP(-LN(2)/25)*AV131+(1-EXP(-LN(2)/25))/(LN(2)/25)*Calculateur!AQ132*Calculateur!AS132*VLOOKUP('Données projet'!$B$10,Paramètres!$A$1:$I$89,3,0)*0.475*44/12</f>
        <v>4.7242159751094821</v>
      </c>
      <c r="AW132" s="21">
        <f>EXP(-LN(2)/2)*AW131+(1-EXP(-LN(2)/2))/(LN(2)/2)*AQ132*AT132*VLOOKUP('Données projet'!$B$10,Paramètres!$A$1:$I$89,3,0)*0.475*44/12</f>
        <v>2.3106698997964866E-10</v>
      </c>
      <c r="AX132" s="21">
        <f t="shared" ref="AX132:AX153" si="114">SUM(AU132:AW132)</f>
        <v>13.861712790361725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318.99999999999994</v>
      </c>
      <c r="BE132" s="13">
        <f>BD132*VLOOKUP('Données projet'!$B$11,Paramètres!$A$1:$I$89,3,0)*VLOOKUP('Données projet'!$B$11,Paramètres!$A$1:$I$89,5,0)</f>
        <v>253.79639999999995</v>
      </c>
      <c r="BF132" s="13">
        <f t="shared" si="91"/>
        <v>61.398168322280704</v>
      </c>
      <c r="BG132" s="20">
        <f t="shared" ref="BG132:BG153" si="115">(BE132+BF132)*0.475*44/12</f>
        <v>548.9638731613054</v>
      </c>
      <c r="BH132" s="59">
        <f t="shared" ref="BH132:BH195" si="116">BG132+(AY132+AZ132)*44/12</f>
        <v>842.29720649463866</v>
      </c>
      <c r="BI132" s="59">
        <f ca="1">AVERAGE(OFFSET($BH$3,0,0,'Données projet'!$E$11+1,1))-AVERAGE(OFFSET($H$3,0,0,'Données projet'!$E$11+1,1))</f>
        <v>280.45463274302153</v>
      </c>
      <c r="BJ132" s="59">
        <f t="shared" si="92"/>
        <v>276.06968650495287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15.499636119646432</v>
      </c>
      <c r="BQ132" s="21">
        <f>EXP(-LN(2)/25)*BQ131+(1-EXP(-LN(2)/25))/(LN(2)/25)*Calculateur!BL132*Calculateur!BN132*VLOOKUP('Données projet'!$B$11,Paramètres!$A$1:$I$89,3,0)*0.475*44/12</f>
        <v>0.65714999904757987</v>
      </c>
      <c r="BR132" s="21">
        <f>EXP(-LN(2)/2)*BR131+(1-EXP(-LN(2)/2))/(LN(2)/2)*BL132*BO132*VLOOKUP('Données projet'!$B$11,Paramètres!$A$1:$I$89,3,0)*0.475*44/12</f>
        <v>2.5848382109129459E-8</v>
      </c>
      <c r="BS132" s="22">
        <f t="shared" ref="BS132:BS153" si="117">SUM(BP132:BR132)</f>
        <v>16.156786144542394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60.840000000000217</v>
      </c>
      <c r="D133" s="11">
        <f t="shared" ref="D133:D196" si="140">IFERROR(EXP(-1.0587+0.8836*LN(C133)+0.284),0)</f>
        <v>17.380475216531508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603.80717711006946</v>
      </c>
      <c r="H133" s="67">
        <f t="shared" si="110"/>
        <v>429.5673276687927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197.99999999999994</v>
      </c>
      <c r="O133" s="13">
        <f>N133*VLOOKUP('Données projet'!$B$9,Paramètres!$A$1:$I$89,3,0)*VLOOKUP('Données projet'!$B$9,Paramètres!$A$1:$I$89,5,0)</f>
        <v>123.55199999999995</v>
      </c>
      <c r="P133" s="13">
        <f t="shared" ref="P133:P196" si="141">EXP(-1.0587+0.8836*LN(O133)+0.284)</f>
        <v>32.502033262579566</v>
      </c>
      <c r="Q133" s="20">
        <f t="shared" si="108"/>
        <v>271.79410793232597</v>
      </c>
      <c r="R133" s="59">
        <f t="shared" si="109"/>
        <v>565.12744126565929</v>
      </c>
      <c r="S133" s="59">
        <f ca="1">AVERAGE(OFFSET($R$3,0,0,'Données projet'!$E$9+1,1))-AVERAGE(OFFSET($H$3,0,0,'Données projet'!$E$9+1,1))</f>
        <v>168.81286953191102</v>
      </c>
      <c r="T133" s="59">
        <f t="shared" ref="T133:T196" si="142">$T$3</f>
        <v>255.78677933103666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6.9902175014284911</v>
      </c>
      <c r="AA133" s="21">
        <f>EXP(-LN(2)/25)*AA132+(1-EXP(-LN(2)/25))/(LN(2)/25)*Calculateur!V133*Calculateur!X133*VLOOKUP('Données projet'!$B$9,Paramètres!$A$1:$I$89,3,0)*0.475*44/12</f>
        <v>4.8126387614839246</v>
      </c>
      <c r="AB133" s="21">
        <f>EXP(-LN(2)/2)*AB132+(1-EXP(-LN(2)/2))/(LN(2)/2)*V133*Y133*VLOOKUP('Données projet'!$B$9,Paramètres!$A$1:$I$89,3,0)*0.475*44/12</f>
        <v>1.7397389668553327E-12</v>
      </c>
      <c r="AC133" s="22">
        <f t="shared" si="111"/>
        <v>11.802856262914155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435.00000000000023</v>
      </c>
      <c r="AJ133" s="13">
        <f>AI133*VLOOKUP('Données projet'!$B$10,Paramètres!$A$1:$I$89,3,0)*VLOOKUP('Données projet'!$B$10,Paramètres!$A$1:$I$89,5,0)</f>
        <v>260.13000000000017</v>
      </c>
      <c r="AK133" s="13">
        <f t="shared" ref="AK133:AK153" si="143">EXP(-1.0587+0.8836*LN(AJ133)+0.284)</f>
        <v>62.75008789651104</v>
      </c>
      <c r="AL133" s="20">
        <f t="shared" si="112"/>
        <v>562.349486419757</v>
      </c>
      <c r="AM133" s="59">
        <f t="shared" si="113"/>
        <v>855.68281975309037</v>
      </c>
      <c r="AN133" s="59">
        <f ca="1">AVERAGE(OFFSET($AM$3,0,0,'Données projet'!$E$10+1,1))-AVERAGE(OFFSET($H$3,0,0,'Données projet'!$E$10+1,1))</f>
        <v>247.08914525784144</v>
      </c>
      <c r="AO133" s="59">
        <f t="shared" ref="AO133:AO196" si="144">$AO$3</f>
        <v>286.9617518796191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8.9583160758013491</v>
      </c>
      <c r="AV133" s="21">
        <f>EXP(-LN(2)/25)*AV132+(1-EXP(-LN(2)/25))/(LN(2)/25)*Calculateur!AQ133*Calculateur!AS133*VLOOKUP('Données projet'!$B$10,Paramètres!$A$1:$I$89,3,0)*0.475*44/12</f>
        <v>4.5950320408343925</v>
      </c>
      <c r="AW133" s="21">
        <f>EXP(-LN(2)/2)*AW132+(1-EXP(-LN(2)/2))/(LN(2)/2)*AQ133*AT133*VLOOKUP('Données projet'!$B$10,Paramètres!$A$1:$I$89,3,0)*0.475*44/12</f>
        <v>1.633890355229736E-10</v>
      </c>
      <c r="AX133" s="21">
        <f t="shared" si="114"/>
        <v>13.553348116799132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318.99999999999994</v>
      </c>
      <c r="BE133" s="13">
        <f>BD133*VLOOKUP('Données projet'!$B$11,Paramètres!$A$1:$I$89,3,0)*VLOOKUP('Données projet'!$B$11,Paramètres!$A$1:$I$89,5,0)</f>
        <v>253.79639999999995</v>
      </c>
      <c r="BF133" s="13">
        <f t="shared" ref="BF133:BF153" si="145">EXP(-1.0587+0.8836*LN(BE133)+0.284)</f>
        <v>61.398168322280704</v>
      </c>
      <c r="BG133" s="20">
        <f t="shared" si="115"/>
        <v>548.9638731613054</v>
      </c>
      <c r="BH133" s="59">
        <f t="shared" si="116"/>
        <v>842.29720649463866</v>
      </c>
      <c r="BI133" s="59">
        <f ca="1">AVERAGE(OFFSET($BH$3,0,0,'Données projet'!$E$11+1,1))-AVERAGE(OFFSET($H$3,0,0,'Données projet'!$E$11+1,1))</f>
        <v>280.45463274302153</v>
      </c>
      <c r="BJ133" s="59">
        <f t="shared" ref="BJ133:BJ196" si="146">$BJ$3</f>
        <v>276.06968650495287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15.195697709184708</v>
      </c>
      <c r="BQ133" s="21">
        <f>EXP(-LN(2)/25)*BQ132+(1-EXP(-LN(2)/25))/(LN(2)/25)*Calculateur!BL133*Calculateur!BN133*VLOOKUP('Données projet'!$B$11,Paramètres!$A$1:$I$89,3,0)*0.475*44/12</f>
        <v>0.63918019776560731</v>
      </c>
      <c r="BR133" s="21">
        <f>EXP(-LN(2)/2)*BR132+(1-EXP(-LN(2)/2))/(LN(2)/2)*BL133*BO133*VLOOKUP('Données projet'!$B$11,Paramètres!$A$1:$I$89,3,0)*0.475*44/12</f>
        <v>1.8277566272066474E-8</v>
      </c>
      <c r="BS133" s="22">
        <f t="shared" si="117"/>
        <v>15.834877925227882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61.30800000000022</v>
      </c>
      <c r="D134" s="11">
        <f t="shared" si="140"/>
        <v>17.498556232826935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608.33131127094646</v>
      </c>
      <c r="H134" s="67">
        <f t="shared" si="110"/>
        <v>430.58808543884061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197.99999999999994</v>
      </c>
      <c r="O134" s="13">
        <f>N134*VLOOKUP('Données projet'!$B$9,Paramètres!$A$1:$I$89,3,0)*VLOOKUP('Données projet'!$B$9,Paramètres!$A$1:$I$89,5,0)</f>
        <v>123.55199999999995</v>
      </c>
      <c r="P134" s="13">
        <f t="shared" si="141"/>
        <v>32.502033262579566</v>
      </c>
      <c r="Q134" s="20">
        <f t="shared" si="108"/>
        <v>271.79410793232597</v>
      </c>
      <c r="R134" s="59">
        <f t="shared" si="109"/>
        <v>565.12744126565929</v>
      </c>
      <c r="S134" s="59">
        <f ca="1">AVERAGE(OFFSET($R$3,0,0,'Données projet'!$E$9+1,1))-AVERAGE(OFFSET($H$3,0,0,'Données projet'!$E$9+1,1))</f>
        <v>168.81286953191102</v>
      </c>
      <c r="T134" s="59">
        <f t="shared" si="142"/>
        <v>255.78677933103666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6.8531435998371579</v>
      </c>
      <c r="AA134" s="21">
        <f>EXP(-LN(2)/25)*AA133+(1-EXP(-LN(2)/25))/(LN(2)/25)*Calculateur!V134*Calculateur!X134*VLOOKUP('Données projet'!$B$9,Paramètres!$A$1:$I$89,3,0)*0.475*44/12</f>
        <v>4.6810369014654736</v>
      </c>
      <c r="AB134" s="21">
        <f>EXP(-LN(2)/2)*AB133+(1-EXP(-LN(2)/2))/(LN(2)/2)*V134*Y134*VLOOKUP('Données projet'!$B$9,Paramètres!$A$1:$I$89,3,0)*0.475*44/12</f>
        <v>1.230181220957884E-12</v>
      </c>
      <c r="AC134" s="22">
        <f t="shared" si="111"/>
        <v>11.534180501303863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435.00000000000023</v>
      </c>
      <c r="AJ134" s="13">
        <f>AI134*VLOOKUP('Données projet'!$B$10,Paramètres!$A$1:$I$89,3,0)*VLOOKUP('Données projet'!$B$10,Paramètres!$A$1:$I$89,5,0)</f>
        <v>260.13000000000017</v>
      </c>
      <c r="AK134" s="13">
        <f t="shared" si="143"/>
        <v>62.75008789651104</v>
      </c>
      <c r="AL134" s="20">
        <f t="shared" si="112"/>
        <v>562.349486419757</v>
      </c>
      <c r="AM134" s="59">
        <f t="shared" si="113"/>
        <v>855.68281975309037</v>
      </c>
      <c r="AN134" s="59">
        <f ca="1">AVERAGE(OFFSET($AM$3,0,0,'Données projet'!$E$10+1,1))-AVERAGE(OFFSET($H$3,0,0,'Données projet'!$E$10+1,1))</f>
        <v>247.08914525784144</v>
      </c>
      <c r="AO134" s="59">
        <f t="shared" si="144"/>
        <v>286.9617518796191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8.782648961588162</v>
      </c>
      <c r="AV134" s="21">
        <f>EXP(-LN(2)/25)*AV133+(1-EXP(-LN(2)/25))/(LN(2)/25)*Calculateur!AQ134*Calculateur!AS134*VLOOKUP('Données projet'!$B$10,Paramètres!$A$1:$I$89,3,0)*0.475*44/12</f>
        <v>4.4693806480355436</v>
      </c>
      <c r="AW134" s="21">
        <f>EXP(-LN(2)/2)*AW133+(1-EXP(-LN(2)/2))/(LN(2)/2)*AQ134*AT134*VLOOKUP('Données projet'!$B$10,Paramètres!$A$1:$I$89,3,0)*0.475*44/12</f>
        <v>1.1553349498982434E-10</v>
      </c>
      <c r="AX134" s="21">
        <f t="shared" si="114"/>
        <v>13.252029609739239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318.99999999999994</v>
      </c>
      <c r="BE134" s="13">
        <f>BD134*VLOOKUP('Données projet'!$B$11,Paramètres!$A$1:$I$89,3,0)*VLOOKUP('Données projet'!$B$11,Paramètres!$A$1:$I$89,5,0)</f>
        <v>253.79639999999995</v>
      </c>
      <c r="BF134" s="13">
        <f t="shared" si="145"/>
        <v>61.398168322280704</v>
      </c>
      <c r="BG134" s="20">
        <f t="shared" si="115"/>
        <v>548.9638731613054</v>
      </c>
      <c r="BH134" s="59">
        <f t="shared" si="116"/>
        <v>842.29720649463866</v>
      </c>
      <c r="BI134" s="59">
        <f ca="1">AVERAGE(OFFSET($BH$3,0,0,'Données projet'!$E$11+1,1))-AVERAGE(OFFSET($H$3,0,0,'Données projet'!$E$11+1,1))</f>
        <v>280.45463274302153</v>
      </c>
      <c r="BJ134" s="59">
        <f t="shared" si="146"/>
        <v>276.06968650495287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14.897719345568014</v>
      </c>
      <c r="BQ134" s="21">
        <f>EXP(-LN(2)/25)*BQ133+(1-EXP(-LN(2)/25))/(LN(2)/25)*Calculateur!BL134*Calculateur!BN134*VLOOKUP('Données projet'!$B$11,Paramètres!$A$1:$I$89,3,0)*0.475*44/12</f>
        <v>0.62170178164468104</v>
      </c>
      <c r="BR134" s="21">
        <f>EXP(-LN(2)/2)*BR133+(1-EXP(-LN(2)/2))/(LN(2)/2)*BL134*BO134*VLOOKUP('Données projet'!$B$11,Paramètres!$A$1:$I$89,3,0)*0.475*44/12</f>
        <v>1.2924191054564729E-8</v>
      </c>
      <c r="BS134" s="22">
        <f t="shared" si="117"/>
        <v>15.519421140136886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61.776000000000224</v>
      </c>
      <c r="D135" s="11">
        <f t="shared" si="140"/>
        <v>17.616532373802929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612.85463586795424</v>
      </c>
      <c r="H135" s="67">
        <f t="shared" si="110"/>
        <v>431.60866055104043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197.99999999999994</v>
      </c>
      <c r="O135" s="13">
        <f>N135*VLOOKUP('Données projet'!$B$9,Paramètres!$A$1:$I$89,3,0)*VLOOKUP('Données projet'!$B$9,Paramètres!$A$1:$I$89,5,0)</f>
        <v>123.55199999999995</v>
      </c>
      <c r="P135" s="13">
        <f t="shared" si="141"/>
        <v>32.502033262579566</v>
      </c>
      <c r="Q135" s="20">
        <f t="shared" si="108"/>
        <v>271.79410793232597</v>
      </c>
      <c r="R135" s="59">
        <f t="shared" si="109"/>
        <v>565.12744126565929</v>
      </c>
      <c r="S135" s="59">
        <f ca="1">AVERAGE(OFFSET($R$3,0,0,'Données projet'!$E$9+1,1))-AVERAGE(OFFSET($H$3,0,0,'Données projet'!$E$9+1,1))</f>
        <v>168.81286953191102</v>
      </c>
      <c r="T135" s="59">
        <f t="shared" si="142"/>
        <v>255.78677933103666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6.7187576338492061</v>
      </c>
      <c r="AA135" s="21">
        <f>EXP(-LN(2)/25)*AA134+(1-EXP(-LN(2)/25))/(LN(2)/25)*Calculateur!V135*Calculateur!X135*VLOOKUP('Données projet'!$B$9,Paramètres!$A$1:$I$89,3,0)*0.475*44/12</f>
        <v>4.5530337012298681</v>
      </c>
      <c r="AB135" s="21">
        <f>EXP(-LN(2)/2)*AB134+(1-EXP(-LN(2)/2))/(LN(2)/2)*V135*Y135*VLOOKUP('Données projet'!$B$9,Paramètres!$A$1:$I$89,3,0)*0.475*44/12</f>
        <v>8.6986948342766637E-13</v>
      </c>
      <c r="AC135" s="22">
        <f t="shared" si="111"/>
        <v>11.271791335079945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435.00000000000023</v>
      </c>
      <c r="AJ135" s="13">
        <f>AI135*VLOOKUP('Données projet'!$B$10,Paramètres!$A$1:$I$89,3,0)*VLOOKUP('Données projet'!$B$10,Paramètres!$A$1:$I$89,5,0)</f>
        <v>260.13000000000017</v>
      </c>
      <c r="AK135" s="13">
        <f t="shared" si="143"/>
        <v>62.75008789651104</v>
      </c>
      <c r="AL135" s="20">
        <f t="shared" si="112"/>
        <v>562.349486419757</v>
      </c>
      <c r="AM135" s="59">
        <f t="shared" si="113"/>
        <v>855.68281975309037</v>
      </c>
      <c r="AN135" s="59">
        <f ca="1">AVERAGE(OFFSET($AM$3,0,0,'Données projet'!$E$10+1,1))-AVERAGE(OFFSET($H$3,0,0,'Données projet'!$E$10+1,1))</f>
        <v>247.08914525784144</v>
      </c>
      <c r="AO135" s="59">
        <f t="shared" si="144"/>
        <v>286.9617518796191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8.6104265723383353</v>
      </c>
      <c r="AV135" s="21">
        <f>EXP(-LN(2)/25)*AV134+(1-EXP(-LN(2)/25))/(LN(2)/25)*Calculateur!AQ135*Calculateur!AS135*VLOOKUP('Données projet'!$B$10,Paramètres!$A$1:$I$89,3,0)*0.475*44/12</f>
        <v>4.3471651991804983</v>
      </c>
      <c r="AW135" s="21">
        <f>EXP(-LN(2)/2)*AW134+(1-EXP(-LN(2)/2))/(LN(2)/2)*AQ135*AT135*VLOOKUP('Données projet'!$B$10,Paramètres!$A$1:$I$89,3,0)*0.475*44/12</f>
        <v>8.1694517761486815E-11</v>
      </c>
      <c r="AX135" s="21">
        <f t="shared" si="114"/>
        <v>12.957591771600528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318.99999999999994</v>
      </c>
      <c r="BE135" s="13">
        <f>BD135*VLOOKUP('Données projet'!$B$11,Paramètres!$A$1:$I$89,3,0)*VLOOKUP('Données projet'!$B$11,Paramètres!$A$1:$I$89,5,0)</f>
        <v>253.79639999999995</v>
      </c>
      <c r="BF135" s="13">
        <f t="shared" si="145"/>
        <v>61.398168322280704</v>
      </c>
      <c r="BG135" s="20">
        <f t="shared" si="115"/>
        <v>548.9638731613054</v>
      </c>
      <c r="BH135" s="59">
        <f t="shared" si="116"/>
        <v>842.29720649463866</v>
      </c>
      <c r="BI135" s="59">
        <f ca="1">AVERAGE(OFFSET($BH$3,0,0,'Données projet'!$E$11+1,1))-AVERAGE(OFFSET($H$3,0,0,'Données projet'!$E$11+1,1))</f>
        <v>280.45463274302153</v>
      </c>
      <c r="BJ135" s="59">
        <f t="shared" si="146"/>
        <v>276.06968650495287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14.605584155912988</v>
      </c>
      <c r="BQ135" s="21">
        <f>EXP(-LN(2)/25)*BQ134+(1-EXP(-LN(2)/25))/(LN(2)/25)*Calculateur!BL135*Calculateur!BN135*VLOOKUP('Données projet'!$B$11,Paramètres!$A$1:$I$89,3,0)*0.475*44/12</f>
        <v>0.60470131373173142</v>
      </c>
      <c r="BR135" s="21">
        <f>EXP(-LN(2)/2)*BR134+(1-EXP(-LN(2)/2))/(LN(2)/2)*BL135*BO135*VLOOKUP('Données projet'!$B$11,Paramètres!$A$1:$I$89,3,0)*0.475*44/12</f>
        <v>9.1387831360332368E-9</v>
      </c>
      <c r="BS135" s="22">
        <f t="shared" si="117"/>
        <v>15.210285478783502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62.244000000000227</v>
      </c>
      <c r="D136" s="11">
        <f t="shared" si="140"/>
        <v>17.734404526076489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617.37715774515357</v>
      </c>
      <c r="H136" s="67">
        <f t="shared" si="110"/>
        <v>432.6290545495836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197.99999999999994</v>
      </c>
      <c r="O136" s="13">
        <f>N136*VLOOKUP('Données projet'!$B$9,Paramètres!$A$1:$I$89,3,0)*VLOOKUP('Données projet'!$B$9,Paramètres!$A$1:$I$89,5,0)</f>
        <v>123.55199999999995</v>
      </c>
      <c r="P136" s="13">
        <f t="shared" si="141"/>
        <v>32.502033262579566</v>
      </c>
      <c r="Q136" s="20">
        <f t="shared" si="108"/>
        <v>271.79410793232597</v>
      </c>
      <c r="R136" s="59">
        <f t="shared" si="109"/>
        <v>565.12744126565929</v>
      </c>
      <c r="S136" s="59">
        <f ca="1">AVERAGE(OFFSET($R$3,0,0,'Données projet'!$E$9+1,1))-AVERAGE(OFFSET($H$3,0,0,'Données projet'!$E$9+1,1))</f>
        <v>168.81286953191102</v>
      </c>
      <c r="T136" s="59">
        <f t="shared" si="142"/>
        <v>255.78677933103666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6.5870068946869322</v>
      </c>
      <c r="AA136" s="21">
        <f>EXP(-LN(2)/25)*AA135+(1-EXP(-LN(2)/25))/(LN(2)/25)*Calculateur!V136*Calculateur!X136*VLOOKUP('Données projet'!$B$9,Paramètres!$A$1:$I$89,3,0)*0.475*44/12</f>
        <v>4.4285307552361006</v>
      </c>
      <c r="AB136" s="21">
        <f>EXP(-LN(2)/2)*AB135+(1-EXP(-LN(2)/2))/(LN(2)/2)*V136*Y136*VLOOKUP('Données projet'!$B$9,Paramètres!$A$1:$I$89,3,0)*0.475*44/12</f>
        <v>6.15090610478942E-13</v>
      </c>
      <c r="AC136" s="22">
        <f t="shared" si="111"/>
        <v>11.015537649923647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435.00000000000023</v>
      </c>
      <c r="AJ136" s="13">
        <f>AI136*VLOOKUP('Données projet'!$B$10,Paramètres!$A$1:$I$89,3,0)*VLOOKUP('Données projet'!$B$10,Paramètres!$A$1:$I$89,5,0)</f>
        <v>260.13000000000017</v>
      </c>
      <c r="AK136" s="13">
        <f t="shared" si="143"/>
        <v>62.75008789651104</v>
      </c>
      <c r="AL136" s="20">
        <f t="shared" si="112"/>
        <v>562.349486419757</v>
      </c>
      <c r="AM136" s="59">
        <f t="shared" si="113"/>
        <v>855.68281975309037</v>
      </c>
      <c r="AN136" s="59">
        <f ca="1">AVERAGE(OFFSET($AM$3,0,0,'Données projet'!$E$10+1,1))-AVERAGE(OFFSET($H$3,0,0,'Données projet'!$E$10+1,1))</f>
        <v>247.08914525784144</v>
      </c>
      <c r="AO136" s="59">
        <f t="shared" si="144"/>
        <v>286.9617518796191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8.4415813590964142</v>
      </c>
      <c r="AV136" s="21">
        <f>EXP(-LN(2)/25)*AV135+(1-EXP(-LN(2)/25))/(LN(2)/25)*Calculateur!AQ136*Calculateur!AS136*VLOOKUP('Données projet'!$B$10,Paramètres!$A$1:$I$89,3,0)*0.475*44/12</f>
        <v>4.2282917382014249</v>
      </c>
      <c r="AW136" s="21">
        <f>EXP(-LN(2)/2)*AW135+(1-EXP(-LN(2)/2))/(LN(2)/2)*AQ136*AT136*VLOOKUP('Données projet'!$B$10,Paramètres!$A$1:$I$89,3,0)*0.475*44/12</f>
        <v>5.7766747494912184E-11</v>
      </c>
      <c r="AX136" s="21">
        <f t="shared" si="114"/>
        <v>12.669873097355605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318.99999999999994</v>
      </c>
      <c r="BE136" s="13">
        <f>BD136*VLOOKUP('Données projet'!$B$11,Paramètres!$A$1:$I$89,3,0)*VLOOKUP('Données projet'!$B$11,Paramètres!$A$1:$I$89,5,0)</f>
        <v>253.79639999999995</v>
      </c>
      <c r="BF136" s="13">
        <f t="shared" si="145"/>
        <v>61.398168322280704</v>
      </c>
      <c r="BG136" s="20">
        <f t="shared" si="115"/>
        <v>548.9638731613054</v>
      </c>
      <c r="BH136" s="59">
        <f t="shared" si="116"/>
        <v>842.29720649463866</v>
      </c>
      <c r="BI136" s="59">
        <f ca="1">AVERAGE(OFFSET($BH$3,0,0,'Données projet'!$E$11+1,1))-AVERAGE(OFFSET($H$3,0,0,'Données projet'!$E$11+1,1))</f>
        <v>280.45463274302153</v>
      </c>
      <c r="BJ136" s="59">
        <f t="shared" si="146"/>
        <v>276.06968650495287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14.319177559142226</v>
      </c>
      <c r="BQ136" s="21">
        <f>EXP(-LN(2)/25)*BQ135+(1-EXP(-LN(2)/25))/(LN(2)/25)*Calculateur!BL136*Calculateur!BN136*VLOOKUP('Données projet'!$B$11,Paramètres!$A$1:$I$89,3,0)*0.475*44/12</f>
        <v>0.58816572450787719</v>
      </c>
      <c r="BR136" s="21">
        <f>EXP(-LN(2)/2)*BR135+(1-EXP(-LN(2)/2))/(LN(2)/2)*BL136*BO136*VLOOKUP('Données projet'!$B$11,Paramètres!$A$1:$I$89,3,0)*0.475*44/12</f>
        <v>6.4620955272823647E-9</v>
      </c>
      <c r="BS136" s="22">
        <f t="shared" si="117"/>
        <v>14.907343290112198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62.712000000000231</v>
      </c>
      <c r="D137" s="11">
        <f t="shared" si="140"/>
        <v>17.852173562161887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621.89888363774276</v>
      </c>
      <c r="H137" s="67">
        <f t="shared" si="110"/>
        <v>433.649268954099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197.99999999999994</v>
      </c>
      <c r="O137" s="13">
        <f>N137*VLOOKUP('Données projet'!$B$9,Paramètres!$A$1:$I$89,3,0)*VLOOKUP('Données projet'!$B$9,Paramètres!$A$1:$I$89,5,0)</f>
        <v>123.55199999999995</v>
      </c>
      <c r="P137" s="13">
        <f t="shared" si="141"/>
        <v>32.502033262579566</v>
      </c>
      <c r="Q137" s="20">
        <f t="shared" si="108"/>
        <v>271.79410793232597</v>
      </c>
      <c r="R137" s="59">
        <f t="shared" si="109"/>
        <v>565.12744126565929</v>
      </c>
      <c r="S137" s="59">
        <f ca="1">AVERAGE(OFFSET($R$3,0,0,'Données projet'!$E$9+1,1))-AVERAGE(OFFSET($H$3,0,0,'Données projet'!$E$9+1,1))</f>
        <v>168.81286953191102</v>
      </c>
      <c r="T137" s="59">
        <f t="shared" si="142"/>
        <v>255.78677933103666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6.4578397071596143</v>
      </c>
      <c r="AA137" s="21">
        <f>EXP(-LN(2)/25)*AA136+(1-EXP(-LN(2)/25))/(LN(2)/25)*Calculateur!V137*Calculateur!X137*VLOOKUP('Données projet'!$B$9,Paramètres!$A$1:$I$89,3,0)*0.475*44/12</f>
        <v>4.3074323488478585</v>
      </c>
      <c r="AB137" s="21">
        <f>EXP(-LN(2)/2)*AB136+(1-EXP(-LN(2)/2))/(LN(2)/2)*V137*Y137*VLOOKUP('Données projet'!$B$9,Paramètres!$A$1:$I$89,3,0)*0.475*44/12</f>
        <v>4.3493474171383318E-13</v>
      </c>
      <c r="AC137" s="22">
        <f t="shared" si="111"/>
        <v>10.765272056007907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435.00000000000023</v>
      </c>
      <c r="AJ137" s="13">
        <f>AI137*VLOOKUP('Données projet'!$B$10,Paramètres!$A$1:$I$89,3,0)*VLOOKUP('Données projet'!$B$10,Paramètres!$A$1:$I$89,5,0)</f>
        <v>260.13000000000017</v>
      </c>
      <c r="AK137" s="13">
        <f t="shared" si="143"/>
        <v>62.75008789651104</v>
      </c>
      <c r="AL137" s="20">
        <f t="shared" si="112"/>
        <v>562.349486419757</v>
      </c>
      <c r="AM137" s="59">
        <f t="shared" si="113"/>
        <v>855.68281975309037</v>
      </c>
      <c r="AN137" s="59">
        <f ca="1">AVERAGE(OFFSET($AM$3,0,0,'Données projet'!$E$10+1,1))-AVERAGE(OFFSET($H$3,0,0,'Données projet'!$E$10+1,1))</f>
        <v>247.08914525784144</v>
      </c>
      <c r="AO137" s="59">
        <f t="shared" si="144"/>
        <v>286.9617518796191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8.2760470975007561</v>
      </c>
      <c r="AV137" s="21">
        <f>EXP(-LN(2)/25)*AV136+(1-EXP(-LN(2)/25))/(LN(2)/25)*Calculateur!AQ137*Calculateur!AS137*VLOOKUP('Données projet'!$B$10,Paramètres!$A$1:$I$89,3,0)*0.475*44/12</f>
        <v>4.1126688782641079</v>
      </c>
      <c r="AW137" s="21">
        <f>EXP(-LN(2)/2)*AW136+(1-EXP(-LN(2)/2))/(LN(2)/2)*AQ137*AT137*VLOOKUP('Données projet'!$B$10,Paramètres!$A$1:$I$89,3,0)*0.475*44/12</f>
        <v>4.0847258880743414E-11</v>
      </c>
      <c r="AX137" s="21">
        <f t="shared" si="114"/>
        <v>12.388715975805711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318.99999999999994</v>
      </c>
      <c r="BE137" s="13">
        <f>BD137*VLOOKUP('Données projet'!$B$11,Paramètres!$A$1:$I$89,3,0)*VLOOKUP('Données projet'!$B$11,Paramètres!$A$1:$I$89,5,0)</f>
        <v>253.79639999999995</v>
      </c>
      <c r="BF137" s="13">
        <f t="shared" si="145"/>
        <v>61.398168322280704</v>
      </c>
      <c r="BG137" s="20">
        <f t="shared" si="115"/>
        <v>548.9638731613054</v>
      </c>
      <c r="BH137" s="59">
        <f t="shared" si="116"/>
        <v>842.29720649463866</v>
      </c>
      <c r="BI137" s="59">
        <f ca="1">AVERAGE(OFFSET($BH$3,0,0,'Données projet'!$E$11+1,1))-AVERAGE(OFFSET($H$3,0,0,'Données projet'!$E$11+1,1))</f>
        <v>280.45463274302153</v>
      </c>
      <c r="BJ137" s="59">
        <f t="shared" si="146"/>
        <v>276.06968650495287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14.038387221043363</v>
      </c>
      <c r="BQ137" s="21">
        <f>EXP(-LN(2)/25)*BQ136+(1-EXP(-LN(2)/25))/(LN(2)/25)*Calculateur!BL137*Calculateur!BN137*VLOOKUP('Données projet'!$B$11,Paramètres!$A$1:$I$89,3,0)*0.475*44/12</f>
        <v>0.57208230184091813</v>
      </c>
      <c r="BR137" s="21">
        <f>EXP(-LN(2)/2)*BR136+(1-EXP(-LN(2)/2))/(LN(2)/2)*BL137*BO137*VLOOKUP('Données projet'!$B$11,Paramètres!$A$1:$I$89,3,0)*0.475*44/12</f>
        <v>4.5693915680166184E-9</v>
      </c>
      <c r="BS137" s="22">
        <f t="shared" si="117"/>
        <v>14.610469527453674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63.180000000000234</v>
      </c>
      <c r="D138" s="11">
        <f t="shared" si="140"/>
        <v>17.969840340798424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626.41982017458622</v>
      </c>
      <c r="H138" s="67">
        <f t="shared" si="110"/>
        <v>434.66930526022429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197.99999999999994</v>
      </c>
      <c r="O138" s="13">
        <f>N138*VLOOKUP('Données projet'!$B$9,Paramètres!$A$1:$I$89,3,0)*VLOOKUP('Données projet'!$B$9,Paramètres!$A$1:$I$89,5,0)</f>
        <v>123.55199999999995</v>
      </c>
      <c r="P138" s="13">
        <f t="shared" si="141"/>
        <v>32.502033262579566</v>
      </c>
      <c r="Q138" s="20">
        <f t="shared" si="108"/>
        <v>271.79410793232597</v>
      </c>
      <c r="R138" s="59">
        <f t="shared" si="109"/>
        <v>565.12744126565929</v>
      </c>
      <c r="S138" s="59">
        <f ca="1">AVERAGE(OFFSET($R$3,0,0,'Données projet'!$E$9+1,1))-AVERAGE(OFFSET($H$3,0,0,'Données projet'!$E$9+1,1))</f>
        <v>168.81286953191102</v>
      </c>
      <c r="T138" s="59">
        <f t="shared" si="142"/>
        <v>255.78677933103666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6.3312054093955021</v>
      </c>
      <c r="AA138" s="21">
        <f>EXP(-LN(2)/25)*AA137+(1-EXP(-LN(2)/25))/(LN(2)/25)*Calculateur!V138*Calculateur!X138*VLOOKUP('Données projet'!$B$9,Paramètres!$A$1:$I$89,3,0)*0.475*44/12</f>
        <v>4.189645384750591</v>
      </c>
      <c r="AB138" s="21">
        <f>EXP(-LN(2)/2)*AB137+(1-EXP(-LN(2)/2))/(LN(2)/2)*V138*Y138*VLOOKUP('Données projet'!$B$9,Paramètres!$A$1:$I$89,3,0)*0.475*44/12</f>
        <v>3.07545305239471E-13</v>
      </c>
      <c r="AC138" s="22">
        <f t="shared" si="111"/>
        <v>10.5208507941464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435.00000000000023</v>
      </c>
      <c r="AJ138" s="13">
        <f>AI138*VLOOKUP('Données projet'!$B$10,Paramètres!$A$1:$I$89,3,0)*VLOOKUP('Données projet'!$B$10,Paramètres!$A$1:$I$89,5,0)</f>
        <v>260.13000000000017</v>
      </c>
      <c r="AK138" s="13">
        <f t="shared" si="143"/>
        <v>62.75008789651104</v>
      </c>
      <c r="AL138" s="20">
        <f t="shared" si="112"/>
        <v>562.349486419757</v>
      </c>
      <c r="AM138" s="59">
        <f t="shared" si="113"/>
        <v>855.68281975309037</v>
      </c>
      <c r="AN138" s="59">
        <f ca="1">AVERAGE(OFFSET($AM$3,0,0,'Données projet'!$E$10+1,1))-AVERAGE(OFFSET($H$3,0,0,'Données projet'!$E$10+1,1))</f>
        <v>247.08914525784144</v>
      </c>
      <c r="AO138" s="59">
        <f t="shared" si="144"/>
        <v>286.9617518796191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8.1137588618090586</v>
      </c>
      <c r="AV138" s="21">
        <f>EXP(-LN(2)/25)*AV137+(1-EXP(-LN(2)/25))/(LN(2)/25)*Calculateur!AQ138*Calculateur!AS138*VLOOKUP('Données projet'!$B$10,Paramètres!$A$1:$I$89,3,0)*0.475*44/12</f>
        <v>4.0002077315121189</v>
      </c>
      <c r="AW138" s="21">
        <f>EXP(-LN(2)/2)*AW137+(1-EXP(-LN(2)/2))/(LN(2)/2)*AQ138*AT138*VLOOKUP('Données projet'!$B$10,Paramètres!$A$1:$I$89,3,0)*0.475*44/12</f>
        <v>2.8883373747456095E-11</v>
      </c>
      <c r="AX138" s="21">
        <f t="shared" si="114"/>
        <v>12.11396659335006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318.99999999999994</v>
      </c>
      <c r="BE138" s="13">
        <f>BD138*VLOOKUP('Données projet'!$B$11,Paramètres!$A$1:$I$89,3,0)*VLOOKUP('Données projet'!$B$11,Paramètres!$A$1:$I$89,5,0)</f>
        <v>253.79639999999995</v>
      </c>
      <c r="BF138" s="13">
        <f t="shared" si="145"/>
        <v>61.398168322280704</v>
      </c>
      <c r="BG138" s="20">
        <f t="shared" si="115"/>
        <v>548.9638731613054</v>
      </c>
      <c r="BH138" s="59">
        <f t="shared" si="116"/>
        <v>842.29720649463866</v>
      </c>
      <c r="BI138" s="59">
        <f ca="1">AVERAGE(OFFSET($BH$3,0,0,'Données projet'!$E$11+1,1))-AVERAGE(OFFSET($H$3,0,0,'Données projet'!$E$11+1,1))</f>
        <v>280.45463274302153</v>
      </c>
      <c r="BJ138" s="59">
        <f t="shared" si="146"/>
        <v>276.06968650495287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13.763103010209424</v>
      </c>
      <c r="BQ138" s="21">
        <f>EXP(-LN(2)/25)*BQ137+(1-EXP(-LN(2)/25))/(LN(2)/25)*Calculateur!BL138*Calculateur!BN138*VLOOKUP('Données projet'!$B$11,Paramètres!$A$1:$I$89,3,0)*0.475*44/12</f>
        <v>0.55643868121257745</v>
      </c>
      <c r="BR138" s="21">
        <f>EXP(-LN(2)/2)*BR137+(1-EXP(-LN(2)/2))/(LN(2)/2)*BL138*BO138*VLOOKUP('Données projet'!$B$11,Paramètres!$A$1:$I$89,3,0)*0.475*44/12</f>
        <v>3.2310477636411823E-9</v>
      </c>
      <c r="BS138" s="22">
        <f t="shared" si="117"/>
        <v>14.319541694653049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63.648000000000238</v>
      </c>
      <c r="D139" s="11">
        <f t="shared" si="140"/>
        <v>18.087405707268417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630.93997388067032</v>
      </c>
      <c r="H139" s="67">
        <f t="shared" si="110"/>
        <v>435.68916494015957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197.99999999999994</v>
      </c>
      <c r="O139" s="13">
        <f>N139*VLOOKUP('Données projet'!$B$9,Paramètres!$A$1:$I$89,3,0)*VLOOKUP('Données projet'!$B$9,Paramètres!$A$1:$I$89,5,0)</f>
        <v>123.55199999999995</v>
      </c>
      <c r="P139" s="13">
        <f t="shared" si="141"/>
        <v>32.502033262579566</v>
      </c>
      <c r="Q139" s="20">
        <f t="shared" si="108"/>
        <v>271.79410793232597</v>
      </c>
      <c r="R139" s="59">
        <f t="shared" si="109"/>
        <v>565.12744126565929</v>
      </c>
      <c r="S139" s="59">
        <f ca="1">AVERAGE(OFFSET($R$3,0,0,'Données projet'!$E$9+1,1))-AVERAGE(OFFSET($H$3,0,0,'Données projet'!$E$9+1,1))</f>
        <v>168.81286953191102</v>
      </c>
      <c r="T139" s="59">
        <f t="shared" si="142"/>
        <v>255.78677933103666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6.2070543329712491</v>
      </c>
      <c r="AA139" s="21">
        <f>EXP(-LN(2)/25)*AA138+(1-EXP(-LN(2)/25))/(LN(2)/25)*Calculateur!V139*Calculateur!X139*VLOOKUP('Données projet'!$B$9,Paramètres!$A$1:$I$89,3,0)*0.475*44/12</f>
        <v>4.0750793113807111</v>
      </c>
      <c r="AB139" s="21">
        <f>EXP(-LN(2)/2)*AB138+(1-EXP(-LN(2)/2))/(LN(2)/2)*V139*Y139*VLOOKUP('Données projet'!$B$9,Paramètres!$A$1:$I$89,3,0)*0.475*44/12</f>
        <v>2.1746737085691659E-13</v>
      </c>
      <c r="AC139" s="22">
        <f t="shared" si="111"/>
        <v>10.282133644352177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435.00000000000023</v>
      </c>
      <c r="AJ139" s="13">
        <f>AI139*VLOOKUP('Données projet'!$B$10,Paramètres!$A$1:$I$89,3,0)*VLOOKUP('Données projet'!$B$10,Paramètres!$A$1:$I$89,5,0)</f>
        <v>260.13000000000017</v>
      </c>
      <c r="AK139" s="13">
        <f t="shared" si="143"/>
        <v>62.75008789651104</v>
      </c>
      <c r="AL139" s="20">
        <f t="shared" si="112"/>
        <v>562.349486419757</v>
      </c>
      <c r="AM139" s="59">
        <f t="shared" si="113"/>
        <v>855.68281975309037</v>
      </c>
      <c r="AN139" s="59">
        <f ca="1">AVERAGE(OFFSET($AM$3,0,0,'Données projet'!$E$10+1,1))-AVERAGE(OFFSET($H$3,0,0,'Données projet'!$E$10+1,1))</f>
        <v>247.08914525784144</v>
      </c>
      <c r="AO139" s="59">
        <f t="shared" si="144"/>
        <v>286.9617518796191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7.9546529994332253</v>
      </c>
      <c r="AV139" s="21">
        <f>EXP(-LN(2)/25)*AV138+(1-EXP(-LN(2)/25))/(LN(2)/25)*Calculateur!AQ139*Calculateur!AS139*VLOOKUP('Données projet'!$B$10,Paramètres!$A$1:$I$89,3,0)*0.475*44/12</f>
        <v>3.890821840732138</v>
      </c>
      <c r="AW139" s="21">
        <f>EXP(-LN(2)/2)*AW138+(1-EXP(-LN(2)/2))/(LN(2)/2)*AQ139*AT139*VLOOKUP('Données projet'!$B$10,Paramètres!$A$1:$I$89,3,0)*0.475*44/12</f>
        <v>2.042362944037171E-11</v>
      </c>
      <c r="AX139" s="21">
        <f t="shared" si="114"/>
        <v>11.845474840185785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318.99999999999994</v>
      </c>
      <c r="BE139" s="13">
        <f>BD139*VLOOKUP('Données projet'!$B$11,Paramètres!$A$1:$I$89,3,0)*VLOOKUP('Données projet'!$B$11,Paramètres!$A$1:$I$89,5,0)</f>
        <v>253.79639999999995</v>
      </c>
      <c r="BF139" s="13">
        <f t="shared" si="145"/>
        <v>61.398168322280704</v>
      </c>
      <c r="BG139" s="20">
        <f t="shared" si="115"/>
        <v>548.9638731613054</v>
      </c>
      <c r="BH139" s="59">
        <f t="shared" si="116"/>
        <v>842.29720649463866</v>
      </c>
      <c r="BI139" s="59">
        <f ca="1">AVERAGE(OFFSET($BH$3,0,0,'Données projet'!$E$11+1,1))-AVERAGE(OFFSET($H$3,0,0,'Données projet'!$E$11+1,1))</f>
        <v>280.45463274302153</v>
      </c>
      <c r="BJ139" s="59">
        <f t="shared" si="146"/>
        <v>276.06968650495287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13.493216954843149</v>
      </c>
      <c r="BQ139" s="21">
        <f>EXP(-LN(2)/25)*BQ138+(1-EXP(-LN(2)/25))/(LN(2)/25)*Calculateur!BL139*Calculateur!BN139*VLOOKUP('Données projet'!$B$11,Paramètres!$A$1:$I$89,3,0)*0.475*44/12</f>
        <v>0.54122283621298106</v>
      </c>
      <c r="BR139" s="21">
        <f>EXP(-LN(2)/2)*BR138+(1-EXP(-LN(2)/2))/(LN(2)/2)*BL139*BO139*VLOOKUP('Données projet'!$B$11,Paramètres!$A$1:$I$89,3,0)*0.475*44/12</f>
        <v>2.2846957840083092E-9</v>
      </c>
      <c r="BS139" s="22">
        <f t="shared" si="117"/>
        <v>14.034439793340825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64.116000000000241</v>
      </c>
      <c r="D140" s="11">
        <f t="shared" si="140"/>
        <v>18.204870493705315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635.45935117948159</v>
      </c>
      <c r="H140" s="67">
        <f t="shared" si="110"/>
        <v>436.7088494432038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197.99999999999994</v>
      </c>
      <c r="O140" s="13">
        <f>N140*VLOOKUP('Données projet'!$B$9,Paramètres!$A$1:$I$89,3,0)*VLOOKUP('Données projet'!$B$9,Paramètres!$A$1:$I$89,5,0)</f>
        <v>123.55199999999995</v>
      </c>
      <c r="P140" s="13">
        <f t="shared" si="141"/>
        <v>32.502033262579566</v>
      </c>
      <c r="Q140" s="20">
        <f t="shared" si="108"/>
        <v>271.79410793232597</v>
      </c>
      <c r="R140" s="59">
        <f t="shared" si="109"/>
        <v>565.12744126565929</v>
      </c>
      <c r="S140" s="59">
        <f ca="1">AVERAGE(OFFSET($R$3,0,0,'Données projet'!$E$9+1,1))-AVERAGE(OFFSET($H$3,0,0,'Données projet'!$E$9+1,1))</f>
        <v>168.81286953191102</v>
      </c>
      <c r="T140" s="59">
        <f t="shared" si="142"/>
        <v>255.78677933103666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6.0853377834309965</v>
      </c>
      <c r="AA140" s="21">
        <f>EXP(-LN(2)/25)*AA139+(1-EXP(-LN(2)/25))/(LN(2)/25)*Calculateur!V140*Calculateur!X140*VLOOKUP('Données projet'!$B$9,Paramètres!$A$1:$I$89,3,0)*0.475*44/12</f>
        <v>3.9636460533118982</v>
      </c>
      <c r="AB140" s="21">
        <f>EXP(-LN(2)/2)*AB139+(1-EXP(-LN(2)/2))/(LN(2)/2)*V140*Y140*VLOOKUP('Données projet'!$B$9,Paramètres!$A$1:$I$89,3,0)*0.475*44/12</f>
        <v>1.537726526197355E-13</v>
      </c>
      <c r="AC140" s="22">
        <f t="shared" si="111"/>
        <v>10.04898383674305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435.00000000000023</v>
      </c>
      <c r="AJ140" s="13">
        <f>AI140*VLOOKUP('Données projet'!$B$10,Paramètres!$A$1:$I$89,3,0)*VLOOKUP('Données projet'!$B$10,Paramètres!$A$1:$I$89,5,0)</f>
        <v>260.13000000000017</v>
      </c>
      <c r="AK140" s="13">
        <f t="shared" si="143"/>
        <v>62.75008789651104</v>
      </c>
      <c r="AL140" s="20">
        <f t="shared" si="112"/>
        <v>562.349486419757</v>
      </c>
      <c r="AM140" s="59">
        <f t="shared" si="113"/>
        <v>855.68281975309037</v>
      </c>
      <c r="AN140" s="59">
        <f ca="1">AVERAGE(OFFSET($AM$3,0,0,'Données projet'!$E$10+1,1))-AVERAGE(OFFSET($H$3,0,0,'Données projet'!$E$10+1,1))</f>
        <v>247.08914525784144</v>
      </c>
      <c r="AO140" s="59">
        <f t="shared" si="144"/>
        <v>286.9617518796191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7.7986671059735881</v>
      </c>
      <c r="AV140" s="21">
        <f>EXP(-LN(2)/25)*AV139+(1-EXP(-LN(2)/25))/(LN(2)/25)*Calculateur!AQ140*Calculateur!AS140*VLOOKUP('Données projet'!$B$10,Paramètres!$A$1:$I$89,3,0)*0.475*44/12</f>
        <v>3.7844271128878897</v>
      </c>
      <c r="AW140" s="21">
        <f>EXP(-LN(2)/2)*AW139+(1-EXP(-LN(2)/2))/(LN(2)/2)*AQ140*AT140*VLOOKUP('Données projet'!$B$10,Paramètres!$A$1:$I$89,3,0)*0.475*44/12</f>
        <v>1.4441686873728049E-11</v>
      </c>
      <c r="AX140" s="21">
        <f t="shared" si="114"/>
        <v>11.583094218875919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318.99999999999994</v>
      </c>
      <c r="BE140" s="13">
        <f>BD140*VLOOKUP('Données projet'!$B$11,Paramètres!$A$1:$I$89,3,0)*VLOOKUP('Données projet'!$B$11,Paramètres!$A$1:$I$89,5,0)</f>
        <v>253.79639999999995</v>
      </c>
      <c r="BF140" s="13">
        <f t="shared" si="145"/>
        <v>61.398168322280704</v>
      </c>
      <c r="BG140" s="20">
        <f t="shared" si="115"/>
        <v>548.9638731613054</v>
      </c>
      <c r="BH140" s="59">
        <f t="shared" si="116"/>
        <v>842.29720649463866</v>
      </c>
      <c r="BI140" s="59">
        <f ca="1">AVERAGE(OFFSET($BH$3,0,0,'Données projet'!$E$11+1,1))-AVERAGE(OFFSET($H$3,0,0,'Données projet'!$E$11+1,1))</f>
        <v>280.45463274302153</v>
      </c>
      <c r="BJ140" s="59">
        <f t="shared" si="146"/>
        <v>276.06968650495287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13.228623200408368</v>
      </c>
      <c r="BQ140" s="21">
        <f>EXP(-LN(2)/25)*BQ139+(1-EXP(-LN(2)/25))/(LN(2)/25)*Calculateur!BL140*Calculateur!BN140*VLOOKUP('Données projet'!$B$11,Paramètres!$A$1:$I$89,3,0)*0.475*44/12</f>
        <v>0.5264230692950651</v>
      </c>
      <c r="BR140" s="21">
        <f>EXP(-LN(2)/2)*BR139+(1-EXP(-LN(2)/2))/(LN(2)/2)*BL140*BO140*VLOOKUP('Données projet'!$B$11,Paramètres!$A$1:$I$89,3,0)*0.475*44/12</f>
        <v>1.6155238818205912E-9</v>
      </c>
      <c r="BS140" s="22">
        <f t="shared" si="117"/>
        <v>13.755046271318957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64.584000000000245</v>
      </c>
      <c r="D141" s="11">
        <f t="shared" si="140"/>
        <v>18.322235519392791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639.97795839531466</v>
      </c>
      <c r="H141" s="67">
        <f t="shared" si="110"/>
        <v>437.72836019627618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197.99999999999994</v>
      </c>
      <c r="O141" s="13">
        <f>N141*VLOOKUP('Données projet'!$B$9,Paramètres!$A$1:$I$89,3,0)*VLOOKUP('Données projet'!$B$9,Paramètres!$A$1:$I$89,5,0)</f>
        <v>123.55199999999995</v>
      </c>
      <c r="P141" s="13">
        <f t="shared" si="141"/>
        <v>32.502033262579566</v>
      </c>
      <c r="Q141" s="20">
        <f t="shared" si="108"/>
        <v>271.79410793232597</v>
      </c>
      <c r="R141" s="59">
        <f t="shared" si="109"/>
        <v>565.12744126565929</v>
      </c>
      <c r="S141" s="59">
        <f ca="1">AVERAGE(OFFSET($R$3,0,0,'Données projet'!$E$9+1,1))-AVERAGE(OFFSET($H$3,0,0,'Données projet'!$E$9+1,1))</f>
        <v>168.81286953191102</v>
      </c>
      <c r="T141" s="59">
        <f t="shared" si="142"/>
        <v>255.78677933103666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5.9660080211874638</v>
      </c>
      <c r="AA141" s="21">
        <f>EXP(-LN(2)/25)*AA140+(1-EXP(-LN(2)/25))/(LN(2)/25)*Calculateur!V141*Calculateur!X141*VLOOKUP('Données projet'!$B$9,Paramètres!$A$1:$I$89,3,0)*0.475*44/12</f>
        <v>3.8552599435449975</v>
      </c>
      <c r="AB141" s="21">
        <f>EXP(-LN(2)/2)*AB140+(1-EXP(-LN(2)/2))/(LN(2)/2)*V141*Y141*VLOOKUP('Données projet'!$B$9,Paramètres!$A$1:$I$89,3,0)*0.475*44/12</f>
        <v>1.087336854284583E-13</v>
      </c>
      <c r="AC141" s="22">
        <f t="shared" si="111"/>
        <v>9.82126796473257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435.00000000000023</v>
      </c>
      <c r="AJ141" s="13">
        <f>AI141*VLOOKUP('Données projet'!$B$10,Paramètres!$A$1:$I$89,3,0)*VLOOKUP('Données projet'!$B$10,Paramètres!$A$1:$I$89,5,0)</f>
        <v>260.13000000000017</v>
      </c>
      <c r="AK141" s="13">
        <f t="shared" si="143"/>
        <v>62.75008789651104</v>
      </c>
      <c r="AL141" s="20">
        <f t="shared" si="112"/>
        <v>562.349486419757</v>
      </c>
      <c r="AM141" s="59">
        <f t="shared" si="113"/>
        <v>855.68281975309037</v>
      </c>
      <c r="AN141" s="59">
        <f ca="1">AVERAGE(OFFSET($AM$3,0,0,'Données projet'!$E$10+1,1))-AVERAGE(OFFSET($H$3,0,0,'Données projet'!$E$10+1,1))</f>
        <v>247.08914525784144</v>
      </c>
      <c r="AO141" s="59">
        <f t="shared" si="144"/>
        <v>286.9617518796191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7.6457400007426939</v>
      </c>
      <c r="AV141" s="21">
        <f>EXP(-LN(2)/25)*AV140+(1-EXP(-LN(2)/25))/(LN(2)/25)*Calculateur!AQ141*Calculateur!AS141*VLOOKUP('Données projet'!$B$10,Paramètres!$A$1:$I$89,3,0)*0.475*44/12</f>
        <v>3.6809417544715979</v>
      </c>
      <c r="AW141" s="21">
        <f>EXP(-LN(2)/2)*AW140+(1-EXP(-LN(2)/2))/(LN(2)/2)*AQ141*AT141*VLOOKUP('Données projet'!$B$10,Paramètres!$A$1:$I$89,3,0)*0.475*44/12</f>
        <v>1.0211814720185857E-11</v>
      </c>
      <c r="AX141" s="21">
        <f t="shared" si="114"/>
        <v>11.326681755224504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318.99999999999994</v>
      </c>
      <c r="BE141" s="13">
        <f>BD141*VLOOKUP('Données projet'!$B$11,Paramètres!$A$1:$I$89,3,0)*VLOOKUP('Données projet'!$B$11,Paramètres!$A$1:$I$89,5,0)</f>
        <v>253.79639999999995</v>
      </c>
      <c r="BF141" s="13">
        <f t="shared" si="145"/>
        <v>61.398168322280704</v>
      </c>
      <c r="BG141" s="20">
        <f t="shared" si="115"/>
        <v>548.9638731613054</v>
      </c>
      <c r="BH141" s="59">
        <f t="shared" si="116"/>
        <v>842.29720649463866</v>
      </c>
      <c r="BI141" s="59">
        <f ca="1">AVERAGE(OFFSET($BH$3,0,0,'Données projet'!$E$11+1,1))-AVERAGE(OFFSET($H$3,0,0,'Données projet'!$E$11+1,1))</f>
        <v>280.45463274302153</v>
      </c>
      <c r="BJ141" s="59">
        <f t="shared" si="146"/>
        <v>276.06968650495287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12.969217968111797</v>
      </c>
      <c r="BQ141" s="21">
        <f>EXP(-LN(2)/25)*BQ140+(1-EXP(-LN(2)/25))/(LN(2)/25)*Calculateur!BL141*Calculateur!BN141*VLOOKUP('Données projet'!$B$11,Paramètres!$A$1:$I$89,3,0)*0.475*44/12</f>
        <v>0.51202800278180549</v>
      </c>
      <c r="BR141" s="21">
        <f>EXP(-LN(2)/2)*BR140+(1-EXP(-LN(2)/2))/(LN(2)/2)*BL141*BO141*VLOOKUP('Données projet'!$B$11,Paramètres!$A$1:$I$89,3,0)*0.475*44/12</f>
        <v>1.1423478920041546E-9</v>
      </c>
      <c r="BS141" s="22">
        <f t="shared" si="117"/>
        <v>13.481245972035952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65.052000000000248</v>
      </c>
      <c r="D142" s="11">
        <f t="shared" si="140"/>
        <v>18.439501591054739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644.49580175551216</v>
      </c>
      <c r="H142" s="67">
        <f t="shared" si="110"/>
        <v>438.74769860442075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197.99999999999994</v>
      </c>
      <c r="O142" s="13">
        <f>N142*VLOOKUP('Données projet'!$B$9,Paramètres!$A$1:$I$89,3,0)*VLOOKUP('Données projet'!$B$9,Paramètres!$A$1:$I$89,5,0)</f>
        <v>123.55199999999995</v>
      </c>
      <c r="P142" s="13">
        <f t="shared" si="141"/>
        <v>32.502033262579566</v>
      </c>
      <c r="Q142" s="20">
        <f t="shared" si="108"/>
        <v>271.79410793232597</v>
      </c>
      <c r="R142" s="59">
        <f t="shared" si="109"/>
        <v>565.12744126565929</v>
      </c>
      <c r="S142" s="59">
        <f ca="1">AVERAGE(OFFSET($R$3,0,0,'Données projet'!$E$9+1,1))-AVERAGE(OFFSET($H$3,0,0,'Données projet'!$E$9+1,1))</f>
        <v>168.81286953191102</v>
      </c>
      <c r="T142" s="59">
        <f t="shared" si="142"/>
        <v>255.78677933103666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5.8490182427975581</v>
      </c>
      <c r="AA142" s="21">
        <f>EXP(-LN(2)/25)*AA141+(1-EXP(-LN(2)/25))/(LN(2)/25)*Calculateur!V142*Calculateur!X142*VLOOKUP('Données projet'!$B$9,Paramètres!$A$1:$I$89,3,0)*0.475*44/12</f>
        <v>3.7498376576494503</v>
      </c>
      <c r="AB142" s="21">
        <f>EXP(-LN(2)/2)*AB141+(1-EXP(-LN(2)/2))/(LN(2)/2)*V142*Y142*VLOOKUP('Données projet'!$B$9,Paramètres!$A$1:$I$89,3,0)*0.475*44/12</f>
        <v>7.688632630986775E-14</v>
      </c>
      <c r="AC142" s="22">
        <f t="shared" si="111"/>
        <v>9.5988559004470844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435.00000000000023</v>
      </c>
      <c r="AJ142" s="13">
        <f>AI142*VLOOKUP('Données projet'!$B$10,Paramètres!$A$1:$I$89,3,0)*VLOOKUP('Données projet'!$B$10,Paramètres!$A$1:$I$89,5,0)</f>
        <v>260.13000000000017</v>
      </c>
      <c r="AK142" s="13">
        <f t="shared" si="143"/>
        <v>62.75008789651104</v>
      </c>
      <c r="AL142" s="20">
        <f t="shared" si="112"/>
        <v>562.349486419757</v>
      </c>
      <c r="AM142" s="59">
        <f t="shared" si="113"/>
        <v>855.68281975309037</v>
      </c>
      <c r="AN142" s="59">
        <f ca="1">AVERAGE(OFFSET($AM$3,0,0,'Données projet'!$E$10+1,1))-AVERAGE(OFFSET($H$3,0,0,'Données projet'!$E$10+1,1))</f>
        <v>247.08914525784144</v>
      </c>
      <c r="AO142" s="59">
        <f t="shared" si="144"/>
        <v>286.9617518796191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7.4958117027690534</v>
      </c>
      <c r="AV142" s="21">
        <f>EXP(-LN(2)/25)*AV141+(1-EXP(-LN(2)/25))/(LN(2)/25)*Calculateur!AQ142*Calculateur!AS142*VLOOKUP('Données projet'!$B$10,Paramètres!$A$1:$I$89,3,0)*0.475*44/12</f>
        <v>3.5802862086232579</v>
      </c>
      <c r="AW142" s="21">
        <f>EXP(-LN(2)/2)*AW141+(1-EXP(-LN(2)/2))/(LN(2)/2)*AQ142*AT142*VLOOKUP('Données projet'!$B$10,Paramètres!$A$1:$I$89,3,0)*0.475*44/12</f>
        <v>7.2208434368640263E-12</v>
      </c>
      <c r="AX142" s="21">
        <f t="shared" si="114"/>
        <v>11.076097911399533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318.99999999999994</v>
      </c>
      <c r="BE142" s="13">
        <f>BD142*VLOOKUP('Données projet'!$B$11,Paramètres!$A$1:$I$89,3,0)*VLOOKUP('Données projet'!$B$11,Paramètres!$A$1:$I$89,5,0)</f>
        <v>253.79639999999995</v>
      </c>
      <c r="BF142" s="13">
        <f t="shared" si="145"/>
        <v>61.398168322280704</v>
      </c>
      <c r="BG142" s="20">
        <f t="shared" si="115"/>
        <v>548.9638731613054</v>
      </c>
      <c r="BH142" s="59">
        <f t="shared" si="116"/>
        <v>842.29720649463866</v>
      </c>
      <c r="BI142" s="59">
        <f ca="1">AVERAGE(OFFSET($BH$3,0,0,'Données projet'!$E$11+1,1))-AVERAGE(OFFSET($H$3,0,0,'Données projet'!$E$11+1,1))</f>
        <v>280.45463274302153</v>
      </c>
      <c r="BJ142" s="59">
        <f t="shared" si="146"/>
        <v>276.06968650495287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12.714899514198994</v>
      </c>
      <c r="BQ142" s="21">
        <f>EXP(-LN(2)/25)*BQ141+(1-EXP(-LN(2)/25))/(LN(2)/25)*Calculateur!BL142*Calculateur!BN142*VLOOKUP('Données projet'!$B$11,Paramètres!$A$1:$I$89,3,0)*0.475*44/12</f>
        <v>0.49802657011935458</v>
      </c>
      <c r="BR142" s="21">
        <f>EXP(-LN(2)/2)*BR141+(1-EXP(-LN(2)/2))/(LN(2)/2)*BL142*BO142*VLOOKUP('Données projet'!$B$11,Paramètres!$A$1:$I$89,3,0)*0.475*44/12</f>
        <v>8.0776194091029558E-10</v>
      </c>
      <c r="BS142" s="22">
        <f t="shared" si="117"/>
        <v>13.21292608512611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65.520000000000252</v>
      </c>
      <c r="D143" s="11">
        <f t="shared" si="140"/>
        <v>18.556669503136781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649.01288739263669</v>
      </c>
      <c r="H143" s="67">
        <f t="shared" si="110"/>
        <v>439.76686605129692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197.99999999999994</v>
      </c>
      <c r="O143" s="13">
        <f>N143*VLOOKUP('Données projet'!$B$9,Paramètres!$A$1:$I$89,3,0)*VLOOKUP('Données projet'!$B$9,Paramètres!$A$1:$I$89,5,0)</f>
        <v>123.55199999999995</v>
      </c>
      <c r="P143" s="13">
        <f t="shared" si="141"/>
        <v>32.502033262579566</v>
      </c>
      <c r="Q143" s="20">
        <f t="shared" si="108"/>
        <v>271.79410793232597</v>
      </c>
      <c r="R143" s="59">
        <f t="shared" si="109"/>
        <v>565.12744126565929</v>
      </c>
      <c r="S143" s="59">
        <f ca="1">AVERAGE(OFFSET($R$3,0,0,'Données projet'!$E$9+1,1))-AVERAGE(OFFSET($H$3,0,0,'Données projet'!$E$9+1,1))</f>
        <v>168.81286953191102</v>
      </c>
      <c r="T143" s="59">
        <f t="shared" si="142"/>
        <v>255.78677933103666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5.7343225626051595</v>
      </c>
      <c r="AA143" s="21">
        <f>EXP(-LN(2)/25)*AA142+(1-EXP(-LN(2)/25))/(LN(2)/25)*Calculateur!V143*Calculateur!X143*VLOOKUP('Données projet'!$B$9,Paramètres!$A$1:$I$89,3,0)*0.475*44/12</f>
        <v>3.6472981497056343</v>
      </c>
      <c r="AB143" s="21">
        <f>EXP(-LN(2)/2)*AB142+(1-EXP(-LN(2)/2))/(LN(2)/2)*V143*Y143*VLOOKUP('Données projet'!$B$9,Paramètres!$A$1:$I$89,3,0)*0.475*44/12</f>
        <v>5.4366842714229148E-14</v>
      </c>
      <c r="AC143" s="22">
        <f t="shared" si="111"/>
        <v>9.3816207123108484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435.00000000000023</v>
      </c>
      <c r="AJ143" s="13">
        <f>AI143*VLOOKUP('Données projet'!$B$10,Paramètres!$A$1:$I$89,3,0)*VLOOKUP('Données projet'!$B$10,Paramètres!$A$1:$I$89,5,0)</f>
        <v>260.13000000000017</v>
      </c>
      <c r="AK143" s="13">
        <f t="shared" si="143"/>
        <v>62.75008789651104</v>
      </c>
      <c r="AL143" s="20">
        <f t="shared" si="112"/>
        <v>562.349486419757</v>
      </c>
      <c r="AM143" s="59">
        <f t="shared" si="113"/>
        <v>855.68281975309037</v>
      </c>
      <c r="AN143" s="59">
        <f ca="1">AVERAGE(OFFSET($AM$3,0,0,'Données projet'!$E$10+1,1))-AVERAGE(OFFSET($H$3,0,0,'Données projet'!$E$10+1,1))</f>
        <v>247.08914525784144</v>
      </c>
      <c r="AO143" s="59">
        <f t="shared" si="144"/>
        <v>286.9617518796191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7.3488234072714445</v>
      </c>
      <c r="AV143" s="21">
        <f>EXP(-LN(2)/25)*AV142+(1-EXP(-LN(2)/25))/(LN(2)/25)*Calculateur!AQ143*Calculateur!AS143*VLOOKUP('Données projet'!$B$10,Paramètres!$A$1:$I$89,3,0)*0.475*44/12</f>
        <v>3.4823830939693861</v>
      </c>
      <c r="AW143" s="21">
        <f>EXP(-LN(2)/2)*AW142+(1-EXP(-LN(2)/2))/(LN(2)/2)*AQ143*AT143*VLOOKUP('Données projet'!$B$10,Paramètres!$A$1:$I$89,3,0)*0.475*44/12</f>
        <v>5.1059073600929291E-12</v>
      </c>
      <c r="AX143" s="21">
        <f t="shared" si="114"/>
        <v>10.831206501245935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318.99999999999994</v>
      </c>
      <c r="BE143" s="13">
        <f>BD143*VLOOKUP('Données projet'!$B$11,Paramètres!$A$1:$I$89,3,0)*VLOOKUP('Données projet'!$B$11,Paramètres!$A$1:$I$89,5,0)</f>
        <v>253.79639999999995</v>
      </c>
      <c r="BF143" s="13">
        <f t="shared" si="145"/>
        <v>61.398168322280704</v>
      </c>
      <c r="BG143" s="20">
        <f t="shared" si="115"/>
        <v>548.9638731613054</v>
      </c>
      <c r="BH143" s="59">
        <f t="shared" si="116"/>
        <v>842.29720649463866</v>
      </c>
      <c r="BI143" s="59">
        <f ca="1">AVERAGE(OFFSET($BH$3,0,0,'Données projet'!$E$11+1,1))-AVERAGE(OFFSET($H$3,0,0,'Données projet'!$E$11+1,1))</f>
        <v>280.45463274302153</v>
      </c>
      <c r="BJ143" s="59">
        <f t="shared" si="146"/>
        <v>276.06968650495287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12.46556809004848</v>
      </c>
      <c r="BQ143" s="21">
        <f>EXP(-LN(2)/25)*BQ142+(1-EXP(-LN(2)/25))/(LN(2)/25)*Calculateur!BL143*Calculateur!BN143*VLOOKUP('Données projet'!$B$11,Paramètres!$A$1:$I$89,3,0)*0.475*44/12</f>
        <v>0.48440800736936179</v>
      </c>
      <c r="BR143" s="21">
        <f>EXP(-LN(2)/2)*BR142+(1-EXP(-LN(2)/2))/(LN(2)/2)*BL143*BO143*VLOOKUP('Données projet'!$B$11,Paramètres!$A$1:$I$89,3,0)*0.475*44/12</f>
        <v>5.711739460020773E-10</v>
      </c>
      <c r="BS143" s="22">
        <f t="shared" si="117"/>
        <v>12.949976097989015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65.988000000000255</v>
      </c>
      <c r="D144" s="11">
        <f t="shared" si="140"/>
        <v>18.673740038079515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653.5292213465807</v>
      </c>
      <c r="H144" s="67">
        <f t="shared" si="110"/>
        <v>440.78586389965557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197.99999999999994</v>
      </c>
      <c r="O144" s="13">
        <f>N144*VLOOKUP('Données projet'!$B$9,Paramètres!$A$1:$I$89,3,0)*VLOOKUP('Données projet'!$B$9,Paramètres!$A$1:$I$89,5,0)</f>
        <v>123.55199999999995</v>
      </c>
      <c r="P144" s="13">
        <f t="shared" si="141"/>
        <v>32.502033262579566</v>
      </c>
      <c r="Q144" s="20">
        <f t="shared" si="108"/>
        <v>271.79410793232597</v>
      </c>
      <c r="R144" s="59">
        <f t="shared" si="109"/>
        <v>565.12744126565929</v>
      </c>
      <c r="S144" s="59">
        <f ca="1">AVERAGE(OFFSET($R$3,0,0,'Données projet'!$E$9+1,1))-AVERAGE(OFFSET($H$3,0,0,'Données projet'!$E$9+1,1))</f>
        <v>168.81286953191102</v>
      </c>
      <c r="T144" s="59">
        <f t="shared" si="142"/>
        <v>255.78677933103666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5.6218759947438768</v>
      </c>
      <c r="AA144" s="21">
        <f>EXP(-LN(2)/25)*AA143+(1-EXP(-LN(2)/25))/(LN(2)/25)*Calculateur!V144*Calculateur!X144*VLOOKUP('Données projet'!$B$9,Paramètres!$A$1:$I$89,3,0)*0.475*44/12</f>
        <v>3.5475625899988601</v>
      </c>
      <c r="AB144" s="21">
        <f>EXP(-LN(2)/2)*AB143+(1-EXP(-LN(2)/2))/(LN(2)/2)*V144*Y144*VLOOKUP('Données projet'!$B$9,Paramètres!$A$1:$I$89,3,0)*0.475*44/12</f>
        <v>3.8443163154933875E-14</v>
      </c>
      <c r="AC144" s="22">
        <f t="shared" si="111"/>
        <v>9.1694385847427764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435.00000000000023</v>
      </c>
      <c r="AJ144" s="13">
        <f>AI144*VLOOKUP('Données projet'!$B$10,Paramètres!$A$1:$I$89,3,0)*VLOOKUP('Données projet'!$B$10,Paramètres!$A$1:$I$89,5,0)</f>
        <v>260.13000000000017</v>
      </c>
      <c r="AK144" s="13">
        <f t="shared" si="143"/>
        <v>62.75008789651104</v>
      </c>
      <c r="AL144" s="20">
        <f t="shared" si="112"/>
        <v>562.349486419757</v>
      </c>
      <c r="AM144" s="59">
        <f t="shared" si="113"/>
        <v>855.68281975309037</v>
      </c>
      <c r="AN144" s="59">
        <f ca="1">AVERAGE(OFFSET($AM$3,0,0,'Données projet'!$E$10+1,1))-AVERAGE(OFFSET($H$3,0,0,'Données projet'!$E$10+1,1))</f>
        <v>247.08914525784144</v>
      </c>
      <c r="AO144" s="59">
        <f t="shared" si="144"/>
        <v>286.9617518796191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7.2047174625945356</v>
      </c>
      <c r="AV144" s="21">
        <f>EXP(-LN(2)/25)*AV143+(1-EXP(-LN(2)/25))/(LN(2)/25)*Calculateur!AQ144*Calculateur!AS144*VLOOKUP('Données projet'!$B$10,Paramètres!$A$1:$I$89,3,0)*0.475*44/12</f>
        <v>3.3871571451342253</v>
      </c>
      <c r="AW144" s="21">
        <f>EXP(-LN(2)/2)*AW143+(1-EXP(-LN(2)/2))/(LN(2)/2)*AQ144*AT144*VLOOKUP('Données projet'!$B$10,Paramètres!$A$1:$I$89,3,0)*0.475*44/12</f>
        <v>3.6104217184320135E-12</v>
      </c>
      <c r="AX144" s="21">
        <f t="shared" si="114"/>
        <v>10.59187460773237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318.99999999999994</v>
      </c>
      <c r="BE144" s="13">
        <f>BD144*VLOOKUP('Données projet'!$B$11,Paramètres!$A$1:$I$89,3,0)*VLOOKUP('Données projet'!$B$11,Paramètres!$A$1:$I$89,5,0)</f>
        <v>253.79639999999995</v>
      </c>
      <c r="BF144" s="13">
        <f t="shared" si="145"/>
        <v>61.398168322280704</v>
      </c>
      <c r="BG144" s="20">
        <f t="shared" si="115"/>
        <v>548.9638731613054</v>
      </c>
      <c r="BH144" s="59">
        <f t="shared" si="116"/>
        <v>842.29720649463866</v>
      </c>
      <c r="BI144" s="59">
        <f ca="1">AVERAGE(OFFSET($BH$3,0,0,'Données projet'!$E$11+1,1))-AVERAGE(OFFSET($H$3,0,0,'Données projet'!$E$11+1,1))</f>
        <v>280.45463274302153</v>
      </c>
      <c r="BJ144" s="59">
        <f t="shared" si="146"/>
        <v>276.06968650495287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12.221125903048407</v>
      </c>
      <c r="BQ144" s="21">
        <f>EXP(-LN(2)/25)*BQ143+(1-EXP(-LN(2)/25))/(LN(2)/25)*Calculateur!BL144*Calculateur!BN144*VLOOKUP('Données projet'!$B$11,Paramètres!$A$1:$I$89,3,0)*0.475*44/12</f>
        <v>0.47116184493393659</v>
      </c>
      <c r="BR144" s="21">
        <f>EXP(-LN(2)/2)*BR143+(1-EXP(-LN(2)/2))/(LN(2)/2)*BL144*BO144*VLOOKUP('Données projet'!$B$11,Paramètres!$A$1:$I$89,3,0)*0.475*44/12</f>
        <v>4.0388097045514779E-10</v>
      </c>
      <c r="BS144" s="22">
        <f t="shared" si="117"/>
        <v>12.692287748386224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66.456000000000259</v>
      </c>
      <c r="D145" s="11">
        <f t="shared" si="140"/>
        <v>18.790713966583677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658.04480956661291</v>
      </c>
      <c r="H145" s="67">
        <f t="shared" si="110"/>
        <v>441.80469349180032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197.99999999999994</v>
      </c>
      <c r="O145" s="13">
        <f>N145*VLOOKUP('Données projet'!$B$9,Paramètres!$A$1:$I$89,3,0)*VLOOKUP('Données projet'!$B$9,Paramètres!$A$1:$I$89,5,0)</f>
        <v>123.55199999999995</v>
      </c>
      <c r="P145" s="13">
        <f t="shared" si="141"/>
        <v>32.502033262579566</v>
      </c>
      <c r="Q145" s="20">
        <f t="shared" si="108"/>
        <v>271.79410793232597</v>
      </c>
      <c r="R145" s="59">
        <f t="shared" si="109"/>
        <v>565.12744126565929</v>
      </c>
      <c r="S145" s="59">
        <f ca="1">AVERAGE(OFFSET($R$3,0,0,'Données projet'!$E$9+1,1))-AVERAGE(OFFSET($H$3,0,0,'Données projet'!$E$9+1,1))</f>
        <v>168.81286953191102</v>
      </c>
      <c r="T145" s="59">
        <f t="shared" si="142"/>
        <v>255.78677933103666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5.51163443549272</v>
      </c>
      <c r="AA145" s="21">
        <f>EXP(-LN(2)/25)*AA144+(1-EXP(-LN(2)/25))/(LN(2)/25)*Calculateur!V145*Calculateur!X145*VLOOKUP('Données projet'!$B$9,Paramètres!$A$1:$I$89,3,0)*0.475*44/12</f>
        <v>3.4505543044171327</v>
      </c>
      <c r="AB145" s="21">
        <f>EXP(-LN(2)/2)*AB144+(1-EXP(-LN(2)/2))/(LN(2)/2)*V145*Y145*VLOOKUP('Données projet'!$B$9,Paramètres!$A$1:$I$89,3,0)*0.475*44/12</f>
        <v>2.7183421357114574E-14</v>
      </c>
      <c r="AC145" s="22">
        <f t="shared" si="111"/>
        <v>8.9621887399098785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435.00000000000023</v>
      </c>
      <c r="AJ145" s="13">
        <f>AI145*VLOOKUP('Données projet'!$B$10,Paramètres!$A$1:$I$89,3,0)*VLOOKUP('Données projet'!$B$10,Paramètres!$A$1:$I$89,5,0)</f>
        <v>260.13000000000017</v>
      </c>
      <c r="AK145" s="13">
        <f t="shared" si="143"/>
        <v>62.75008789651104</v>
      </c>
      <c r="AL145" s="20">
        <f t="shared" si="112"/>
        <v>562.349486419757</v>
      </c>
      <c r="AM145" s="59">
        <f t="shared" si="113"/>
        <v>855.68281975309037</v>
      </c>
      <c r="AN145" s="59">
        <f ca="1">AVERAGE(OFFSET($AM$3,0,0,'Données projet'!$E$10+1,1))-AVERAGE(OFFSET($H$3,0,0,'Données projet'!$E$10+1,1))</f>
        <v>247.08914525784144</v>
      </c>
      <c r="AO145" s="59">
        <f t="shared" si="144"/>
        <v>286.9617518796191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7.0634373475967935</v>
      </c>
      <c r="AV145" s="21">
        <f>EXP(-LN(2)/25)*AV144+(1-EXP(-LN(2)/25))/(LN(2)/25)*Calculateur!AQ145*Calculateur!AS145*VLOOKUP('Données projet'!$B$10,Paramètres!$A$1:$I$89,3,0)*0.475*44/12</f>
        <v>3.2945351548776771</v>
      </c>
      <c r="AW145" s="21">
        <f>EXP(-LN(2)/2)*AW144+(1-EXP(-LN(2)/2))/(LN(2)/2)*AQ145*AT145*VLOOKUP('Données projet'!$B$10,Paramètres!$A$1:$I$89,3,0)*0.475*44/12</f>
        <v>2.552953680046465E-12</v>
      </c>
      <c r="AX145" s="21">
        <f t="shared" si="114"/>
        <v>10.357972502477024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318.99999999999994</v>
      </c>
      <c r="BE145" s="13">
        <f>BD145*VLOOKUP('Données projet'!$B$11,Paramètres!$A$1:$I$89,3,0)*VLOOKUP('Données projet'!$B$11,Paramètres!$A$1:$I$89,5,0)</f>
        <v>253.79639999999995</v>
      </c>
      <c r="BF145" s="13">
        <f t="shared" si="145"/>
        <v>61.398168322280704</v>
      </c>
      <c r="BG145" s="20">
        <f t="shared" si="115"/>
        <v>548.9638731613054</v>
      </c>
      <c r="BH145" s="59">
        <f t="shared" si="116"/>
        <v>842.29720649463866</v>
      </c>
      <c r="BI145" s="59">
        <f ca="1">AVERAGE(OFFSET($BH$3,0,0,'Données projet'!$E$11+1,1))-AVERAGE(OFFSET($H$3,0,0,'Données projet'!$E$11+1,1))</f>
        <v>280.45463274302153</v>
      </c>
      <c r="BJ145" s="59">
        <f t="shared" si="146"/>
        <v>276.06968650495287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11.981477078240392</v>
      </c>
      <c r="BQ145" s="21">
        <f>EXP(-LN(2)/25)*BQ144+(1-EXP(-LN(2)/25))/(LN(2)/25)*Calculateur!BL145*Calculateur!BN145*VLOOKUP('Données projet'!$B$11,Paramètres!$A$1:$I$89,3,0)*0.475*44/12</f>
        <v>0.45827789950689352</v>
      </c>
      <c r="BR145" s="21">
        <f>EXP(-LN(2)/2)*BR144+(1-EXP(-LN(2)/2))/(LN(2)/2)*BL145*BO145*VLOOKUP('Données projet'!$B$11,Paramètres!$A$1:$I$89,3,0)*0.475*44/12</f>
        <v>2.8558697300103865E-10</v>
      </c>
      <c r="BS145" s="22">
        <f t="shared" si="117"/>
        <v>12.439754978032871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66.924000000000262</v>
      </c>
      <c r="D146" s="11">
        <f t="shared" si="140"/>
        <v>18.90759204786773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662.559657913367</v>
      </c>
      <c r="H146" s="67">
        <f t="shared" si="110"/>
        <v>442.82335615003672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197.99999999999994</v>
      </c>
      <c r="O146" s="13">
        <f>N146*VLOOKUP('Données projet'!$B$9,Paramètres!$A$1:$I$89,3,0)*VLOOKUP('Données projet'!$B$9,Paramètres!$A$1:$I$89,5,0)</f>
        <v>123.55199999999995</v>
      </c>
      <c r="P146" s="13">
        <f t="shared" si="141"/>
        <v>32.502033262579566</v>
      </c>
      <c r="Q146" s="20">
        <f t="shared" si="108"/>
        <v>271.79410793232597</v>
      </c>
      <c r="R146" s="59">
        <f t="shared" si="109"/>
        <v>565.12744126565929</v>
      </c>
      <c r="S146" s="59">
        <f ca="1">AVERAGE(OFFSET($R$3,0,0,'Données projet'!$E$9+1,1))-AVERAGE(OFFSET($H$3,0,0,'Données projet'!$E$9+1,1))</f>
        <v>168.81286953191102</v>
      </c>
      <c r="T146" s="59">
        <f t="shared" si="142"/>
        <v>255.78677933103666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5.403554645977767</v>
      </c>
      <c r="AA146" s="21">
        <f>EXP(-LN(2)/25)*AA145+(1-EXP(-LN(2)/25))/(LN(2)/25)*Calculateur!V146*Calculateur!X146*VLOOKUP('Données projet'!$B$9,Paramètres!$A$1:$I$89,3,0)*0.475*44/12</f>
        <v>3.3561987155060815</v>
      </c>
      <c r="AB146" s="21">
        <f>EXP(-LN(2)/2)*AB145+(1-EXP(-LN(2)/2))/(LN(2)/2)*V146*Y146*VLOOKUP('Données projet'!$B$9,Paramètres!$A$1:$I$89,3,0)*0.475*44/12</f>
        <v>1.9221581577466938E-14</v>
      </c>
      <c r="AC146" s="22">
        <f t="shared" si="111"/>
        <v>8.7597533614838685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435.00000000000023</v>
      </c>
      <c r="AJ146" s="13">
        <f>AI146*VLOOKUP('Données projet'!$B$10,Paramètres!$A$1:$I$89,3,0)*VLOOKUP('Données projet'!$B$10,Paramètres!$A$1:$I$89,5,0)</f>
        <v>260.13000000000017</v>
      </c>
      <c r="AK146" s="13">
        <f t="shared" si="143"/>
        <v>62.75008789651104</v>
      </c>
      <c r="AL146" s="20">
        <f t="shared" si="112"/>
        <v>562.349486419757</v>
      </c>
      <c r="AM146" s="59">
        <f t="shared" si="113"/>
        <v>855.68281975309037</v>
      </c>
      <c r="AN146" s="59">
        <f ca="1">AVERAGE(OFFSET($AM$3,0,0,'Données projet'!$E$10+1,1))-AVERAGE(OFFSET($H$3,0,0,'Données projet'!$E$10+1,1))</f>
        <v>247.08914525784144</v>
      </c>
      <c r="AO146" s="59">
        <f t="shared" si="144"/>
        <v>286.9617518796191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6.9249276494817957</v>
      </c>
      <c r="AV146" s="21">
        <f>EXP(-LN(2)/25)*AV145+(1-EXP(-LN(2)/25))/(LN(2)/25)*Calculateur!AQ146*Calculateur!AS146*VLOOKUP('Données projet'!$B$10,Paramètres!$A$1:$I$89,3,0)*0.475*44/12</f>
        <v>3.2044459178154732</v>
      </c>
      <c r="AW146" s="21">
        <f>EXP(-LN(2)/2)*AW145+(1-EXP(-LN(2)/2))/(LN(2)/2)*AQ146*AT146*VLOOKUP('Données projet'!$B$10,Paramètres!$A$1:$I$89,3,0)*0.475*44/12</f>
        <v>1.8052108592160072E-12</v>
      </c>
      <c r="AX146" s="21">
        <f t="shared" si="114"/>
        <v>10.129373567299073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318.99999999999994</v>
      </c>
      <c r="BE146" s="13">
        <f>BD146*VLOOKUP('Données projet'!$B$11,Paramètres!$A$1:$I$89,3,0)*VLOOKUP('Données projet'!$B$11,Paramètres!$A$1:$I$89,5,0)</f>
        <v>253.79639999999995</v>
      </c>
      <c r="BF146" s="13">
        <f t="shared" si="145"/>
        <v>61.398168322280704</v>
      </c>
      <c r="BG146" s="20">
        <f t="shared" si="115"/>
        <v>548.9638731613054</v>
      </c>
      <c r="BH146" s="59">
        <f t="shared" si="116"/>
        <v>842.29720649463866</v>
      </c>
      <c r="BI146" s="59">
        <f ca="1">AVERAGE(OFFSET($BH$3,0,0,'Données projet'!$E$11+1,1))-AVERAGE(OFFSET($H$3,0,0,'Données projet'!$E$11+1,1))</f>
        <v>280.45463274302153</v>
      </c>
      <c r="BJ146" s="59">
        <f t="shared" si="146"/>
        <v>276.06968650495287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11.746527620715513</v>
      </c>
      <c r="BQ146" s="21">
        <f>EXP(-LN(2)/25)*BQ145+(1-EXP(-LN(2)/25))/(LN(2)/25)*Calculateur!BL146*Calculateur!BN146*VLOOKUP('Données projet'!$B$11,Paramètres!$A$1:$I$89,3,0)*0.475*44/12</f>
        <v>0.44574626624509017</v>
      </c>
      <c r="BR146" s="21">
        <f>EXP(-LN(2)/2)*BR145+(1-EXP(-LN(2)/2))/(LN(2)/2)*BL146*BO146*VLOOKUP('Données projet'!$B$11,Paramètres!$A$1:$I$89,3,0)*0.475*44/12</f>
        <v>2.019404852275739E-10</v>
      </c>
      <c r="BS146" s="22">
        <f t="shared" si="117"/>
        <v>12.192273887162543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67.392000000000266</v>
      </c>
      <c r="D147" s="11">
        <f t="shared" si="140"/>
        <v>19.024375029918055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667.07377216077305</v>
      </c>
      <c r="H147" s="67">
        <f t="shared" si="110"/>
        <v>443.84185317710774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197.99999999999994</v>
      </c>
      <c r="O147" s="13">
        <f>N147*VLOOKUP('Données projet'!$B$9,Paramètres!$A$1:$I$89,3,0)*VLOOKUP('Données projet'!$B$9,Paramètres!$A$1:$I$89,5,0)</f>
        <v>123.55199999999995</v>
      </c>
      <c r="P147" s="13">
        <f t="shared" si="141"/>
        <v>32.502033262579566</v>
      </c>
      <c r="Q147" s="20">
        <f t="shared" si="108"/>
        <v>271.79410793232597</v>
      </c>
      <c r="R147" s="59">
        <f t="shared" si="109"/>
        <v>565.12744126565929</v>
      </c>
      <c r="S147" s="59">
        <f ca="1">AVERAGE(OFFSET($R$3,0,0,'Données projet'!$E$9+1,1))-AVERAGE(OFFSET($H$3,0,0,'Données projet'!$E$9+1,1))</f>
        <v>168.81286953191102</v>
      </c>
      <c r="T147" s="59">
        <f t="shared" si="142"/>
        <v>255.78677933103666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5.2975942352130394</v>
      </c>
      <c r="AA147" s="21">
        <f>EXP(-LN(2)/25)*AA146+(1-EXP(-LN(2)/25))/(LN(2)/25)*Calculateur!V147*Calculateur!X147*VLOOKUP('Données projet'!$B$9,Paramètres!$A$1:$I$89,3,0)*0.475*44/12</f>
        <v>3.2644232851357478</v>
      </c>
      <c r="AB147" s="21">
        <f>EXP(-LN(2)/2)*AB146+(1-EXP(-LN(2)/2))/(LN(2)/2)*V147*Y147*VLOOKUP('Données projet'!$B$9,Paramètres!$A$1:$I$89,3,0)*0.475*44/12</f>
        <v>1.3591710678557287E-14</v>
      </c>
      <c r="AC147" s="22">
        <f t="shared" si="111"/>
        <v>8.5620175203488014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435.00000000000023</v>
      </c>
      <c r="AJ147" s="13">
        <f>AI147*VLOOKUP('Données projet'!$B$10,Paramètres!$A$1:$I$89,3,0)*VLOOKUP('Données projet'!$B$10,Paramètres!$A$1:$I$89,5,0)</f>
        <v>260.13000000000017</v>
      </c>
      <c r="AK147" s="13">
        <f t="shared" si="143"/>
        <v>62.75008789651104</v>
      </c>
      <c r="AL147" s="20">
        <f t="shared" si="112"/>
        <v>562.349486419757</v>
      </c>
      <c r="AM147" s="59">
        <f t="shared" si="113"/>
        <v>855.68281975309037</v>
      </c>
      <c r="AN147" s="59">
        <f ca="1">AVERAGE(OFFSET($AM$3,0,0,'Données projet'!$E$10+1,1))-AVERAGE(OFFSET($H$3,0,0,'Données projet'!$E$10+1,1))</f>
        <v>247.08914525784144</v>
      </c>
      <c r="AO147" s="59">
        <f t="shared" si="144"/>
        <v>286.9617518796191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6.7891340420642594</v>
      </c>
      <c r="AV147" s="21">
        <f>EXP(-LN(2)/25)*AV146+(1-EXP(-LN(2)/25))/(LN(2)/25)*Calculateur!AQ147*Calculateur!AS147*VLOOKUP('Données projet'!$B$10,Paramètres!$A$1:$I$89,3,0)*0.475*44/12</f>
        <v>3.1168201756783223</v>
      </c>
      <c r="AW147" s="21">
        <f>EXP(-LN(2)/2)*AW146+(1-EXP(-LN(2)/2))/(LN(2)/2)*AQ147*AT147*VLOOKUP('Données projet'!$B$10,Paramètres!$A$1:$I$89,3,0)*0.475*44/12</f>
        <v>1.2764768400232327E-12</v>
      </c>
      <c r="AX147" s="21">
        <f t="shared" si="114"/>
        <v>9.9059542177438598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318.99999999999994</v>
      </c>
      <c r="BE147" s="13">
        <f>BD147*VLOOKUP('Données projet'!$B$11,Paramètres!$A$1:$I$89,3,0)*VLOOKUP('Données projet'!$B$11,Paramètres!$A$1:$I$89,5,0)</f>
        <v>253.79639999999995</v>
      </c>
      <c r="BF147" s="13">
        <f t="shared" si="145"/>
        <v>61.398168322280704</v>
      </c>
      <c r="BG147" s="20">
        <f t="shared" si="115"/>
        <v>548.9638731613054</v>
      </c>
      <c r="BH147" s="59">
        <f t="shared" si="116"/>
        <v>842.29720649463866</v>
      </c>
      <c r="BI147" s="59">
        <f ca="1">AVERAGE(OFFSET($BH$3,0,0,'Données projet'!$E$11+1,1))-AVERAGE(OFFSET($H$3,0,0,'Données projet'!$E$11+1,1))</f>
        <v>280.45463274302153</v>
      </c>
      <c r="BJ147" s="59">
        <f t="shared" si="146"/>
        <v>276.06968650495287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11.516185378747677</v>
      </c>
      <c r="BQ147" s="21">
        <f>EXP(-LN(2)/25)*BQ146+(1-EXP(-LN(2)/25))/(LN(2)/25)*Calculateur!BL147*Calculateur!BN147*VLOOKUP('Données projet'!$B$11,Paramètres!$A$1:$I$89,3,0)*0.475*44/12</f>
        <v>0.43355731115384083</v>
      </c>
      <c r="BR147" s="21">
        <f>EXP(-LN(2)/2)*BR146+(1-EXP(-LN(2)/2))/(LN(2)/2)*BL147*BO147*VLOOKUP('Données projet'!$B$11,Paramètres!$A$1:$I$89,3,0)*0.475*44/12</f>
        <v>1.4279348650051933E-10</v>
      </c>
      <c r="BS147" s="22">
        <f t="shared" si="117"/>
        <v>11.949742690044312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67.860000000000269</v>
      </c>
      <c r="D148" s="11">
        <f t="shared" si="140"/>
        <v>19.141063649731827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671.58715799793197</v>
      </c>
      <c r="H148" s="67">
        <f t="shared" si="110"/>
        <v>444.86018585661668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197.99999999999994</v>
      </c>
      <c r="O148" s="13">
        <f>N148*VLOOKUP('Données projet'!$B$9,Paramètres!$A$1:$I$89,3,0)*VLOOKUP('Données projet'!$B$9,Paramètres!$A$1:$I$89,5,0)</f>
        <v>123.55199999999995</v>
      </c>
      <c r="P148" s="13">
        <f t="shared" si="141"/>
        <v>32.502033262579566</v>
      </c>
      <c r="Q148" s="20">
        <f t="shared" si="108"/>
        <v>271.79410793232597</v>
      </c>
      <c r="R148" s="59">
        <f t="shared" si="109"/>
        <v>565.12744126565929</v>
      </c>
      <c r="S148" s="59">
        <f ca="1">AVERAGE(OFFSET($R$3,0,0,'Données projet'!$E$9+1,1))-AVERAGE(OFFSET($H$3,0,0,'Données projet'!$E$9+1,1))</f>
        <v>168.81286953191102</v>
      </c>
      <c r="T148" s="59">
        <f t="shared" si="142"/>
        <v>255.78677933103666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5.1937116434739394</v>
      </c>
      <c r="AA148" s="21">
        <f>EXP(-LN(2)/25)*AA147+(1-EXP(-LN(2)/25))/(LN(2)/25)*Calculateur!V148*Calculateur!X148*VLOOKUP('Données projet'!$B$9,Paramètres!$A$1:$I$89,3,0)*0.475*44/12</f>
        <v>3.1751574587351512</v>
      </c>
      <c r="AB148" s="21">
        <f>EXP(-LN(2)/2)*AB147+(1-EXP(-LN(2)/2))/(LN(2)/2)*V148*Y148*VLOOKUP('Données projet'!$B$9,Paramètres!$A$1:$I$89,3,0)*0.475*44/12</f>
        <v>9.6107907887334688E-15</v>
      </c>
      <c r="AC148" s="22">
        <f t="shared" si="111"/>
        <v>8.3688691022091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435.00000000000023</v>
      </c>
      <c r="AJ148" s="13">
        <f>AI148*VLOOKUP('Données projet'!$B$10,Paramètres!$A$1:$I$89,3,0)*VLOOKUP('Données projet'!$B$10,Paramètres!$A$1:$I$89,5,0)</f>
        <v>260.13000000000017</v>
      </c>
      <c r="AK148" s="13">
        <f t="shared" si="143"/>
        <v>62.75008789651104</v>
      </c>
      <c r="AL148" s="20">
        <f t="shared" si="112"/>
        <v>562.349486419757</v>
      </c>
      <c r="AM148" s="59">
        <f t="shared" si="113"/>
        <v>855.68281975309037</v>
      </c>
      <c r="AN148" s="59">
        <f ca="1">AVERAGE(OFFSET($AM$3,0,0,'Données projet'!$E$10+1,1))-AVERAGE(OFFSET($H$3,0,0,'Données projet'!$E$10+1,1))</f>
        <v>247.08914525784144</v>
      </c>
      <c r="AO148" s="59">
        <f t="shared" si="144"/>
        <v>286.9617518796191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6.6560032644622584</v>
      </c>
      <c r="AV148" s="21">
        <f>EXP(-LN(2)/25)*AV147+(1-EXP(-LN(2)/25))/(LN(2)/25)*Calculateur!AQ148*Calculateur!AS148*VLOOKUP('Données projet'!$B$10,Paramètres!$A$1:$I$89,3,0)*0.475*44/12</f>
        <v>3.0315905640679492</v>
      </c>
      <c r="AW148" s="21">
        <f>EXP(-LN(2)/2)*AW147+(1-EXP(-LN(2)/2))/(LN(2)/2)*AQ148*AT148*VLOOKUP('Données projet'!$B$10,Paramètres!$A$1:$I$89,3,0)*0.475*44/12</f>
        <v>9.0260542960800369E-13</v>
      </c>
      <c r="AX148" s="21">
        <f t="shared" si="114"/>
        <v>9.6875938285311101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318.99999999999994</v>
      </c>
      <c r="BE148" s="13">
        <f>BD148*VLOOKUP('Données projet'!$B$11,Paramètres!$A$1:$I$89,3,0)*VLOOKUP('Données projet'!$B$11,Paramètres!$A$1:$I$89,5,0)</f>
        <v>253.79639999999995</v>
      </c>
      <c r="BF148" s="13">
        <f t="shared" si="145"/>
        <v>61.398168322280704</v>
      </c>
      <c r="BG148" s="20">
        <f t="shared" si="115"/>
        <v>548.9638731613054</v>
      </c>
      <c r="BH148" s="59">
        <f t="shared" si="116"/>
        <v>842.29720649463866</v>
      </c>
      <c r="BI148" s="59">
        <f ca="1">AVERAGE(OFFSET($BH$3,0,0,'Données projet'!$E$11+1,1))-AVERAGE(OFFSET($H$3,0,0,'Données projet'!$E$11+1,1))</f>
        <v>280.45463274302153</v>
      </c>
      <c r="BJ148" s="59">
        <f t="shared" si="146"/>
        <v>276.06968650495287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11.290360007649936</v>
      </c>
      <c r="BQ148" s="21">
        <f>EXP(-LN(2)/25)*BQ147+(1-EXP(-LN(2)/25))/(LN(2)/25)*Calculateur!BL148*Calculateur!BN148*VLOOKUP('Données projet'!$B$11,Paramètres!$A$1:$I$89,3,0)*0.475*44/12</f>
        <v>0.42170166368055095</v>
      </c>
      <c r="BR148" s="21">
        <f>EXP(-LN(2)/2)*BR147+(1-EXP(-LN(2)/2))/(LN(2)/2)*BL148*BO148*VLOOKUP('Données projet'!$B$11,Paramètres!$A$1:$I$89,3,0)*0.475*44/12</f>
        <v>1.0097024261378695E-10</v>
      </c>
      <c r="BS148" s="22">
        <f t="shared" si="117"/>
        <v>11.712061671431456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68.328000000000273</v>
      </c>
      <c r="D149" s="11">
        <f t="shared" si="140"/>
        <v>19.257658633553223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676.09982103093932</v>
      </c>
      <c r="H149" s="67">
        <f t="shared" si="110"/>
        <v>445.87835545343899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197.99999999999994</v>
      </c>
      <c r="O149" s="13">
        <f>N149*VLOOKUP('Données projet'!$B$9,Paramètres!$A$1:$I$89,3,0)*VLOOKUP('Données projet'!$B$9,Paramètres!$A$1:$I$89,5,0)</f>
        <v>123.55199999999995</v>
      </c>
      <c r="P149" s="13">
        <f t="shared" si="141"/>
        <v>32.502033262579566</v>
      </c>
      <c r="Q149" s="20">
        <f t="shared" si="108"/>
        <v>271.79410793232597</v>
      </c>
      <c r="R149" s="59">
        <f t="shared" si="109"/>
        <v>565.12744126565929</v>
      </c>
      <c r="S149" s="59">
        <f ca="1">AVERAGE(OFFSET($R$3,0,0,'Données projet'!$E$9+1,1))-AVERAGE(OFFSET($H$3,0,0,'Données projet'!$E$9+1,1))</f>
        <v>168.81286953191102</v>
      </c>
      <c r="T149" s="59">
        <f t="shared" si="142"/>
        <v>255.78677933103666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5.0918661259967184</v>
      </c>
      <c r="AA149" s="21">
        <f>EXP(-LN(2)/25)*AA148+(1-EXP(-LN(2)/25))/(LN(2)/25)*Calculateur!V149*Calculateur!X149*VLOOKUP('Données projet'!$B$9,Paramètres!$A$1:$I$89,3,0)*0.475*44/12</f>
        <v>3.0883326110517646</v>
      </c>
      <c r="AB149" s="21">
        <f>EXP(-LN(2)/2)*AB148+(1-EXP(-LN(2)/2))/(LN(2)/2)*V149*Y149*VLOOKUP('Données projet'!$B$9,Paramètres!$A$1:$I$89,3,0)*0.475*44/12</f>
        <v>6.7958553392786435E-15</v>
      </c>
      <c r="AC149" s="22">
        <f t="shared" si="111"/>
        <v>8.1801987370484905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435.00000000000023</v>
      </c>
      <c r="AJ149" s="13">
        <f>AI149*VLOOKUP('Données projet'!$B$10,Paramètres!$A$1:$I$89,3,0)*VLOOKUP('Données projet'!$B$10,Paramètres!$A$1:$I$89,5,0)</f>
        <v>260.13000000000017</v>
      </c>
      <c r="AK149" s="13">
        <f t="shared" si="143"/>
        <v>62.75008789651104</v>
      </c>
      <c r="AL149" s="20">
        <f t="shared" si="112"/>
        <v>562.349486419757</v>
      </c>
      <c r="AM149" s="59">
        <f t="shared" si="113"/>
        <v>855.68281975309037</v>
      </c>
      <c r="AN149" s="59">
        <f ca="1">AVERAGE(OFFSET($AM$3,0,0,'Données projet'!$E$10+1,1))-AVERAGE(OFFSET($H$3,0,0,'Données projet'!$E$10+1,1))</f>
        <v>247.08914525784144</v>
      </c>
      <c r="AO149" s="59">
        <f t="shared" si="144"/>
        <v>286.9617518796191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6.5254831002072766</v>
      </c>
      <c r="AV149" s="21">
        <f>EXP(-LN(2)/25)*AV148+(1-EXP(-LN(2)/25))/(LN(2)/25)*Calculateur!AQ149*Calculateur!AS149*VLOOKUP('Données projet'!$B$10,Paramètres!$A$1:$I$89,3,0)*0.475*44/12</f>
        <v>2.9486915606690922</v>
      </c>
      <c r="AW149" s="21">
        <f>EXP(-LN(2)/2)*AW148+(1-EXP(-LN(2)/2))/(LN(2)/2)*AQ149*AT149*VLOOKUP('Données projet'!$B$10,Paramètres!$A$1:$I$89,3,0)*0.475*44/12</f>
        <v>6.3823842001161645E-13</v>
      </c>
      <c r="AX149" s="21">
        <f t="shared" si="114"/>
        <v>9.4741746608770061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318.99999999999994</v>
      </c>
      <c r="BE149" s="13">
        <f>BD149*VLOOKUP('Données projet'!$B$11,Paramètres!$A$1:$I$89,3,0)*VLOOKUP('Données projet'!$B$11,Paramètres!$A$1:$I$89,5,0)</f>
        <v>253.79639999999995</v>
      </c>
      <c r="BF149" s="13">
        <f t="shared" si="145"/>
        <v>61.398168322280704</v>
      </c>
      <c r="BG149" s="20">
        <f t="shared" si="115"/>
        <v>548.9638731613054</v>
      </c>
      <c r="BH149" s="59">
        <f t="shared" si="116"/>
        <v>842.29720649463866</v>
      </c>
      <c r="BI149" s="59">
        <f ca="1">AVERAGE(OFFSET($BH$3,0,0,'Données projet'!$E$11+1,1))-AVERAGE(OFFSET($H$3,0,0,'Données projet'!$E$11+1,1))</f>
        <v>280.45463274302153</v>
      </c>
      <c r="BJ149" s="59">
        <f t="shared" si="146"/>
        <v>276.06968650495287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11.068962934339545</v>
      </c>
      <c r="BQ149" s="21">
        <f>EXP(-LN(2)/25)*BQ148+(1-EXP(-LN(2)/25))/(LN(2)/25)*Calculateur!BL149*Calculateur!BN149*VLOOKUP('Données projet'!$B$11,Paramètres!$A$1:$I$89,3,0)*0.475*44/12</f>
        <v>0.41017020951087962</v>
      </c>
      <c r="BR149" s="21">
        <f>EXP(-LN(2)/2)*BR148+(1-EXP(-LN(2)/2))/(LN(2)/2)*BL149*BO149*VLOOKUP('Données projet'!$B$11,Paramètres!$A$1:$I$89,3,0)*0.475*44/12</f>
        <v>7.1396743250259663E-11</v>
      </c>
      <c r="BS149" s="22">
        <f t="shared" si="117"/>
        <v>11.479133143921821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68.796000000000276</v>
      </c>
      <c r="D150" s="11">
        <f t="shared" si="140"/>
        <v>19.374160697102795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680.61176678465529</v>
      </c>
      <c r="H150" s="67">
        <f t="shared" si="110"/>
        <v>446.89636321412115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197.99999999999994</v>
      </c>
      <c r="O150" s="13">
        <f>N150*VLOOKUP('Données projet'!$B$9,Paramètres!$A$1:$I$89,3,0)*VLOOKUP('Données projet'!$B$9,Paramètres!$A$1:$I$89,5,0)</f>
        <v>123.55199999999995</v>
      </c>
      <c r="P150" s="13">
        <f t="shared" si="141"/>
        <v>32.502033262579566</v>
      </c>
      <c r="Q150" s="20">
        <f t="shared" si="108"/>
        <v>271.79410793232597</v>
      </c>
      <c r="R150" s="59">
        <f t="shared" si="109"/>
        <v>565.12744126565929</v>
      </c>
      <c r="S150" s="59">
        <f ca="1">AVERAGE(OFFSET($R$3,0,0,'Données projet'!$E$9+1,1))-AVERAGE(OFFSET($H$3,0,0,'Données projet'!$E$9+1,1))</f>
        <v>168.81286953191102</v>
      </c>
      <c r="T150" s="59">
        <f t="shared" si="142"/>
        <v>255.78677933103666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4.9920177369975942</v>
      </c>
      <c r="AA150" s="21">
        <f>EXP(-LN(2)/25)*AA149+(1-EXP(-LN(2)/25))/(LN(2)/25)*Calculateur!V150*Calculateur!X150*VLOOKUP('Données projet'!$B$9,Paramètres!$A$1:$I$89,3,0)*0.475*44/12</f>
        <v>3.0038819933942005</v>
      </c>
      <c r="AB150" s="21">
        <f>EXP(-LN(2)/2)*AB149+(1-EXP(-LN(2)/2))/(LN(2)/2)*V150*Y150*VLOOKUP('Données projet'!$B$9,Paramètres!$A$1:$I$89,3,0)*0.475*44/12</f>
        <v>4.8053953943667344E-15</v>
      </c>
      <c r="AC150" s="22">
        <f t="shared" si="111"/>
        <v>7.9958997303917991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435.00000000000023</v>
      </c>
      <c r="AJ150" s="13">
        <f>AI150*VLOOKUP('Données projet'!$B$10,Paramètres!$A$1:$I$89,3,0)*VLOOKUP('Données projet'!$B$10,Paramètres!$A$1:$I$89,5,0)</f>
        <v>260.13000000000017</v>
      </c>
      <c r="AK150" s="13">
        <f t="shared" si="143"/>
        <v>62.75008789651104</v>
      </c>
      <c r="AL150" s="20">
        <f t="shared" si="112"/>
        <v>562.349486419757</v>
      </c>
      <c r="AM150" s="59">
        <f t="shared" si="113"/>
        <v>855.68281975309037</v>
      </c>
      <c r="AN150" s="59">
        <f ca="1">AVERAGE(OFFSET($AM$3,0,0,'Données projet'!$E$10+1,1))-AVERAGE(OFFSET($H$3,0,0,'Données projet'!$E$10+1,1))</f>
        <v>247.08914525784144</v>
      </c>
      <c r="AO150" s="59">
        <f t="shared" si="144"/>
        <v>286.9617518796191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6.3975223567638961</v>
      </c>
      <c r="AV150" s="21">
        <f>EXP(-LN(2)/25)*AV149+(1-EXP(-LN(2)/25))/(LN(2)/25)*Calculateur!AQ150*Calculateur!AS150*VLOOKUP('Données projet'!$B$10,Paramètres!$A$1:$I$89,3,0)*0.475*44/12</f>
        <v>2.868059434877646</v>
      </c>
      <c r="AW150" s="21">
        <f>EXP(-LN(2)/2)*AW149+(1-EXP(-LN(2)/2))/(LN(2)/2)*AQ150*AT150*VLOOKUP('Données projet'!$B$10,Paramètres!$A$1:$I$89,3,0)*0.475*44/12</f>
        <v>4.5130271480400189E-13</v>
      </c>
      <c r="AX150" s="21">
        <f t="shared" si="114"/>
        <v>9.2655817916419938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318.99999999999994</v>
      </c>
      <c r="BE150" s="13">
        <f>BD150*VLOOKUP('Données projet'!$B$11,Paramètres!$A$1:$I$89,3,0)*VLOOKUP('Données projet'!$B$11,Paramètres!$A$1:$I$89,5,0)</f>
        <v>253.79639999999995</v>
      </c>
      <c r="BF150" s="13">
        <f t="shared" si="145"/>
        <v>61.398168322280704</v>
      </c>
      <c r="BG150" s="20">
        <f t="shared" si="115"/>
        <v>548.9638731613054</v>
      </c>
      <c r="BH150" s="59">
        <f t="shared" si="116"/>
        <v>842.29720649463866</v>
      </c>
      <c r="BI150" s="59">
        <f ca="1">AVERAGE(OFFSET($BH$3,0,0,'Données projet'!$E$11+1,1))-AVERAGE(OFFSET($H$3,0,0,'Données projet'!$E$11+1,1))</f>
        <v>280.45463274302153</v>
      </c>
      <c r="BJ150" s="59">
        <f t="shared" si="146"/>
        <v>276.06968650495287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10.851907322597892</v>
      </c>
      <c r="BQ150" s="21">
        <f>EXP(-LN(2)/25)*BQ149+(1-EXP(-LN(2)/25))/(LN(2)/25)*Calculateur!BL150*Calculateur!BN150*VLOOKUP('Données projet'!$B$11,Paramètres!$A$1:$I$89,3,0)*0.475*44/12</f>
        <v>0.39895408356189077</v>
      </c>
      <c r="BR150" s="21">
        <f>EXP(-LN(2)/2)*BR149+(1-EXP(-LN(2)/2))/(LN(2)/2)*BL150*BO150*VLOOKUP('Données projet'!$B$11,Paramètres!$A$1:$I$89,3,0)*0.475*44/12</f>
        <v>5.0485121306893474E-11</v>
      </c>
      <c r="BS150" s="22">
        <f t="shared" si="117"/>
        <v>11.250861406210269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69.26400000000028</v>
      </c>
      <c r="D151" s="11">
        <f t="shared" si="140"/>
        <v>19.490570545800512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685.12300070442723</v>
      </c>
      <c r="H151" s="67">
        <f t="shared" si="110"/>
        <v>447.91421036726967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197.99999999999994</v>
      </c>
      <c r="O151" s="13">
        <f>N151*VLOOKUP('Données projet'!$B$9,Paramètres!$A$1:$I$89,3,0)*VLOOKUP('Données projet'!$B$9,Paramètres!$A$1:$I$89,5,0)</f>
        <v>123.55199999999995</v>
      </c>
      <c r="P151" s="13">
        <f t="shared" si="141"/>
        <v>32.502033262579566</v>
      </c>
      <c r="Q151" s="20">
        <f t="shared" si="108"/>
        <v>271.79410793232597</v>
      </c>
      <c r="R151" s="59">
        <f t="shared" si="109"/>
        <v>565.12744126565929</v>
      </c>
      <c r="S151" s="59">
        <f ca="1">AVERAGE(OFFSET($R$3,0,0,'Données projet'!$E$9+1,1))-AVERAGE(OFFSET($H$3,0,0,'Données projet'!$E$9+1,1))</f>
        <v>168.81286953191102</v>
      </c>
      <c r="T151" s="59">
        <f t="shared" si="142"/>
        <v>255.78677933103666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4.8941273140052388</v>
      </c>
      <c r="AA151" s="21">
        <f>EXP(-LN(2)/25)*AA150+(1-EXP(-LN(2)/25))/(LN(2)/25)*Calculateur!V151*Calculateur!X151*VLOOKUP('Données projet'!$B$9,Paramètres!$A$1:$I$89,3,0)*0.475*44/12</f>
        <v>2.9217406823175476</v>
      </c>
      <c r="AB151" s="21">
        <f>EXP(-LN(2)/2)*AB150+(1-EXP(-LN(2)/2))/(LN(2)/2)*V151*Y151*VLOOKUP('Données projet'!$B$9,Paramètres!$A$1:$I$89,3,0)*0.475*44/12</f>
        <v>3.3979276696393218E-15</v>
      </c>
      <c r="AC151" s="22">
        <f t="shared" si="111"/>
        <v>7.8158679963227904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435.00000000000023</v>
      </c>
      <c r="AJ151" s="13">
        <f>AI151*VLOOKUP('Données projet'!$B$10,Paramètres!$A$1:$I$89,3,0)*VLOOKUP('Données projet'!$B$10,Paramètres!$A$1:$I$89,5,0)</f>
        <v>260.13000000000017</v>
      </c>
      <c r="AK151" s="13">
        <f t="shared" si="143"/>
        <v>62.75008789651104</v>
      </c>
      <c r="AL151" s="20">
        <f t="shared" si="112"/>
        <v>562.349486419757</v>
      </c>
      <c r="AM151" s="59">
        <f t="shared" si="113"/>
        <v>855.68281975309037</v>
      </c>
      <c r="AN151" s="59">
        <f ca="1">AVERAGE(OFFSET($AM$3,0,0,'Données projet'!$E$10+1,1))-AVERAGE(OFFSET($H$3,0,0,'Données projet'!$E$10+1,1))</f>
        <v>247.08914525784144</v>
      </c>
      <c r="AO151" s="59">
        <f t="shared" si="144"/>
        <v>286.9617518796191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6.2720708454510934</v>
      </c>
      <c r="AV151" s="21">
        <f>EXP(-LN(2)/25)*AV150+(1-EXP(-LN(2)/25))/(LN(2)/25)*Calculateur!AQ151*Calculateur!AS151*VLOOKUP('Données projet'!$B$10,Paramètres!$A$1:$I$89,3,0)*0.475*44/12</f>
        <v>2.7896321988062263</v>
      </c>
      <c r="AW151" s="21">
        <f>EXP(-LN(2)/2)*AW150+(1-EXP(-LN(2)/2))/(LN(2)/2)*AQ151*AT151*VLOOKUP('Données projet'!$B$10,Paramètres!$A$1:$I$89,3,0)*0.475*44/12</f>
        <v>3.1911921000580827E-13</v>
      </c>
      <c r="AX151" s="21">
        <f t="shared" si="114"/>
        <v>9.061703044257639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318.99999999999994</v>
      </c>
      <c r="BE151" s="13">
        <f>BD151*VLOOKUP('Données projet'!$B$11,Paramètres!$A$1:$I$89,3,0)*VLOOKUP('Données projet'!$B$11,Paramètres!$A$1:$I$89,5,0)</f>
        <v>253.79639999999995</v>
      </c>
      <c r="BF151" s="13">
        <f t="shared" si="145"/>
        <v>61.398168322280704</v>
      </c>
      <c r="BG151" s="20">
        <f t="shared" si="115"/>
        <v>548.9638731613054</v>
      </c>
      <c r="BH151" s="59">
        <f t="shared" si="116"/>
        <v>842.29720649463866</v>
      </c>
      <c r="BI151" s="59">
        <f ca="1">AVERAGE(OFFSET($BH$3,0,0,'Données projet'!$E$11+1,1))-AVERAGE(OFFSET($H$3,0,0,'Données projet'!$E$11+1,1))</f>
        <v>280.45463274302153</v>
      </c>
      <c r="BJ151" s="59">
        <f t="shared" si="146"/>
        <v>276.06968650495287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10.639108039011642</v>
      </c>
      <c r="BQ151" s="21">
        <f>EXP(-LN(2)/25)*BQ150+(1-EXP(-LN(2)/25))/(LN(2)/25)*Calculateur!BL151*Calculateur!BN151*VLOOKUP('Données projet'!$B$11,Paramètres!$A$1:$I$89,3,0)*0.475*44/12</f>
        <v>0.38804466316680741</v>
      </c>
      <c r="BR151" s="21">
        <f>EXP(-LN(2)/2)*BR150+(1-EXP(-LN(2)/2))/(LN(2)/2)*BL151*BO151*VLOOKUP('Données projet'!$B$11,Paramètres!$A$1:$I$89,3,0)*0.475*44/12</f>
        <v>3.5698371625129831E-11</v>
      </c>
      <c r="BS151" s="22">
        <f t="shared" si="117"/>
        <v>11.027152702214147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69.732000000000284</v>
      </c>
      <c r="D152" s="11">
        <f t="shared" si="140"/>
        <v>19.606888874982584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689.63352815776261</v>
      </c>
      <c r="H152" s="67">
        <f t="shared" si="110"/>
        <v>448.93189812392848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197.99999999999994</v>
      </c>
      <c r="O152" s="13">
        <f>N152*VLOOKUP('Données projet'!$B$9,Paramètres!$A$1:$I$89,3,0)*VLOOKUP('Données projet'!$B$9,Paramètres!$A$1:$I$89,5,0)</f>
        <v>123.55199999999995</v>
      </c>
      <c r="P152" s="13">
        <f t="shared" si="141"/>
        <v>32.502033262579566</v>
      </c>
      <c r="Q152" s="20">
        <f t="shared" si="108"/>
        <v>271.79410793232597</v>
      </c>
      <c r="R152" s="59">
        <f t="shared" si="109"/>
        <v>565.12744126565929</v>
      </c>
      <c r="S152" s="59">
        <f ca="1">AVERAGE(OFFSET($R$3,0,0,'Données projet'!$E$9+1,1))-AVERAGE(OFFSET($H$3,0,0,'Données projet'!$E$9+1,1))</f>
        <v>168.81286953191102</v>
      </c>
      <c r="T152" s="59">
        <f t="shared" si="142"/>
        <v>255.78677933103666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4.7981564625005015</v>
      </c>
      <c r="AA152" s="21">
        <f>EXP(-LN(2)/25)*AA151+(1-EXP(-LN(2)/25))/(LN(2)/25)*Calculateur!V152*Calculateur!X152*VLOOKUP('Données projet'!$B$9,Paramètres!$A$1:$I$89,3,0)*0.475*44/12</f>
        <v>2.8418455297119096</v>
      </c>
      <c r="AB152" s="21">
        <f>EXP(-LN(2)/2)*AB151+(1-EXP(-LN(2)/2))/(LN(2)/2)*V152*Y152*VLOOKUP('Données projet'!$B$9,Paramètres!$A$1:$I$89,3,0)*0.475*44/12</f>
        <v>2.4026976971833672E-15</v>
      </c>
      <c r="AC152" s="22">
        <f t="shared" si="111"/>
        <v>7.6400019922124143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435.00000000000023</v>
      </c>
      <c r="AJ152" s="13">
        <f>AI152*VLOOKUP('Données projet'!$B$10,Paramètres!$A$1:$I$89,3,0)*VLOOKUP('Données projet'!$B$10,Paramètres!$A$1:$I$89,5,0)</f>
        <v>260.13000000000017</v>
      </c>
      <c r="AK152" s="13">
        <f t="shared" si="143"/>
        <v>62.75008789651104</v>
      </c>
      <c r="AL152" s="20">
        <f t="shared" si="112"/>
        <v>562.349486419757</v>
      </c>
      <c r="AM152" s="59">
        <f t="shared" si="113"/>
        <v>855.68281975309037</v>
      </c>
      <c r="AN152" s="59">
        <f ca="1">AVERAGE(OFFSET($AM$3,0,0,'Données projet'!$E$10+1,1))-AVERAGE(OFFSET($H$3,0,0,'Données projet'!$E$10+1,1))</f>
        <v>247.08914525784144</v>
      </c>
      <c r="AO152" s="59">
        <f t="shared" si="144"/>
        <v>286.9617518796191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6.1490793617572681</v>
      </c>
      <c r="AV152" s="21">
        <f>EXP(-LN(2)/25)*AV151+(1-EXP(-LN(2)/25))/(LN(2)/25)*Calculateur!AQ152*Calculateur!AS152*VLOOKUP('Données projet'!$B$10,Paramètres!$A$1:$I$89,3,0)*0.475*44/12</f>
        <v>2.7133495596294885</v>
      </c>
      <c r="AW152" s="21">
        <f>EXP(-LN(2)/2)*AW151+(1-EXP(-LN(2)/2))/(LN(2)/2)*AQ152*AT152*VLOOKUP('Données projet'!$B$10,Paramètres!$A$1:$I$89,3,0)*0.475*44/12</f>
        <v>2.25651357402001E-13</v>
      </c>
      <c r="AX152" s="21">
        <f t="shared" si="114"/>
        <v>8.8624289213869822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318.99999999999994</v>
      </c>
      <c r="BE152" s="13">
        <f>BD152*VLOOKUP('Données projet'!$B$11,Paramètres!$A$1:$I$89,3,0)*VLOOKUP('Données projet'!$B$11,Paramètres!$A$1:$I$89,5,0)</f>
        <v>253.79639999999995</v>
      </c>
      <c r="BF152" s="13">
        <f t="shared" si="145"/>
        <v>61.398168322280704</v>
      </c>
      <c r="BG152" s="20">
        <f t="shared" si="115"/>
        <v>548.9638731613054</v>
      </c>
      <c r="BH152" s="59">
        <f t="shared" si="116"/>
        <v>842.29720649463866</v>
      </c>
      <c r="BI152" s="59">
        <f ca="1">AVERAGE(OFFSET($BH$3,0,0,'Données projet'!$E$11+1,1))-AVERAGE(OFFSET($H$3,0,0,'Données projet'!$E$11+1,1))</f>
        <v>280.45463274302153</v>
      </c>
      <c r="BJ152" s="59">
        <f t="shared" si="146"/>
        <v>276.06968650495287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10.430481619581771</v>
      </c>
      <c r="BQ152" s="21">
        <f>EXP(-LN(2)/25)*BQ151+(1-EXP(-LN(2)/25))/(LN(2)/25)*Calculateur!BL152*Calculateur!BN152*VLOOKUP('Données projet'!$B$11,Paramètres!$A$1:$I$89,3,0)*0.475*44/12</f>
        <v>0.37743356144612911</v>
      </c>
      <c r="BR152" s="21">
        <f>EXP(-LN(2)/2)*BR151+(1-EXP(-LN(2)/2))/(LN(2)/2)*BL152*BO152*VLOOKUP('Données projet'!$B$11,Paramètres!$A$1:$I$89,3,0)*0.475*44/12</f>
        <v>2.5242560653446737E-11</v>
      </c>
      <c r="BS152" s="22">
        <f t="shared" si="117"/>
        <v>10.807915181053142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70.200000000000287</v>
      </c>
      <c r="D153" s="11">
        <f t="shared" si="140"/>
        <v>19.723116370112255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694.14335443595644</v>
      </c>
      <c r="H153" s="67">
        <f t="shared" si="110"/>
        <v>449.94942767794601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197.99999999999994</v>
      </c>
      <c r="O153" s="13">
        <f>N153*VLOOKUP('Données projet'!$B$9,Paramètres!$A$1:$I$89,3,0)*VLOOKUP('Données projet'!$B$9,Paramètres!$A$1:$I$89,5,0)</f>
        <v>123.55199999999995</v>
      </c>
      <c r="P153" s="13">
        <f t="shared" si="141"/>
        <v>32.502033262579566</v>
      </c>
      <c r="Q153" s="20">
        <f t="shared" si="108"/>
        <v>271.79410793232597</v>
      </c>
      <c r="R153" s="59">
        <f t="shared" si="109"/>
        <v>565.12744126565929</v>
      </c>
      <c r="S153" s="59">
        <f ca="1">AVERAGE(OFFSET($R$3,0,0,'Données projet'!$E$9+1,1))-AVERAGE(OFFSET($H$3,0,0,'Données projet'!$E$9+1,1))</f>
        <v>168.81286953191102</v>
      </c>
      <c r="T153" s="59">
        <f t="shared" si="142"/>
        <v>255.78677933103666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4.7040675408573325</v>
      </c>
      <c r="AA153" s="21">
        <f>EXP(-LN(2)/25)*AA152+(1-EXP(-LN(2)/25))/(LN(2)/25)*Calculateur!V153*Calculateur!X153*VLOOKUP('Données projet'!$B$9,Paramètres!$A$1:$I$89,3,0)*0.475*44/12</f>
        <v>2.764135114255776</v>
      </c>
      <c r="AB153" s="21">
        <f>EXP(-LN(2)/2)*AB152+(1-EXP(-LN(2)/2))/(LN(2)/2)*V153*Y153*VLOOKUP('Données projet'!$B$9,Paramètres!$A$1:$I$89,3,0)*0.475*44/12</f>
        <v>1.6989638348196609E-15</v>
      </c>
      <c r="AC153" s="22">
        <f t="shared" si="111"/>
        <v>7.4682026551131102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435.00000000000023</v>
      </c>
      <c r="AJ153" s="13">
        <f>AI153*VLOOKUP('Données projet'!$B$10,Paramètres!$A$1:$I$89,3,0)*VLOOKUP('Données projet'!$B$10,Paramètres!$A$1:$I$89,5,0)</f>
        <v>260.13000000000017</v>
      </c>
      <c r="AK153" s="13">
        <f t="shared" si="143"/>
        <v>62.75008789651104</v>
      </c>
      <c r="AL153" s="20">
        <f t="shared" si="112"/>
        <v>562.349486419757</v>
      </c>
      <c r="AM153" s="59">
        <f t="shared" si="113"/>
        <v>855.68281975309037</v>
      </c>
      <c r="AN153" s="59">
        <f ca="1">AVERAGE(OFFSET($AM$3,0,0,'Données projet'!$E$10+1,1))-AVERAGE(OFFSET($H$3,0,0,'Données projet'!$E$10+1,1))</f>
        <v>247.08914525784144</v>
      </c>
      <c r="AO153" s="59">
        <f t="shared" si="144"/>
        <v>286.9617518796191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6.0284996660412808</v>
      </c>
      <c r="AV153" s="21">
        <f>EXP(-LN(2)/25)*AV152+(1-EXP(-LN(2)/25))/(LN(2)/25)*Calculateur!AQ153*Calculateur!AS153*VLOOKUP('Données projet'!$B$10,Paramètres!$A$1:$I$89,3,0)*0.475*44/12</f>
        <v>2.6391528732325682</v>
      </c>
      <c r="AW153" s="21">
        <f>EXP(-LN(2)/2)*AW152+(1-EXP(-LN(2)/2))/(LN(2)/2)*AQ153*AT153*VLOOKUP('Données projet'!$B$10,Paramètres!$A$1:$I$89,3,0)*0.475*44/12</f>
        <v>1.5955960500290416E-13</v>
      </c>
      <c r="AX153" s="21">
        <f t="shared" si="114"/>
        <v>8.6676525392740089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318.99999999999994</v>
      </c>
      <c r="BE153" s="13">
        <f>BD153*VLOOKUP('Données projet'!$B$11,Paramètres!$A$1:$I$89,3,0)*VLOOKUP('Données projet'!$B$11,Paramètres!$A$1:$I$89,5,0)</f>
        <v>253.79639999999995</v>
      </c>
      <c r="BF153" s="13">
        <f t="shared" si="145"/>
        <v>61.398168322280704</v>
      </c>
      <c r="BG153" s="20">
        <f t="shared" si="115"/>
        <v>548.9638731613054</v>
      </c>
      <c r="BH153" s="59">
        <f t="shared" si="116"/>
        <v>842.29720649463866</v>
      </c>
      <c r="BI153" s="59">
        <f ca="1">AVERAGE(OFFSET($BH$3,0,0,'Données projet'!$E$11+1,1))-AVERAGE(OFFSET($H$3,0,0,'Données projet'!$E$11+1,1))</f>
        <v>280.45463274302153</v>
      </c>
      <c r="BJ153" s="59">
        <f t="shared" si="146"/>
        <v>276.06968650495287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10.225946236987369</v>
      </c>
      <c r="BQ153" s="21">
        <f>EXP(-LN(2)/25)*BQ152+(1-EXP(-LN(2)/25))/(LN(2)/25)*Calculateur!BL153*Calculateur!BN153*VLOOKUP('Données projet'!$B$11,Paramètres!$A$1:$I$89,3,0)*0.475*44/12</f>
        <v>0.36711262086001634</v>
      </c>
      <c r="BR153" s="21">
        <f>EXP(-LN(2)/2)*BR152+(1-EXP(-LN(2)/2))/(LN(2)/2)*BL153*BO153*VLOOKUP('Données projet'!$B$11,Paramètres!$A$1:$I$89,3,0)*0.475*44/12</f>
        <v>1.7849185812564916E-11</v>
      </c>
      <c r="BS153" s="22">
        <f t="shared" si="117"/>
        <v>10.593058857865234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70.668000000000291</v>
      </c>
      <c r="D154" s="11">
        <f t="shared" si="140"/>
        <v>19.839253706984934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698.65248475567535</v>
      </c>
      <c r="H154" s="67">
        <f t="shared" si="110"/>
        <v>450.96680020633255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197.99999999999994</v>
      </c>
      <c r="O154" s="13">
        <f>N154*VLOOKUP('Données projet'!$B$9,Paramètres!$A$1:$I$89,3,0)*VLOOKUP('Données projet'!$B$9,Paramètres!$A$1:$I$89,5,0)</f>
        <v>123.55199999999995</v>
      </c>
      <c r="P154" s="13">
        <f t="shared" si="141"/>
        <v>32.502033262579566</v>
      </c>
      <c r="Q154" s="20">
        <f t="shared" ref="Q154:Q203" si="162">(O154+P154)*0.475*44/12</f>
        <v>271.79410793232597</v>
      </c>
      <c r="R154" s="59">
        <f t="shared" si="109"/>
        <v>565.12744126565929</v>
      </c>
      <c r="S154" s="59">
        <f ca="1">AVERAGE(OFFSET($R$3,0,0,'Données projet'!$E$9+1,1))-AVERAGE(OFFSET($H$3,0,0,'Données projet'!$E$9+1,1))</f>
        <v>168.81286953191102</v>
      </c>
      <c r="T154" s="59">
        <f t="shared" si="142"/>
        <v>255.78677933103666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4.61182364557901</v>
      </c>
      <c r="AA154" s="21">
        <f>EXP(-LN(2)/25)*AA153+(1-EXP(-LN(2)/25))/(LN(2)/25)*Calculateur!V154*Calculateur!X154*VLOOKUP('Données projet'!$B$9,Paramètres!$A$1:$I$89,3,0)*0.475*44/12</f>
        <v>2.6885496941969036</v>
      </c>
      <c r="AB154" s="21">
        <f>EXP(-LN(2)/2)*AB153+(1-EXP(-LN(2)/2))/(LN(2)/2)*V154*Y154*VLOOKUP('Données projet'!$B$9,Paramètres!$A$1:$I$89,3,0)*0.475*44/12</f>
        <v>1.2013488485916836E-15</v>
      </c>
      <c r="AC154" s="22">
        <f t="shared" ref="AC154:AC203" si="163">SUM(Z154:AB154)</f>
        <v>7.3003733397759145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435.00000000000023</v>
      </c>
      <c r="AJ154" s="13">
        <f>AI154*VLOOKUP('Données projet'!$B$10,Paramètres!$A$1:$I$89,3,0)*VLOOKUP('Données projet'!$B$10,Paramètres!$A$1:$I$89,5,0)</f>
        <v>260.13000000000017</v>
      </c>
      <c r="AK154" s="13">
        <f t="shared" ref="AK154:AK203" si="164">EXP(-1.0587+0.8836*LN(AJ154)+0.284)</f>
        <v>62.75008789651104</v>
      </c>
      <c r="AL154" s="20">
        <f t="shared" ref="AL154:AL203" si="165">(AJ154+AK154)*0.475*44/12</f>
        <v>562.349486419757</v>
      </c>
      <c r="AM154" s="59">
        <f t="shared" si="113"/>
        <v>855.68281975309037</v>
      </c>
      <c r="AN154" s="59">
        <f ca="1">AVERAGE(OFFSET($AM$3,0,0,'Données projet'!$E$10+1,1))-AVERAGE(OFFSET($H$3,0,0,'Données projet'!$E$10+1,1))</f>
        <v>247.08914525784144</v>
      </c>
      <c r="AO154" s="59">
        <f t="shared" si="144"/>
        <v>286.9617518796191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5.9102844646119319</v>
      </c>
      <c r="AV154" s="21">
        <f>EXP(-LN(2)/25)*AV153+(1-EXP(-LN(2)/25))/(LN(2)/25)*Calculateur!AQ154*Calculateur!AS154*VLOOKUP('Données projet'!$B$10,Paramètres!$A$1:$I$89,3,0)*0.475*44/12</f>
        <v>2.566985099127006</v>
      </c>
      <c r="AW154" s="21">
        <f>EXP(-LN(2)/2)*AW153+(1-EXP(-LN(2)/2))/(LN(2)/2)*AQ154*AT154*VLOOKUP('Données projet'!$B$10,Paramètres!$A$1:$I$89,3,0)*0.475*44/12</f>
        <v>1.1282567870100051E-13</v>
      </c>
      <c r="AX154" s="21">
        <f t="shared" ref="AX154:AX203" si="166">SUM(AU154:AW154)</f>
        <v>8.4772695637390516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318.99999999999994</v>
      </c>
      <c r="BE154" s="13">
        <f>BD154*VLOOKUP('Données projet'!$B$11,Paramètres!$A$1:$I$89,3,0)*VLOOKUP('Données projet'!$B$11,Paramètres!$A$1:$I$89,5,0)</f>
        <v>253.79639999999995</v>
      </c>
      <c r="BF154" s="13">
        <f t="shared" ref="BF154:BF203" si="167">EXP(-1.0587+0.8836*LN(BE154)+0.284)</f>
        <v>61.398168322280704</v>
      </c>
      <c r="BG154" s="20">
        <f t="shared" ref="BG154:BG203" si="168">(BE154+BF154)*0.475*44/12</f>
        <v>548.9638731613054</v>
      </c>
      <c r="BH154" s="59">
        <f t="shared" si="116"/>
        <v>842.29720649463866</v>
      </c>
      <c r="BI154" s="59">
        <f ca="1">AVERAGE(OFFSET($BH$3,0,0,'Données projet'!$E$11+1,1))-AVERAGE(OFFSET($H$3,0,0,'Données projet'!$E$11+1,1))</f>
        <v>280.45463274302153</v>
      </c>
      <c r="BJ154" s="59">
        <f t="shared" si="146"/>
        <v>276.06968650495287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10.025421668491378</v>
      </c>
      <c r="BQ154" s="21">
        <f>EXP(-LN(2)/25)*BQ153+(1-EXP(-LN(2)/25))/(LN(2)/25)*Calculateur!BL154*Calculateur!BN154*VLOOKUP('Données projet'!$B$11,Paramètres!$A$1:$I$89,3,0)*0.475*44/12</f>
        <v>0.35707390693698549</v>
      </c>
      <c r="BR154" s="21">
        <f>EXP(-LN(2)/2)*BR153+(1-EXP(-LN(2)/2))/(LN(2)/2)*BL154*BO154*VLOOKUP('Données projet'!$B$11,Paramètres!$A$1:$I$89,3,0)*0.475*44/12</f>
        <v>1.2621280326723369E-11</v>
      </c>
      <c r="BS154" s="22">
        <f t="shared" ref="BS154:BS203" si="169">SUM(BP154:BR154)</f>
        <v>10.382495575440984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71.136000000000294</v>
      </c>
      <c r="D155" s="11">
        <f t="shared" si="140"/>
        <v>19.955301551927551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703.16092426049556</v>
      </c>
      <c r="H155" s="67">
        <f t="shared" si="110"/>
        <v>451.98401686960767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197.99999999999994</v>
      </c>
      <c r="O155" s="13">
        <f>N155*VLOOKUP('Données projet'!$B$9,Paramètres!$A$1:$I$89,3,0)*VLOOKUP('Données projet'!$B$9,Paramètres!$A$1:$I$89,5,0)</f>
        <v>123.55199999999995</v>
      </c>
      <c r="P155" s="13">
        <f t="shared" si="141"/>
        <v>32.502033262579566</v>
      </c>
      <c r="Q155" s="20">
        <f t="shared" si="162"/>
        <v>271.79410793232597</v>
      </c>
      <c r="R155" s="59">
        <f t="shared" si="109"/>
        <v>565.12744126565929</v>
      </c>
      <c r="S155" s="59">
        <f ca="1">AVERAGE(OFFSET($R$3,0,0,'Données projet'!$E$9+1,1))-AVERAGE(OFFSET($H$3,0,0,'Données projet'!$E$9+1,1))</f>
        <v>168.81286953191102</v>
      </c>
      <c r="T155" s="59">
        <f t="shared" si="142"/>
        <v>255.78677933103666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4.5213885968238756</v>
      </c>
      <c r="AA155" s="21">
        <f>EXP(-LN(2)/25)*AA154+(1-EXP(-LN(2)/25))/(LN(2)/25)*Calculateur!V155*Calculateur!X155*VLOOKUP('Données projet'!$B$9,Paramètres!$A$1:$I$89,3,0)*0.475*44/12</f>
        <v>2.6150311614244055</v>
      </c>
      <c r="AB155" s="21">
        <f>EXP(-LN(2)/2)*AB154+(1-EXP(-LN(2)/2))/(LN(2)/2)*V155*Y155*VLOOKUP('Données projet'!$B$9,Paramètres!$A$1:$I$89,3,0)*0.475*44/12</f>
        <v>8.4948191740983044E-16</v>
      </c>
      <c r="AC155" s="22">
        <f t="shared" si="163"/>
        <v>7.136419758248282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435.00000000000023</v>
      </c>
      <c r="AJ155" s="13">
        <f>AI155*VLOOKUP('Données projet'!$B$10,Paramètres!$A$1:$I$89,3,0)*VLOOKUP('Données projet'!$B$10,Paramètres!$A$1:$I$89,5,0)</f>
        <v>260.13000000000017</v>
      </c>
      <c r="AK155" s="13">
        <f t="shared" si="164"/>
        <v>62.75008789651104</v>
      </c>
      <c r="AL155" s="20">
        <f t="shared" si="165"/>
        <v>562.349486419757</v>
      </c>
      <c r="AM155" s="59">
        <f t="shared" si="113"/>
        <v>855.68281975309037</v>
      </c>
      <c r="AN155" s="59">
        <f ca="1">AVERAGE(OFFSET($AM$3,0,0,'Données projet'!$E$10+1,1))-AVERAGE(OFFSET($H$3,0,0,'Données projet'!$E$10+1,1))</f>
        <v>247.08914525784144</v>
      </c>
      <c r="AO155" s="59">
        <f t="shared" si="144"/>
        <v>286.9617518796191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5.7943873911784589</v>
      </c>
      <c r="AV155" s="21">
        <f>EXP(-LN(2)/25)*AV154+(1-EXP(-LN(2)/25))/(LN(2)/25)*Calculateur!AQ155*Calculateur!AS155*VLOOKUP('Données projet'!$B$10,Paramètres!$A$1:$I$89,3,0)*0.475*44/12</f>
        <v>2.4967907565994985</v>
      </c>
      <c r="AW155" s="21">
        <f>EXP(-LN(2)/2)*AW154+(1-EXP(-LN(2)/2))/(LN(2)/2)*AQ155*AT155*VLOOKUP('Données projet'!$B$10,Paramètres!$A$1:$I$89,3,0)*0.475*44/12</f>
        <v>7.9779802501452094E-14</v>
      </c>
      <c r="AX155" s="21">
        <f t="shared" si="166"/>
        <v>8.2911781477780373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318.99999999999994</v>
      </c>
      <c r="BE155" s="13">
        <f>BD155*VLOOKUP('Données projet'!$B$11,Paramètres!$A$1:$I$89,3,0)*VLOOKUP('Données projet'!$B$11,Paramètres!$A$1:$I$89,5,0)</f>
        <v>253.79639999999995</v>
      </c>
      <c r="BF155" s="13">
        <f t="shared" si="167"/>
        <v>61.398168322280704</v>
      </c>
      <c r="BG155" s="20">
        <f t="shared" si="168"/>
        <v>548.9638731613054</v>
      </c>
      <c r="BH155" s="59">
        <f t="shared" si="116"/>
        <v>842.29720649463866</v>
      </c>
      <c r="BI155" s="59">
        <f ca="1">AVERAGE(OFFSET($BH$3,0,0,'Données projet'!$E$11+1,1))-AVERAGE(OFFSET($H$3,0,0,'Données projet'!$E$11+1,1))</f>
        <v>280.45463274302153</v>
      </c>
      <c r="BJ155" s="59">
        <f t="shared" si="146"/>
        <v>276.06968650495287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9.8288292644756829</v>
      </c>
      <c r="BQ155" s="21">
        <f>EXP(-LN(2)/25)*BQ154+(1-EXP(-LN(2)/25))/(LN(2)/25)*Calculateur!BL155*Calculateur!BN155*VLOOKUP('Données projet'!$B$11,Paramètres!$A$1:$I$89,3,0)*0.475*44/12</f>
        <v>0.34730970217409296</v>
      </c>
      <c r="BR155" s="21">
        <f>EXP(-LN(2)/2)*BR154+(1-EXP(-LN(2)/2))/(LN(2)/2)*BL155*BO155*VLOOKUP('Données projet'!$B$11,Paramètres!$A$1:$I$89,3,0)*0.475*44/12</f>
        <v>8.9245929062824579E-12</v>
      </c>
      <c r="BS155" s="22">
        <f t="shared" si="169"/>
        <v>10.1761389666587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71.604000000000298</v>
      </c>
      <c r="D156" s="11">
        <f t="shared" si="140"/>
        <v>20.071260561992666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707.66867802240176</v>
      </c>
      <c r="H156" s="67">
        <f t="shared" si="110"/>
        <v>453.00107881213773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197.99999999999994</v>
      </c>
      <c r="O156" s="13">
        <f>N156*VLOOKUP('Données projet'!$B$9,Paramètres!$A$1:$I$89,3,0)*VLOOKUP('Données projet'!$B$9,Paramètres!$A$1:$I$89,5,0)</f>
        <v>123.55199999999995</v>
      </c>
      <c r="P156" s="13">
        <f t="shared" si="141"/>
        <v>32.502033262579566</v>
      </c>
      <c r="Q156" s="20">
        <f t="shared" si="162"/>
        <v>271.79410793232597</v>
      </c>
      <c r="R156" s="59">
        <f t="shared" si="109"/>
        <v>565.12744126565929</v>
      </c>
      <c r="S156" s="59">
        <f ca="1">AVERAGE(OFFSET($R$3,0,0,'Données projet'!$E$9+1,1))-AVERAGE(OFFSET($H$3,0,0,'Données projet'!$E$9+1,1))</f>
        <v>168.81286953191102</v>
      </c>
      <c r="T156" s="59">
        <f t="shared" si="142"/>
        <v>255.78677933103666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4.4327269242148954</v>
      </c>
      <c r="AA156" s="21">
        <f>EXP(-LN(2)/25)*AA155+(1-EXP(-LN(2)/25))/(LN(2)/25)*Calculateur!V156*Calculateur!X156*VLOOKUP('Données projet'!$B$9,Paramètres!$A$1:$I$89,3,0)*0.475*44/12</f>
        <v>2.5435229967967432</v>
      </c>
      <c r="AB156" s="21">
        <f>EXP(-LN(2)/2)*AB155+(1-EXP(-LN(2)/2))/(LN(2)/2)*V156*Y156*VLOOKUP('Données projet'!$B$9,Paramètres!$A$1:$I$89,3,0)*0.475*44/12</f>
        <v>6.006744242958418E-16</v>
      </c>
      <c r="AC156" s="22">
        <f t="shared" si="163"/>
        <v>6.9762499210116395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435.00000000000023</v>
      </c>
      <c r="AJ156" s="13">
        <f>AI156*VLOOKUP('Données projet'!$B$10,Paramètres!$A$1:$I$89,3,0)*VLOOKUP('Données projet'!$B$10,Paramètres!$A$1:$I$89,5,0)</f>
        <v>260.13000000000017</v>
      </c>
      <c r="AK156" s="13">
        <f t="shared" si="164"/>
        <v>62.75008789651104</v>
      </c>
      <c r="AL156" s="20">
        <f t="shared" si="165"/>
        <v>562.349486419757</v>
      </c>
      <c r="AM156" s="59">
        <f t="shared" si="113"/>
        <v>855.68281975309037</v>
      </c>
      <c r="AN156" s="59">
        <f ca="1">AVERAGE(OFFSET($AM$3,0,0,'Données projet'!$E$10+1,1))-AVERAGE(OFFSET($H$3,0,0,'Données projet'!$E$10+1,1))</f>
        <v>247.08914525784144</v>
      </c>
      <c r="AO156" s="59">
        <f t="shared" si="144"/>
        <v>286.9617518796191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5.6807629886647817</v>
      </c>
      <c r="AV156" s="21">
        <f>EXP(-LN(2)/25)*AV155+(1-EXP(-LN(2)/25))/(LN(2)/25)*Calculateur!AQ156*Calculateur!AS156*VLOOKUP('Données projet'!$B$10,Paramètres!$A$1:$I$89,3,0)*0.475*44/12</f>
        <v>2.4285158820597657</v>
      </c>
      <c r="AW156" s="21">
        <f>EXP(-LN(2)/2)*AW155+(1-EXP(-LN(2)/2))/(LN(2)/2)*AQ156*AT156*VLOOKUP('Données projet'!$B$10,Paramètres!$A$1:$I$89,3,0)*0.475*44/12</f>
        <v>5.6412839350500268E-14</v>
      </c>
      <c r="AX156" s="21">
        <f t="shared" si="166"/>
        <v>8.1092788707246051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318.99999999999994</v>
      </c>
      <c r="BE156" s="13">
        <f>BD156*VLOOKUP('Données projet'!$B$11,Paramètres!$A$1:$I$89,3,0)*VLOOKUP('Données projet'!$B$11,Paramètres!$A$1:$I$89,5,0)</f>
        <v>253.79639999999995</v>
      </c>
      <c r="BF156" s="13">
        <f t="shared" si="167"/>
        <v>61.398168322280704</v>
      </c>
      <c r="BG156" s="20">
        <f t="shared" si="168"/>
        <v>548.9638731613054</v>
      </c>
      <c r="BH156" s="59">
        <f t="shared" si="116"/>
        <v>842.29720649463866</v>
      </c>
      <c r="BI156" s="59">
        <f ca="1">AVERAGE(OFFSET($BH$3,0,0,'Données projet'!$E$11+1,1))-AVERAGE(OFFSET($H$3,0,0,'Données projet'!$E$11+1,1))</f>
        <v>280.45463274302153</v>
      </c>
      <c r="BJ156" s="59">
        <f t="shared" si="146"/>
        <v>276.06968650495287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9.6360919175932089</v>
      </c>
      <c r="BQ156" s="21">
        <f>EXP(-LN(2)/25)*BQ155+(1-EXP(-LN(2)/25))/(LN(2)/25)*Calculateur!BL156*Calculateur!BN156*VLOOKUP('Données projet'!$B$11,Paramètres!$A$1:$I$89,3,0)*0.475*44/12</f>
        <v>0.33781250010391894</v>
      </c>
      <c r="BR156" s="21">
        <f>EXP(-LN(2)/2)*BR155+(1-EXP(-LN(2)/2))/(LN(2)/2)*BL156*BO156*VLOOKUP('Données projet'!$B$11,Paramètres!$A$1:$I$89,3,0)*0.475*44/12</f>
        <v>6.3106401633616843E-12</v>
      </c>
      <c r="BS156" s="22">
        <f t="shared" si="169"/>
        <v>9.9739044177034391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72.072000000000301</v>
      </c>
      <c r="D157" s="11">
        <f t="shared" si="140"/>
        <v>20.18713138514735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712.17575104324499</v>
      </c>
      <c r="H157" s="67">
        <f t="shared" si="110"/>
        <v>454.01798716246549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197.99999999999994</v>
      </c>
      <c r="O157" s="13">
        <f>N157*VLOOKUP('Données projet'!$B$9,Paramètres!$A$1:$I$89,3,0)*VLOOKUP('Données projet'!$B$9,Paramètres!$A$1:$I$89,5,0)</f>
        <v>123.55199999999995</v>
      </c>
      <c r="P157" s="13">
        <f t="shared" si="141"/>
        <v>32.502033262579566</v>
      </c>
      <c r="Q157" s="20">
        <f t="shared" si="162"/>
        <v>271.79410793232597</v>
      </c>
      <c r="R157" s="59">
        <f t="shared" si="109"/>
        <v>565.12744126565929</v>
      </c>
      <c r="S157" s="59">
        <f ca="1">AVERAGE(OFFSET($R$3,0,0,'Données projet'!$E$9+1,1))-AVERAGE(OFFSET($H$3,0,0,'Données projet'!$E$9+1,1))</f>
        <v>168.81286953191102</v>
      </c>
      <c r="T157" s="59">
        <f t="shared" si="142"/>
        <v>255.78677933103666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4.3458038529274976</v>
      </c>
      <c r="AA157" s="21">
        <f>EXP(-LN(2)/25)*AA156+(1-EXP(-LN(2)/25))/(LN(2)/25)*Calculateur!V157*Calculateur!X157*VLOOKUP('Données projet'!$B$9,Paramètres!$A$1:$I$89,3,0)*0.475*44/12</f>
        <v>2.4739702266912751</v>
      </c>
      <c r="AB157" s="21">
        <f>EXP(-LN(2)/2)*AB156+(1-EXP(-LN(2)/2))/(LN(2)/2)*V157*Y157*VLOOKUP('Données projet'!$B$9,Paramètres!$A$1:$I$89,3,0)*0.475*44/12</f>
        <v>4.2474095870491522E-16</v>
      </c>
      <c r="AC157" s="22">
        <f t="shared" si="163"/>
        <v>6.8197740796187727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435.00000000000023</v>
      </c>
      <c r="AJ157" s="13">
        <f>AI157*VLOOKUP('Données projet'!$B$10,Paramètres!$A$1:$I$89,3,0)*VLOOKUP('Données projet'!$B$10,Paramètres!$A$1:$I$89,5,0)</f>
        <v>260.13000000000017</v>
      </c>
      <c r="AK157" s="13">
        <f t="shared" si="164"/>
        <v>62.75008789651104</v>
      </c>
      <c r="AL157" s="20">
        <f t="shared" si="165"/>
        <v>562.349486419757</v>
      </c>
      <c r="AM157" s="59">
        <f t="shared" si="113"/>
        <v>855.68281975309037</v>
      </c>
      <c r="AN157" s="59">
        <f ca="1">AVERAGE(OFFSET($AM$3,0,0,'Données projet'!$E$10+1,1))-AVERAGE(OFFSET($H$3,0,0,'Données projet'!$E$10+1,1))</f>
        <v>247.08914525784144</v>
      </c>
      <c r="AO157" s="59">
        <f t="shared" si="144"/>
        <v>286.9617518796191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5.5693666913803552</v>
      </c>
      <c r="AV157" s="21">
        <f>EXP(-LN(2)/25)*AV156+(1-EXP(-LN(2)/25))/(LN(2)/25)*Calculateur!AQ157*Calculateur!AS157*VLOOKUP('Données projet'!$B$10,Paramètres!$A$1:$I$89,3,0)*0.475*44/12</f>
        <v>2.3621079875547415</v>
      </c>
      <c r="AW157" s="21">
        <f>EXP(-LN(2)/2)*AW156+(1-EXP(-LN(2)/2))/(LN(2)/2)*AQ157*AT157*VLOOKUP('Données projet'!$B$10,Paramètres!$A$1:$I$89,3,0)*0.475*44/12</f>
        <v>3.9889901250726053E-14</v>
      </c>
      <c r="AX157" s="21">
        <f t="shared" si="166"/>
        <v>7.9314746789351362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318.99999999999994</v>
      </c>
      <c r="BE157" s="13">
        <f>BD157*VLOOKUP('Données projet'!$B$11,Paramètres!$A$1:$I$89,3,0)*VLOOKUP('Données projet'!$B$11,Paramètres!$A$1:$I$89,5,0)</f>
        <v>253.79639999999995</v>
      </c>
      <c r="BF157" s="13">
        <f t="shared" si="167"/>
        <v>61.398168322280704</v>
      </c>
      <c r="BG157" s="20">
        <f t="shared" si="168"/>
        <v>548.9638731613054</v>
      </c>
      <c r="BH157" s="59">
        <f t="shared" si="116"/>
        <v>842.29720649463866</v>
      </c>
      <c r="BI157" s="59">
        <f ca="1">AVERAGE(OFFSET($BH$3,0,0,'Données projet'!$E$11+1,1))-AVERAGE(OFFSET($H$3,0,0,'Données projet'!$E$11+1,1))</f>
        <v>280.45463274302153</v>
      </c>
      <c r="BJ157" s="59">
        <f t="shared" si="146"/>
        <v>276.06968650495287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9.4471340325249269</v>
      </c>
      <c r="BQ157" s="21">
        <f>EXP(-LN(2)/25)*BQ156+(1-EXP(-LN(2)/25))/(LN(2)/25)*Calculateur!BL157*Calculateur!BN157*VLOOKUP('Données projet'!$B$11,Paramètres!$A$1:$I$89,3,0)*0.475*44/12</f>
        <v>0.32857499952378999</v>
      </c>
      <c r="BR157" s="21">
        <f>EXP(-LN(2)/2)*BR156+(1-EXP(-LN(2)/2))/(LN(2)/2)*BL157*BO157*VLOOKUP('Données projet'!$B$11,Paramètres!$A$1:$I$89,3,0)*0.475*44/12</f>
        <v>4.4622964531412289E-12</v>
      </c>
      <c r="BS157" s="22">
        <f t="shared" si="169"/>
        <v>9.7757090320531788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72.540000000000305</v>
      </c>
      <c r="D158" s="11">
        <f t="shared" si="140"/>
        <v>20.302914660456867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716.68214825616053</v>
      </c>
      <c r="H158" s="67">
        <f t="shared" si="110"/>
        <v>455.03474303362952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197.99999999999994</v>
      </c>
      <c r="O158" s="13">
        <f>N158*VLOOKUP('Données projet'!$B$9,Paramètres!$A$1:$I$89,3,0)*VLOOKUP('Données projet'!$B$9,Paramètres!$A$1:$I$89,5,0)</f>
        <v>123.55199999999995</v>
      </c>
      <c r="P158" s="13">
        <f t="shared" si="141"/>
        <v>32.502033262579566</v>
      </c>
      <c r="Q158" s="20">
        <f t="shared" si="162"/>
        <v>271.79410793232597</v>
      </c>
      <c r="R158" s="59">
        <f t="shared" si="109"/>
        <v>565.12744126565929</v>
      </c>
      <c r="S158" s="59">
        <f ca="1">AVERAGE(OFFSET($R$3,0,0,'Données projet'!$E$9+1,1))-AVERAGE(OFFSET($H$3,0,0,'Données projet'!$E$9+1,1))</f>
        <v>168.81286953191102</v>
      </c>
      <c r="T158" s="59">
        <f t="shared" si="142"/>
        <v>255.78677933103666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4.2605852900502068</v>
      </c>
      <c r="AA158" s="21">
        <f>EXP(-LN(2)/25)*AA157+(1-EXP(-LN(2)/25))/(LN(2)/25)*Calculateur!V158*Calculateur!X158*VLOOKUP('Données projet'!$B$9,Paramètres!$A$1:$I$89,3,0)*0.475*44/12</f>
        <v>2.4063193807419623</v>
      </c>
      <c r="AB158" s="21">
        <f>EXP(-LN(2)/2)*AB157+(1-EXP(-LN(2)/2))/(LN(2)/2)*V158*Y158*VLOOKUP('Données projet'!$B$9,Paramètres!$A$1:$I$89,3,0)*0.475*44/12</f>
        <v>3.003372121479209E-16</v>
      </c>
      <c r="AC158" s="22">
        <f t="shared" si="163"/>
        <v>6.6669046707921691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435.00000000000023</v>
      </c>
      <c r="AJ158" s="13">
        <f>AI158*VLOOKUP('Données projet'!$B$10,Paramètres!$A$1:$I$89,3,0)*VLOOKUP('Données projet'!$B$10,Paramètres!$A$1:$I$89,5,0)</f>
        <v>260.13000000000017</v>
      </c>
      <c r="AK158" s="13">
        <f t="shared" si="164"/>
        <v>62.75008789651104</v>
      </c>
      <c r="AL158" s="20">
        <f t="shared" si="165"/>
        <v>562.349486419757</v>
      </c>
      <c r="AM158" s="59">
        <f t="shared" si="113"/>
        <v>855.68281975309037</v>
      </c>
      <c r="AN158" s="59">
        <f ca="1">AVERAGE(OFFSET($AM$3,0,0,'Données projet'!$E$10+1,1))-AVERAGE(OFFSET($H$3,0,0,'Données projet'!$E$10+1,1))</f>
        <v>247.08914525784144</v>
      </c>
      <c r="AO158" s="59">
        <f t="shared" si="144"/>
        <v>286.9617518796191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5.4601548075406443</v>
      </c>
      <c r="AV158" s="21">
        <f>EXP(-LN(2)/25)*AV157+(1-EXP(-LN(2)/25))/(LN(2)/25)*Calculateur!AQ158*Calculateur!AS158*VLOOKUP('Données projet'!$B$10,Paramètres!$A$1:$I$89,3,0)*0.475*44/12</f>
        <v>2.2975160204171967</v>
      </c>
      <c r="AW158" s="21">
        <f>EXP(-LN(2)/2)*AW157+(1-EXP(-LN(2)/2))/(LN(2)/2)*AQ158*AT158*VLOOKUP('Données projet'!$B$10,Paramètres!$A$1:$I$89,3,0)*0.475*44/12</f>
        <v>2.8206419675250137E-14</v>
      </c>
      <c r="AX158" s="21">
        <f t="shared" si="166"/>
        <v>7.7576708279578694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318.99999999999994</v>
      </c>
      <c r="BE158" s="13">
        <f>BD158*VLOOKUP('Données projet'!$B$11,Paramètres!$A$1:$I$89,3,0)*VLOOKUP('Données projet'!$B$11,Paramètres!$A$1:$I$89,5,0)</f>
        <v>253.79639999999995</v>
      </c>
      <c r="BF158" s="13">
        <f t="shared" si="167"/>
        <v>61.398168322280704</v>
      </c>
      <c r="BG158" s="20">
        <f t="shared" si="168"/>
        <v>548.9638731613054</v>
      </c>
      <c r="BH158" s="59">
        <f t="shared" si="116"/>
        <v>842.29720649463866</v>
      </c>
      <c r="BI158" s="59">
        <f ca="1">AVERAGE(OFFSET($BH$3,0,0,'Données projet'!$E$11+1,1))-AVERAGE(OFFSET($H$3,0,0,'Données projet'!$E$11+1,1))</f>
        <v>280.45463274302153</v>
      </c>
      <c r="BJ158" s="59">
        <f t="shared" si="146"/>
        <v>276.06968650495287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9.2618814963299041</v>
      </c>
      <c r="BQ158" s="21">
        <f>EXP(-LN(2)/25)*BQ157+(1-EXP(-LN(2)/25))/(LN(2)/25)*Calculateur!BL158*Calculateur!BN158*VLOOKUP('Données projet'!$B$11,Paramètres!$A$1:$I$89,3,0)*0.475*44/12</f>
        <v>0.31959009888280371</v>
      </c>
      <c r="BR158" s="21">
        <f>EXP(-LN(2)/2)*BR157+(1-EXP(-LN(2)/2))/(LN(2)/2)*BL158*BO158*VLOOKUP('Données projet'!$B$11,Paramètres!$A$1:$I$89,3,0)*0.475*44/12</f>
        <v>3.1553200816808421E-12</v>
      </c>
      <c r="BS158" s="22">
        <f t="shared" si="169"/>
        <v>9.5814715952158629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73.008000000000308</v>
      </c>
      <c r="D159" s="11">
        <f t="shared" si="140"/>
        <v>20.418611018263718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721.1878745269504</v>
      </c>
      <c r="H159" s="67">
        <f t="shared" si="110"/>
        <v>456.05134752347647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197.99999999999994</v>
      </c>
      <c r="O159" s="13">
        <f>N159*VLOOKUP('Données projet'!$B$9,Paramètres!$A$1:$I$89,3,0)*VLOOKUP('Données projet'!$B$9,Paramètres!$A$1:$I$89,5,0)</f>
        <v>123.55199999999995</v>
      </c>
      <c r="P159" s="13">
        <f t="shared" si="141"/>
        <v>32.502033262579566</v>
      </c>
      <c r="Q159" s="20">
        <f t="shared" si="162"/>
        <v>271.79410793232597</v>
      </c>
      <c r="R159" s="59">
        <f t="shared" si="109"/>
        <v>565.12744126565929</v>
      </c>
      <c r="S159" s="59">
        <f ca="1">AVERAGE(OFFSET($R$3,0,0,'Données projet'!$E$9+1,1))-AVERAGE(OFFSET($H$3,0,0,'Données projet'!$E$9+1,1))</f>
        <v>168.81286953191102</v>
      </c>
      <c r="T159" s="59">
        <f t="shared" si="142"/>
        <v>255.78677933103666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4.1770378112127489</v>
      </c>
      <c r="AA159" s="21">
        <f>EXP(-LN(2)/25)*AA158+(1-EXP(-LN(2)/25))/(LN(2)/25)*Calculateur!V159*Calculateur!X159*VLOOKUP('Données projet'!$B$9,Paramètres!$A$1:$I$89,3,0)*0.475*44/12</f>
        <v>2.3405184507327368</v>
      </c>
      <c r="AB159" s="21">
        <f>EXP(-LN(2)/2)*AB158+(1-EXP(-LN(2)/2))/(LN(2)/2)*V159*Y159*VLOOKUP('Données projet'!$B$9,Paramètres!$A$1:$I$89,3,0)*0.475*44/12</f>
        <v>2.1237047935245761E-16</v>
      </c>
      <c r="AC159" s="22">
        <f t="shared" si="163"/>
        <v>6.5175562619454857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435.00000000000023</v>
      </c>
      <c r="AJ159" s="13">
        <f>AI159*VLOOKUP('Données projet'!$B$10,Paramètres!$A$1:$I$89,3,0)*VLOOKUP('Données projet'!$B$10,Paramètres!$A$1:$I$89,5,0)</f>
        <v>260.13000000000017</v>
      </c>
      <c r="AK159" s="13">
        <f t="shared" si="164"/>
        <v>62.75008789651104</v>
      </c>
      <c r="AL159" s="20">
        <f t="shared" si="165"/>
        <v>562.349486419757</v>
      </c>
      <c r="AM159" s="59">
        <f t="shared" si="113"/>
        <v>855.68281975309037</v>
      </c>
      <c r="AN159" s="59">
        <f ca="1">AVERAGE(OFFSET($AM$3,0,0,'Données projet'!$E$10+1,1))-AVERAGE(OFFSET($H$3,0,0,'Données projet'!$E$10+1,1))</f>
        <v>247.08914525784144</v>
      </c>
      <c r="AO159" s="59">
        <f t="shared" si="144"/>
        <v>286.9617518796191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5.3530845021303586</v>
      </c>
      <c r="AV159" s="21">
        <f>EXP(-LN(2)/25)*AV158+(1-EXP(-LN(2)/25))/(LN(2)/25)*Calculateur!AQ159*Calculateur!AS159*VLOOKUP('Données projet'!$B$10,Paramètres!$A$1:$I$89,3,0)*0.475*44/12</f>
        <v>2.2346903240177718</v>
      </c>
      <c r="AW159" s="21">
        <f>EXP(-LN(2)/2)*AW158+(1-EXP(-LN(2)/2))/(LN(2)/2)*AQ159*AT159*VLOOKUP('Données projet'!$B$10,Paramètres!$A$1:$I$89,3,0)*0.475*44/12</f>
        <v>1.994495062536303E-14</v>
      </c>
      <c r="AX159" s="21">
        <f t="shared" si="166"/>
        <v>7.5877748261481504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318.99999999999994</v>
      </c>
      <c r="BE159" s="13">
        <f>BD159*VLOOKUP('Données projet'!$B$11,Paramètres!$A$1:$I$89,3,0)*VLOOKUP('Données projet'!$B$11,Paramètres!$A$1:$I$89,5,0)</f>
        <v>253.79639999999995</v>
      </c>
      <c r="BF159" s="13">
        <f t="shared" si="167"/>
        <v>61.398168322280704</v>
      </c>
      <c r="BG159" s="20">
        <f t="shared" si="168"/>
        <v>548.9638731613054</v>
      </c>
      <c r="BH159" s="59">
        <f t="shared" si="116"/>
        <v>842.29720649463866</v>
      </c>
      <c r="BI159" s="59">
        <f ca="1">AVERAGE(OFFSET($BH$3,0,0,'Données projet'!$E$11+1,1))-AVERAGE(OFFSET($H$3,0,0,'Données projet'!$E$11+1,1))</f>
        <v>280.45463274302153</v>
      </c>
      <c r="BJ159" s="59">
        <f t="shared" si="146"/>
        <v>276.06968650495287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9.0802616493767765</v>
      </c>
      <c r="BQ159" s="21">
        <f>EXP(-LN(2)/25)*BQ158+(1-EXP(-LN(2)/25))/(LN(2)/25)*Calculateur!BL159*Calculateur!BN159*VLOOKUP('Données projet'!$B$11,Paramètres!$A$1:$I$89,3,0)*0.475*44/12</f>
        <v>0.31085089082234058</v>
      </c>
      <c r="BR159" s="21">
        <f>EXP(-LN(2)/2)*BR158+(1-EXP(-LN(2)/2))/(LN(2)/2)*BL159*BO159*VLOOKUP('Données projet'!$B$11,Paramètres!$A$1:$I$89,3,0)*0.475*44/12</f>
        <v>2.2311482265706145E-12</v>
      </c>
      <c r="BS159" s="22">
        <f t="shared" si="169"/>
        <v>9.3911125402013482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73.476000000000312</v>
      </c>
      <c r="D160" s="11">
        <f t="shared" si="140"/>
        <v>20.534221080361753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725.69293465542648</v>
      </c>
      <c r="H160" s="67">
        <f t="shared" si="110"/>
        <v>457.06780171496393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197.99999999999994</v>
      </c>
      <c r="O160" s="13">
        <f>N160*VLOOKUP('Données projet'!$B$9,Paramètres!$A$1:$I$89,3,0)*VLOOKUP('Données projet'!$B$9,Paramètres!$A$1:$I$89,5,0)</f>
        <v>123.55199999999995</v>
      </c>
      <c r="P160" s="13">
        <f t="shared" si="141"/>
        <v>32.502033262579566</v>
      </c>
      <c r="Q160" s="20">
        <f t="shared" si="162"/>
        <v>271.79410793232597</v>
      </c>
      <c r="R160" s="59">
        <f t="shared" si="109"/>
        <v>565.12744126565929</v>
      </c>
      <c r="S160" s="59">
        <f ca="1">AVERAGE(OFFSET($R$3,0,0,'Données projet'!$E$9+1,1))-AVERAGE(OFFSET($H$3,0,0,'Données projet'!$E$9+1,1))</f>
        <v>168.81286953191102</v>
      </c>
      <c r="T160" s="59">
        <f t="shared" si="142"/>
        <v>255.78677933103666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4.0951286474763631</v>
      </c>
      <c r="AA160" s="21">
        <f>EXP(-LN(2)/25)*AA159+(1-EXP(-LN(2)/25))/(LN(2)/25)*Calculateur!V160*Calculateur!X160*VLOOKUP('Données projet'!$B$9,Paramètres!$A$1:$I$89,3,0)*0.475*44/12</f>
        <v>2.276516850614934</v>
      </c>
      <c r="AB160" s="21">
        <f>EXP(-LN(2)/2)*AB159+(1-EXP(-LN(2)/2))/(LN(2)/2)*V160*Y160*VLOOKUP('Données projet'!$B$9,Paramètres!$A$1:$I$89,3,0)*0.475*44/12</f>
        <v>1.5016860607396045E-16</v>
      </c>
      <c r="AC160" s="22">
        <f t="shared" si="163"/>
        <v>6.3716454980912971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435.00000000000023</v>
      </c>
      <c r="AJ160" s="13">
        <f>AI160*VLOOKUP('Données projet'!$B$10,Paramètres!$A$1:$I$89,3,0)*VLOOKUP('Données projet'!$B$10,Paramètres!$A$1:$I$89,5,0)</f>
        <v>260.13000000000017</v>
      </c>
      <c r="AK160" s="13">
        <f t="shared" si="164"/>
        <v>62.75008789651104</v>
      </c>
      <c r="AL160" s="20">
        <f t="shared" si="165"/>
        <v>562.349486419757</v>
      </c>
      <c r="AM160" s="59">
        <f t="shared" si="113"/>
        <v>855.68281975309037</v>
      </c>
      <c r="AN160" s="59">
        <f ca="1">AVERAGE(OFFSET($AM$3,0,0,'Données projet'!$E$10+1,1))-AVERAGE(OFFSET($H$3,0,0,'Données projet'!$E$10+1,1))</f>
        <v>247.08914525784144</v>
      </c>
      <c r="AO160" s="59">
        <f t="shared" si="144"/>
        <v>286.9617518796191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5.2481137801027309</v>
      </c>
      <c r="AV160" s="21">
        <f>EXP(-LN(2)/25)*AV159+(1-EXP(-LN(2)/25))/(LN(2)/25)*Calculateur!AQ160*Calculateur!AS160*VLOOKUP('Données projet'!$B$10,Paramètres!$A$1:$I$89,3,0)*0.475*44/12</f>
        <v>2.1735825995902491</v>
      </c>
      <c r="AW160" s="21">
        <f>EXP(-LN(2)/2)*AW159+(1-EXP(-LN(2)/2))/(LN(2)/2)*AQ160*AT160*VLOOKUP('Données projet'!$B$10,Paramètres!$A$1:$I$89,3,0)*0.475*44/12</f>
        <v>1.4103209837625072E-14</v>
      </c>
      <c r="AX160" s="21">
        <f t="shared" si="166"/>
        <v>7.4216963796929942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318.99999999999994</v>
      </c>
      <c r="BE160" s="13">
        <f>BD160*VLOOKUP('Données projet'!$B$11,Paramètres!$A$1:$I$89,3,0)*VLOOKUP('Données projet'!$B$11,Paramètres!$A$1:$I$89,5,0)</f>
        <v>253.79639999999995</v>
      </c>
      <c r="BF160" s="13">
        <f t="shared" si="167"/>
        <v>61.398168322280704</v>
      </c>
      <c r="BG160" s="20">
        <f t="shared" si="168"/>
        <v>548.9638731613054</v>
      </c>
      <c r="BH160" s="59">
        <f t="shared" si="116"/>
        <v>842.29720649463866</v>
      </c>
      <c r="BI160" s="59">
        <f ca="1">AVERAGE(OFFSET($BH$3,0,0,'Données projet'!$E$11+1,1))-AVERAGE(OFFSET($H$3,0,0,'Données projet'!$E$11+1,1))</f>
        <v>280.45463274302153</v>
      </c>
      <c r="BJ160" s="59">
        <f t="shared" si="146"/>
        <v>276.06968650495287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8.9022032568452314</v>
      </c>
      <c r="BQ160" s="21">
        <f>EXP(-LN(2)/25)*BQ159+(1-EXP(-LN(2)/25))/(LN(2)/25)*Calculateur!BL160*Calculateur!BN160*VLOOKUP('Données projet'!$B$11,Paramètres!$A$1:$I$89,3,0)*0.475*44/12</f>
        <v>0.30235065686586576</v>
      </c>
      <c r="BR160" s="21">
        <f>EXP(-LN(2)/2)*BR159+(1-EXP(-LN(2)/2))/(LN(2)/2)*BL160*BO160*VLOOKUP('Données projet'!$B$11,Paramètres!$A$1:$I$89,3,0)*0.475*44/12</f>
        <v>1.5776600408404211E-12</v>
      </c>
      <c r="BS160" s="22">
        <f t="shared" si="169"/>
        <v>9.2045539137126742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73.944000000000315</v>
      </c>
      <c r="D161" s="11">
        <f t="shared" si="140"/>
        <v>20.649745460165789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730.19733337672085</v>
      </c>
      <c r="H161" s="67">
        <f t="shared" si="110"/>
        <v>458.08410667645592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197.99999999999994</v>
      </c>
      <c r="O161" s="13">
        <f>N161*VLOOKUP('Données projet'!$B$9,Paramètres!$A$1:$I$89,3,0)*VLOOKUP('Données projet'!$B$9,Paramètres!$A$1:$I$89,5,0)</f>
        <v>123.55199999999995</v>
      </c>
      <c r="P161" s="13">
        <f t="shared" si="141"/>
        <v>32.502033262579566</v>
      </c>
      <c r="Q161" s="20">
        <f t="shared" si="162"/>
        <v>271.79410793232597</v>
      </c>
      <c r="R161" s="59">
        <f t="shared" si="109"/>
        <v>565.12744126565929</v>
      </c>
      <c r="S161" s="59">
        <f ca="1">AVERAGE(OFFSET($R$3,0,0,'Données projet'!$E$9+1,1))-AVERAGE(OFFSET($H$3,0,0,'Données projet'!$E$9+1,1))</f>
        <v>168.81286953191102</v>
      </c>
      <c r="T161" s="59">
        <f t="shared" si="142"/>
        <v>255.78677933103666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4.0148256724811908</v>
      </c>
      <c r="AA161" s="21">
        <f>EXP(-LN(2)/25)*AA160+(1-EXP(-LN(2)/25))/(LN(2)/25)*Calculateur!V161*Calculateur!X161*VLOOKUP('Données projet'!$B$9,Paramètres!$A$1:$I$89,3,0)*0.475*44/12</f>
        <v>2.2142653776180503</v>
      </c>
      <c r="AB161" s="21">
        <f>EXP(-LN(2)/2)*AB160+(1-EXP(-LN(2)/2))/(LN(2)/2)*V161*Y161*VLOOKUP('Données projet'!$B$9,Paramètres!$A$1:$I$89,3,0)*0.475*44/12</f>
        <v>1.061852396762288E-16</v>
      </c>
      <c r="AC161" s="22">
        <f t="shared" si="163"/>
        <v>6.2290910500992407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435.00000000000023</v>
      </c>
      <c r="AJ161" s="13">
        <f>AI161*VLOOKUP('Données projet'!$B$10,Paramètres!$A$1:$I$89,3,0)*VLOOKUP('Données projet'!$B$10,Paramètres!$A$1:$I$89,5,0)</f>
        <v>260.13000000000017</v>
      </c>
      <c r="AK161" s="13">
        <f t="shared" si="164"/>
        <v>62.75008789651104</v>
      </c>
      <c r="AL161" s="20">
        <f t="shared" si="165"/>
        <v>562.349486419757</v>
      </c>
      <c r="AM161" s="59">
        <f t="shared" si="113"/>
        <v>855.68281975309037</v>
      </c>
      <c r="AN161" s="59">
        <f ca="1">AVERAGE(OFFSET($AM$3,0,0,'Données projet'!$E$10+1,1))-AVERAGE(OFFSET($H$3,0,0,'Données projet'!$E$10+1,1))</f>
        <v>247.08914525784144</v>
      </c>
      <c r="AO161" s="59">
        <f t="shared" si="144"/>
        <v>286.9617518796191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5.1452014699082467</v>
      </c>
      <c r="AV161" s="21">
        <f>EXP(-LN(2)/25)*AV160+(1-EXP(-LN(2)/25))/(LN(2)/25)*Calculateur!AQ161*Calculateur!AS161*VLOOKUP('Données projet'!$B$10,Paramètres!$A$1:$I$89,3,0)*0.475*44/12</f>
        <v>2.1141458691007124</v>
      </c>
      <c r="AW161" s="21">
        <f>EXP(-LN(2)/2)*AW160+(1-EXP(-LN(2)/2))/(LN(2)/2)*AQ161*AT161*VLOOKUP('Données projet'!$B$10,Paramètres!$A$1:$I$89,3,0)*0.475*44/12</f>
        <v>9.9724753126815164E-15</v>
      </c>
      <c r="AX161" s="21">
        <f t="shared" si="166"/>
        <v>7.2593473390089693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318.99999999999994</v>
      </c>
      <c r="BE161" s="13">
        <f>BD161*VLOOKUP('Données projet'!$B$11,Paramètres!$A$1:$I$89,3,0)*VLOOKUP('Données projet'!$B$11,Paramètres!$A$1:$I$89,5,0)</f>
        <v>253.79639999999995</v>
      </c>
      <c r="BF161" s="13">
        <f t="shared" si="167"/>
        <v>61.398168322280704</v>
      </c>
      <c r="BG161" s="20">
        <f t="shared" si="168"/>
        <v>548.9638731613054</v>
      </c>
      <c r="BH161" s="59">
        <f t="shared" si="116"/>
        <v>842.29720649463866</v>
      </c>
      <c r="BI161" s="59">
        <f ca="1">AVERAGE(OFFSET($BH$3,0,0,'Données projet'!$E$11+1,1))-AVERAGE(OFFSET($H$3,0,0,'Données projet'!$E$11+1,1))</f>
        <v>280.45463274302153</v>
      </c>
      <c r="BJ161" s="59">
        <f t="shared" si="146"/>
        <v>276.06968650495287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8.7276364807863338</v>
      </c>
      <c r="BQ161" s="21">
        <f>EXP(-LN(2)/25)*BQ160+(1-EXP(-LN(2)/25))/(LN(2)/25)*Calculateur!BL161*Calculateur!BN161*VLOOKUP('Données projet'!$B$11,Paramètres!$A$1:$I$89,3,0)*0.475*44/12</f>
        <v>0.29408286225393865</v>
      </c>
      <c r="BR161" s="21">
        <f>EXP(-LN(2)/2)*BR160+(1-EXP(-LN(2)/2))/(LN(2)/2)*BL161*BO161*VLOOKUP('Données projet'!$B$11,Paramètres!$A$1:$I$89,3,0)*0.475*44/12</f>
        <v>1.1155741132853072E-12</v>
      </c>
      <c r="BS161" s="22">
        <f t="shared" si="169"/>
        <v>9.0217193430413882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74.412000000000319</v>
      </c>
      <c r="D162" s="11">
        <f t="shared" si="140"/>
        <v>20.765184762876906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734.70107536256103</v>
      </c>
      <c r="H162" s="67">
        <f t="shared" si="110"/>
        <v>459.10026346201118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197.99999999999994</v>
      </c>
      <c r="O162" s="13">
        <f>N162*VLOOKUP('Données projet'!$B$9,Paramètres!$A$1:$I$89,3,0)*VLOOKUP('Données projet'!$B$9,Paramètres!$A$1:$I$89,5,0)</f>
        <v>123.55199999999995</v>
      </c>
      <c r="P162" s="13">
        <f t="shared" si="141"/>
        <v>32.502033262579566</v>
      </c>
      <c r="Q162" s="20">
        <f t="shared" si="162"/>
        <v>271.79410793232597</v>
      </c>
      <c r="R162" s="59">
        <f t="shared" si="109"/>
        <v>565.12744126565929</v>
      </c>
      <c r="S162" s="59">
        <f ca="1">AVERAGE(OFFSET($R$3,0,0,'Données projet'!$E$9+1,1))-AVERAGE(OFFSET($H$3,0,0,'Données projet'!$E$9+1,1))</f>
        <v>168.81286953191102</v>
      </c>
      <c r="T162" s="59">
        <f t="shared" si="142"/>
        <v>255.78677933103666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3.9360973898456959</v>
      </c>
      <c r="AA162" s="21">
        <f>EXP(-LN(2)/25)*AA161+(1-EXP(-LN(2)/25))/(LN(2)/25)*Calculateur!V162*Calculateur!X162*VLOOKUP('Données projet'!$B$9,Paramètres!$A$1:$I$89,3,0)*0.475*44/12</f>
        <v>2.1537161744239293</v>
      </c>
      <c r="AB162" s="21">
        <f>EXP(-LN(2)/2)*AB161+(1-EXP(-LN(2)/2))/(LN(2)/2)*V162*Y162*VLOOKUP('Données projet'!$B$9,Paramètres!$A$1:$I$89,3,0)*0.475*44/12</f>
        <v>7.5084303036980225E-17</v>
      </c>
      <c r="AC162" s="22">
        <f t="shared" si="163"/>
        <v>6.0898135642696252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435.00000000000023</v>
      </c>
      <c r="AJ162" s="13">
        <f>AI162*VLOOKUP('Données projet'!$B$10,Paramètres!$A$1:$I$89,3,0)*VLOOKUP('Données projet'!$B$10,Paramètres!$A$1:$I$89,5,0)</f>
        <v>260.13000000000017</v>
      </c>
      <c r="AK162" s="13">
        <f t="shared" si="164"/>
        <v>62.75008789651104</v>
      </c>
      <c r="AL162" s="20">
        <f t="shared" si="165"/>
        <v>562.349486419757</v>
      </c>
      <c r="AM162" s="59">
        <f t="shared" si="113"/>
        <v>855.68281975309037</v>
      </c>
      <c r="AN162" s="59">
        <f ca="1">AVERAGE(OFFSET($AM$3,0,0,'Données projet'!$E$10+1,1))-AVERAGE(OFFSET($H$3,0,0,'Données projet'!$E$10+1,1))</f>
        <v>247.08914525784144</v>
      </c>
      <c r="AO162" s="59">
        <f t="shared" si="144"/>
        <v>286.9617518796191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5.0443072073463648</v>
      </c>
      <c r="AV162" s="21">
        <f>EXP(-LN(2)/25)*AV161+(1-EXP(-LN(2)/25))/(LN(2)/25)*Calculateur!AQ162*Calculateur!AS162*VLOOKUP('Données projet'!$B$10,Paramètres!$A$1:$I$89,3,0)*0.475*44/12</f>
        <v>2.0563344391320539</v>
      </c>
      <c r="AW162" s="21">
        <f>EXP(-LN(2)/2)*AW161+(1-EXP(-LN(2)/2))/(LN(2)/2)*AQ162*AT162*VLOOKUP('Données projet'!$B$10,Paramètres!$A$1:$I$89,3,0)*0.475*44/12</f>
        <v>7.0516049188125367E-15</v>
      </c>
      <c r="AX162" s="21">
        <f t="shared" si="166"/>
        <v>7.1006416464784259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318.99999999999994</v>
      </c>
      <c r="BE162" s="13">
        <f>BD162*VLOOKUP('Données projet'!$B$11,Paramètres!$A$1:$I$89,3,0)*VLOOKUP('Données projet'!$B$11,Paramètres!$A$1:$I$89,5,0)</f>
        <v>253.79639999999995</v>
      </c>
      <c r="BF162" s="13">
        <f t="shared" si="167"/>
        <v>61.398168322280704</v>
      </c>
      <c r="BG162" s="20">
        <f t="shared" si="168"/>
        <v>548.9638731613054</v>
      </c>
      <c r="BH162" s="59">
        <f t="shared" si="116"/>
        <v>842.29720649463866</v>
      </c>
      <c r="BI162" s="59">
        <f ca="1">AVERAGE(OFFSET($BH$3,0,0,'Données projet'!$E$11+1,1))-AVERAGE(OFFSET($H$3,0,0,'Données projet'!$E$11+1,1))</f>
        <v>280.45463274302153</v>
      </c>
      <c r="BJ162" s="59">
        <f t="shared" si="146"/>
        <v>276.06968650495287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8.5564928527307309</v>
      </c>
      <c r="BQ162" s="21">
        <f>EXP(-LN(2)/25)*BQ161+(1-EXP(-LN(2)/25))/(LN(2)/25)*Calculateur!BL162*Calculateur!BN162*VLOOKUP('Données projet'!$B$11,Paramètres!$A$1:$I$89,3,0)*0.475*44/12</f>
        <v>0.28604115092045912</v>
      </c>
      <c r="BR162" s="21">
        <f>EXP(-LN(2)/2)*BR161+(1-EXP(-LN(2)/2))/(LN(2)/2)*BL162*BO162*VLOOKUP('Données projet'!$B$11,Paramètres!$A$1:$I$89,3,0)*0.475*44/12</f>
        <v>7.8883002042021053E-13</v>
      </c>
      <c r="BS162" s="22">
        <f t="shared" si="169"/>
        <v>8.8425340036519788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74.880000000000322</v>
      </c>
      <c r="D163" s="11">
        <f t="shared" si="140"/>
        <v>20.880539585643316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739.20416522251242</v>
      </c>
      <c r="H163" s="67">
        <f t="shared" si="110"/>
        <v>460.11627311166262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197.99999999999994</v>
      </c>
      <c r="O163" s="13">
        <f>N163*VLOOKUP('Données projet'!$B$9,Paramètres!$A$1:$I$89,3,0)*VLOOKUP('Données projet'!$B$9,Paramètres!$A$1:$I$89,5,0)</f>
        <v>123.55199999999995</v>
      </c>
      <c r="P163" s="13">
        <f t="shared" si="141"/>
        <v>32.502033262579566</v>
      </c>
      <c r="Q163" s="20">
        <f t="shared" si="162"/>
        <v>271.79410793232597</v>
      </c>
      <c r="R163" s="59">
        <f t="shared" si="109"/>
        <v>565.12744126565929</v>
      </c>
      <c r="S163" s="59">
        <f ca="1">AVERAGE(OFFSET($R$3,0,0,'Données projet'!$E$9+1,1))-AVERAGE(OFFSET($H$3,0,0,'Données projet'!$E$9+1,1))</f>
        <v>168.81286953191102</v>
      </c>
      <c r="T163" s="59">
        <f t="shared" si="142"/>
        <v>255.78677933103666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3.8589129208131721</v>
      </c>
      <c r="AA163" s="21">
        <f>EXP(-LN(2)/25)*AA162+(1-EXP(-LN(2)/25))/(LN(2)/25)*Calculateur!V163*Calculateur!X163*VLOOKUP('Données projet'!$B$9,Paramètres!$A$1:$I$89,3,0)*0.475*44/12</f>
        <v>2.0948226923752955</v>
      </c>
      <c r="AB163" s="21">
        <f>EXP(-LN(2)/2)*AB162+(1-EXP(-LN(2)/2))/(LN(2)/2)*V163*Y163*VLOOKUP('Données projet'!$B$9,Paramètres!$A$1:$I$89,3,0)*0.475*44/12</f>
        <v>5.3092619838114402E-17</v>
      </c>
      <c r="AC163" s="22">
        <f t="shared" si="163"/>
        <v>5.9537356131884671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435.00000000000023</v>
      </c>
      <c r="AJ163" s="13">
        <f>AI163*VLOOKUP('Données projet'!$B$10,Paramètres!$A$1:$I$89,3,0)*VLOOKUP('Données projet'!$B$10,Paramètres!$A$1:$I$89,5,0)</f>
        <v>260.13000000000017</v>
      </c>
      <c r="AK163" s="13">
        <f t="shared" si="164"/>
        <v>62.75008789651104</v>
      </c>
      <c r="AL163" s="20">
        <f t="shared" si="165"/>
        <v>562.349486419757</v>
      </c>
      <c r="AM163" s="59">
        <f t="shared" si="113"/>
        <v>855.68281975309037</v>
      </c>
      <c r="AN163" s="59">
        <f ca="1">AVERAGE(OFFSET($AM$3,0,0,'Données projet'!$E$10+1,1))-AVERAGE(OFFSET($H$3,0,0,'Données projet'!$E$10+1,1))</f>
        <v>247.08914525784144</v>
      </c>
      <c r="AO163" s="59">
        <f t="shared" si="144"/>
        <v>286.9617518796191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4.9453914197338982</v>
      </c>
      <c r="AV163" s="21">
        <f>EXP(-LN(2)/25)*AV162+(1-EXP(-LN(2)/25))/(LN(2)/25)*Calculateur!AQ163*Calculateur!AS163*VLOOKUP('Données projet'!$B$10,Paramètres!$A$1:$I$89,3,0)*0.475*44/12</f>
        <v>2.0001038657560595</v>
      </c>
      <c r="AW163" s="21">
        <f>EXP(-LN(2)/2)*AW162+(1-EXP(-LN(2)/2))/(LN(2)/2)*AQ163*AT163*VLOOKUP('Données projet'!$B$10,Paramètres!$A$1:$I$89,3,0)*0.475*44/12</f>
        <v>4.986237656340759E-15</v>
      </c>
      <c r="AX163" s="21">
        <f t="shared" si="166"/>
        <v>6.9454952854899634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318.99999999999994</v>
      </c>
      <c r="BE163" s="13">
        <f>BD163*VLOOKUP('Données projet'!$B$11,Paramètres!$A$1:$I$89,3,0)*VLOOKUP('Données projet'!$B$11,Paramètres!$A$1:$I$89,5,0)</f>
        <v>253.79639999999995</v>
      </c>
      <c r="BF163" s="13">
        <f t="shared" si="167"/>
        <v>61.398168322280704</v>
      </c>
      <c r="BG163" s="20">
        <f t="shared" si="168"/>
        <v>548.9638731613054</v>
      </c>
      <c r="BH163" s="59">
        <f t="shared" si="116"/>
        <v>842.29720649463866</v>
      </c>
      <c r="BI163" s="59">
        <f ca="1">AVERAGE(OFFSET($BH$3,0,0,'Données projet'!$E$11+1,1))-AVERAGE(OFFSET($H$3,0,0,'Données projet'!$E$11+1,1))</f>
        <v>280.45463274302153</v>
      </c>
      <c r="BJ163" s="59">
        <f t="shared" si="146"/>
        <v>276.06968650495287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8.3887052468339931</v>
      </c>
      <c r="BQ163" s="21">
        <f>EXP(-LN(2)/25)*BQ162+(1-EXP(-LN(2)/25))/(LN(2)/25)*Calculateur!BL163*Calculateur!BN163*VLOOKUP('Données projet'!$B$11,Paramètres!$A$1:$I$89,3,0)*0.475*44/12</f>
        <v>0.27821934060628878</v>
      </c>
      <c r="BR163" s="21">
        <f>EXP(-LN(2)/2)*BR162+(1-EXP(-LN(2)/2))/(LN(2)/2)*BL163*BO163*VLOOKUP('Données projet'!$B$11,Paramètres!$A$1:$I$89,3,0)*0.475*44/12</f>
        <v>5.5778705664265362E-13</v>
      </c>
      <c r="BS163" s="22">
        <f t="shared" si="169"/>
        <v>8.6669245874408389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75.348000000000326</v>
      </c>
      <c r="D164" s="11">
        <f t="shared" si="140"/>
        <v>20.995810517717125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743.70660750518743</v>
      </c>
      <c r="H164" s="67">
        <f t="shared" si="110"/>
        <v>461.13213665169121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197.99999999999994</v>
      </c>
      <c r="O164" s="13">
        <f>N164*VLOOKUP('Données projet'!$B$9,Paramètres!$A$1:$I$89,3,0)*VLOOKUP('Données projet'!$B$9,Paramètres!$A$1:$I$89,5,0)</f>
        <v>123.55199999999995</v>
      </c>
      <c r="P164" s="13">
        <f t="shared" si="141"/>
        <v>32.502033262579566</v>
      </c>
      <c r="Q164" s="20">
        <f t="shared" si="162"/>
        <v>271.79410793232597</v>
      </c>
      <c r="R164" s="59">
        <f t="shared" si="109"/>
        <v>565.12744126565929</v>
      </c>
      <c r="S164" s="59">
        <f ca="1">AVERAGE(OFFSET($R$3,0,0,'Données projet'!$E$9+1,1))-AVERAGE(OFFSET($H$3,0,0,'Données projet'!$E$9+1,1))</f>
        <v>168.81286953191102</v>
      </c>
      <c r="T164" s="59">
        <f t="shared" si="142"/>
        <v>255.78677933103666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3.7832419921404985</v>
      </c>
      <c r="AA164" s="21">
        <f>EXP(-LN(2)/25)*AA163+(1-EXP(-LN(2)/25))/(LN(2)/25)*Calculateur!V164*Calculateur!X164*VLOOKUP('Données projet'!$B$9,Paramètres!$A$1:$I$89,3,0)*0.475*44/12</f>
        <v>2.0375396556903556</v>
      </c>
      <c r="AB164" s="21">
        <f>EXP(-LN(2)/2)*AB163+(1-EXP(-LN(2)/2))/(LN(2)/2)*V164*Y164*VLOOKUP('Données projet'!$B$9,Paramètres!$A$1:$I$89,3,0)*0.475*44/12</f>
        <v>3.7542151518490113E-17</v>
      </c>
      <c r="AC164" s="22">
        <f t="shared" si="163"/>
        <v>5.8207816478308541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435.00000000000023</v>
      </c>
      <c r="AJ164" s="13">
        <f>AI164*VLOOKUP('Données projet'!$B$10,Paramètres!$A$1:$I$89,3,0)*VLOOKUP('Données projet'!$B$10,Paramètres!$A$1:$I$89,5,0)</f>
        <v>260.13000000000017</v>
      </c>
      <c r="AK164" s="13">
        <f t="shared" si="164"/>
        <v>62.75008789651104</v>
      </c>
      <c r="AL164" s="20">
        <f t="shared" si="165"/>
        <v>562.349486419757</v>
      </c>
      <c r="AM164" s="59">
        <f t="shared" si="113"/>
        <v>855.68281975309037</v>
      </c>
      <c r="AN164" s="59">
        <f ca="1">AVERAGE(OFFSET($AM$3,0,0,'Données projet'!$E$10+1,1))-AVERAGE(OFFSET($H$3,0,0,'Données projet'!$E$10+1,1))</f>
        <v>247.08914525784144</v>
      </c>
      <c r="AO164" s="59">
        <f t="shared" si="144"/>
        <v>286.9617518796191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4.8484153103838388</v>
      </c>
      <c r="AV164" s="21">
        <f>EXP(-LN(2)/25)*AV163+(1-EXP(-LN(2)/25))/(LN(2)/25)*Calculateur!AQ164*Calculateur!AS164*VLOOKUP('Données projet'!$B$10,Paramètres!$A$1:$I$89,3,0)*0.475*44/12</f>
        <v>1.945410920366069</v>
      </c>
      <c r="AW164" s="21">
        <f>EXP(-LN(2)/2)*AW163+(1-EXP(-LN(2)/2))/(LN(2)/2)*AQ164*AT164*VLOOKUP('Données projet'!$B$10,Paramètres!$A$1:$I$89,3,0)*0.475*44/12</f>
        <v>3.5258024594062687E-15</v>
      </c>
      <c r="AX164" s="21">
        <f t="shared" si="166"/>
        <v>6.7938262307499109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318.99999999999994</v>
      </c>
      <c r="BE164" s="13">
        <f>BD164*VLOOKUP('Données projet'!$B$11,Paramètres!$A$1:$I$89,3,0)*VLOOKUP('Données projet'!$B$11,Paramètres!$A$1:$I$89,5,0)</f>
        <v>253.79639999999995</v>
      </c>
      <c r="BF164" s="13">
        <f t="shared" si="167"/>
        <v>61.398168322280704</v>
      </c>
      <c r="BG164" s="20">
        <f t="shared" si="168"/>
        <v>548.9638731613054</v>
      </c>
      <c r="BH164" s="59">
        <f t="shared" si="116"/>
        <v>842.29720649463866</v>
      </c>
      <c r="BI164" s="59">
        <f ca="1">AVERAGE(OFFSET($BH$3,0,0,'Données projet'!$E$11+1,1))-AVERAGE(OFFSET($H$3,0,0,'Données projet'!$E$11+1,1))</f>
        <v>280.45463274302153</v>
      </c>
      <c r="BJ164" s="59">
        <f t="shared" si="146"/>
        <v>276.06968650495287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8.2242078535485561</v>
      </c>
      <c r="BQ164" s="21">
        <f>EXP(-LN(2)/25)*BQ163+(1-EXP(-LN(2)/25))/(LN(2)/25)*Calculateur!BL164*Calculateur!BN164*VLOOKUP('Données projet'!$B$11,Paramètres!$A$1:$I$89,3,0)*0.475*44/12</f>
        <v>0.27061141810649059</v>
      </c>
      <c r="BR164" s="21">
        <f>EXP(-LN(2)/2)*BR163+(1-EXP(-LN(2)/2))/(LN(2)/2)*BL164*BO164*VLOOKUP('Données projet'!$B$11,Paramètres!$A$1:$I$89,3,0)*0.475*44/12</f>
        <v>3.9441501021010527E-13</v>
      </c>
      <c r="BS164" s="22">
        <f t="shared" si="169"/>
        <v>8.4948192716554409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75.816000000000329</v>
      </c>
      <c r="D165" s="11">
        <f t="shared" si="140"/>
        <v>21.11099814060724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748.20840669942697</v>
      </c>
      <c r="H165" s="67">
        <f t="shared" si="110"/>
        <v>462.1478550948915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197.99999999999994</v>
      </c>
      <c r="O165" s="13">
        <f>N165*VLOOKUP('Données projet'!$B$9,Paramètres!$A$1:$I$89,3,0)*VLOOKUP('Données projet'!$B$9,Paramètres!$A$1:$I$89,5,0)</f>
        <v>123.55199999999995</v>
      </c>
      <c r="P165" s="13">
        <f t="shared" si="141"/>
        <v>32.502033262579566</v>
      </c>
      <c r="Q165" s="20">
        <f t="shared" si="162"/>
        <v>271.79410793232597</v>
      </c>
      <c r="R165" s="59">
        <f t="shared" si="109"/>
        <v>565.12744126565929</v>
      </c>
      <c r="S165" s="59">
        <f ca="1">AVERAGE(OFFSET($R$3,0,0,'Données projet'!$E$9+1,1))-AVERAGE(OFFSET($H$3,0,0,'Données projet'!$E$9+1,1))</f>
        <v>168.81286953191102</v>
      </c>
      <c r="T165" s="59">
        <f t="shared" si="142"/>
        <v>255.78677933103666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3.7090549242243869</v>
      </c>
      <c r="AA165" s="21">
        <f>EXP(-LN(2)/25)*AA164+(1-EXP(-LN(2)/25))/(LN(2)/25)*Calculateur!V165*Calculateur!X165*VLOOKUP('Données projet'!$B$9,Paramètres!$A$1:$I$89,3,0)*0.475*44/12</f>
        <v>1.9818230266559491</v>
      </c>
      <c r="AB165" s="21">
        <f>EXP(-LN(2)/2)*AB164+(1-EXP(-LN(2)/2))/(LN(2)/2)*V165*Y165*VLOOKUP('Données projet'!$B$9,Paramètres!$A$1:$I$89,3,0)*0.475*44/12</f>
        <v>2.6546309919057201E-17</v>
      </c>
      <c r="AC165" s="22">
        <f t="shared" si="163"/>
        <v>5.6908779508803358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435.00000000000023</v>
      </c>
      <c r="AJ165" s="13">
        <f>AI165*VLOOKUP('Données projet'!$B$10,Paramètres!$A$1:$I$89,3,0)*VLOOKUP('Données projet'!$B$10,Paramètres!$A$1:$I$89,5,0)</f>
        <v>260.13000000000017</v>
      </c>
      <c r="AK165" s="13">
        <f t="shared" si="164"/>
        <v>62.75008789651104</v>
      </c>
      <c r="AL165" s="20">
        <f t="shared" si="165"/>
        <v>562.349486419757</v>
      </c>
      <c r="AM165" s="59">
        <f t="shared" si="113"/>
        <v>855.68281975309037</v>
      </c>
      <c r="AN165" s="59">
        <f ca="1">AVERAGE(OFFSET($AM$3,0,0,'Données projet'!$E$10+1,1))-AVERAGE(OFFSET($H$3,0,0,'Données projet'!$E$10+1,1))</f>
        <v>247.08914525784144</v>
      </c>
      <c r="AO165" s="59">
        <f t="shared" si="144"/>
        <v>286.9617518796191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4.753340843388548</v>
      </c>
      <c r="AV165" s="21">
        <f>EXP(-LN(2)/25)*AV164+(1-EXP(-LN(2)/25))/(LN(2)/25)*Calculateur!AQ165*Calculateur!AS165*VLOOKUP('Données projet'!$B$10,Paramètres!$A$1:$I$89,3,0)*0.475*44/12</f>
        <v>1.8922135564439448</v>
      </c>
      <c r="AW165" s="21">
        <f>EXP(-LN(2)/2)*AW164+(1-EXP(-LN(2)/2))/(LN(2)/2)*AQ165*AT165*VLOOKUP('Données projet'!$B$10,Paramètres!$A$1:$I$89,3,0)*0.475*44/12</f>
        <v>2.4931188281703799E-15</v>
      </c>
      <c r="AX165" s="21">
        <f t="shared" si="166"/>
        <v>6.6455543998324957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318.99999999999994</v>
      </c>
      <c r="BE165" s="13">
        <f>BD165*VLOOKUP('Données projet'!$B$11,Paramètres!$A$1:$I$89,3,0)*VLOOKUP('Données projet'!$B$11,Paramètres!$A$1:$I$89,5,0)</f>
        <v>253.79639999999995</v>
      </c>
      <c r="BF165" s="13">
        <f t="shared" si="167"/>
        <v>61.398168322280704</v>
      </c>
      <c r="BG165" s="20">
        <f t="shared" si="168"/>
        <v>548.9638731613054</v>
      </c>
      <c r="BH165" s="59">
        <f t="shared" si="116"/>
        <v>842.29720649463866</v>
      </c>
      <c r="BI165" s="59">
        <f ca="1">AVERAGE(OFFSET($BH$3,0,0,'Données projet'!$E$11+1,1))-AVERAGE(OFFSET($H$3,0,0,'Données projet'!$E$11+1,1))</f>
        <v>280.45463274302153</v>
      </c>
      <c r="BJ165" s="59">
        <f t="shared" si="146"/>
        <v>276.06968650495287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8.0629361538119433</v>
      </c>
      <c r="BQ165" s="21">
        <f>EXP(-LN(2)/25)*BQ164+(1-EXP(-LN(2)/25))/(LN(2)/25)*Calculateur!BL165*Calculateur!BN165*VLOOKUP('Données projet'!$B$11,Paramètres!$A$1:$I$89,3,0)*0.475*44/12</f>
        <v>0.26321153464753261</v>
      </c>
      <c r="BR165" s="21">
        <f>EXP(-LN(2)/2)*BR164+(1-EXP(-LN(2)/2))/(LN(2)/2)*BL165*BO165*VLOOKUP('Données projet'!$B$11,Paramètres!$A$1:$I$89,3,0)*0.475*44/12</f>
        <v>2.7889352832132681E-13</v>
      </c>
      <c r="BS165" s="22">
        <f t="shared" si="169"/>
        <v>8.3261476884597556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76.284000000000333</v>
      </c>
      <c r="D166" s="11">
        <f t="shared" si="140"/>
        <v>21.226103028228163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752.70956723544816</v>
      </c>
      <c r="H166" s="67">
        <f t="shared" si="110"/>
        <v>463.16342944083124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197.99999999999994</v>
      </c>
      <c r="O166" s="13">
        <f>N166*VLOOKUP('Données projet'!$B$9,Paramètres!$A$1:$I$89,3,0)*VLOOKUP('Données projet'!$B$9,Paramètres!$A$1:$I$89,5,0)</f>
        <v>123.55199999999995</v>
      </c>
      <c r="P166" s="13">
        <f t="shared" si="141"/>
        <v>32.502033262579566</v>
      </c>
      <c r="Q166" s="20">
        <f t="shared" si="162"/>
        <v>271.79410793232597</v>
      </c>
      <c r="R166" s="59">
        <f t="shared" si="109"/>
        <v>565.12744126565929</v>
      </c>
      <c r="S166" s="59">
        <f ca="1">AVERAGE(OFFSET($R$3,0,0,'Données projet'!$E$9+1,1))-AVERAGE(OFFSET($H$3,0,0,'Données projet'!$E$9+1,1))</f>
        <v>168.81286953191102</v>
      </c>
      <c r="T166" s="59">
        <f t="shared" si="142"/>
        <v>255.78677933103666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3.6363226194604668</v>
      </c>
      <c r="AA166" s="21">
        <f>EXP(-LN(2)/25)*AA165+(1-EXP(-LN(2)/25))/(LN(2)/25)*Calculateur!V166*Calculateur!X166*VLOOKUP('Données projet'!$B$9,Paramètres!$A$1:$I$89,3,0)*0.475*44/12</f>
        <v>1.9276299717724987</v>
      </c>
      <c r="AB166" s="21">
        <f>EXP(-LN(2)/2)*AB165+(1-EXP(-LN(2)/2))/(LN(2)/2)*V166*Y166*VLOOKUP('Données projet'!$B$9,Paramètres!$A$1:$I$89,3,0)*0.475*44/12</f>
        <v>1.8771075759245056E-17</v>
      </c>
      <c r="AC166" s="22">
        <f t="shared" si="163"/>
        <v>5.5639525912329653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435.00000000000023</v>
      </c>
      <c r="AJ166" s="13">
        <f>AI166*VLOOKUP('Données projet'!$B$10,Paramètres!$A$1:$I$89,3,0)*VLOOKUP('Données projet'!$B$10,Paramètres!$A$1:$I$89,5,0)</f>
        <v>260.13000000000017</v>
      </c>
      <c r="AK166" s="13">
        <f t="shared" si="164"/>
        <v>62.75008789651104</v>
      </c>
      <c r="AL166" s="20">
        <f t="shared" si="165"/>
        <v>562.349486419757</v>
      </c>
      <c r="AM166" s="59">
        <f t="shared" si="113"/>
        <v>855.68281975309037</v>
      </c>
      <c r="AN166" s="59">
        <f ca="1">AVERAGE(OFFSET($AM$3,0,0,'Données projet'!$E$10+1,1))-AVERAGE(OFFSET($H$3,0,0,'Données projet'!$E$10+1,1))</f>
        <v>247.08914525784144</v>
      </c>
      <c r="AO166" s="59">
        <f t="shared" si="144"/>
        <v>286.9617518796191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4.6601307287013354</v>
      </c>
      <c r="AV166" s="21">
        <f>EXP(-LN(2)/25)*AV165+(1-EXP(-LN(2)/25))/(LN(2)/25)*Calculateur!AQ166*Calculateur!AS166*VLOOKUP('Données projet'!$B$10,Paramètres!$A$1:$I$89,3,0)*0.475*44/12</f>
        <v>1.8404708772357989</v>
      </c>
      <c r="AW166" s="21">
        <f>EXP(-LN(2)/2)*AW165+(1-EXP(-LN(2)/2))/(LN(2)/2)*AQ166*AT166*VLOOKUP('Données projet'!$B$10,Paramètres!$A$1:$I$89,3,0)*0.475*44/12</f>
        <v>1.7629012297031348E-15</v>
      </c>
      <c r="AX166" s="21">
        <f t="shared" si="166"/>
        <v>6.5006016059371365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318.99999999999994</v>
      </c>
      <c r="BE166" s="13">
        <f>BD166*VLOOKUP('Données projet'!$B$11,Paramètres!$A$1:$I$89,3,0)*VLOOKUP('Données projet'!$B$11,Paramètres!$A$1:$I$89,5,0)</f>
        <v>253.79639999999995</v>
      </c>
      <c r="BF166" s="13">
        <f t="shared" si="167"/>
        <v>61.398168322280704</v>
      </c>
      <c r="BG166" s="20">
        <f t="shared" si="168"/>
        <v>548.9638731613054</v>
      </c>
      <c r="BH166" s="59">
        <f t="shared" si="116"/>
        <v>842.29720649463866</v>
      </c>
      <c r="BI166" s="59">
        <f ca="1">AVERAGE(OFFSET($BH$3,0,0,'Données projet'!$E$11+1,1))-AVERAGE(OFFSET($H$3,0,0,'Données projet'!$E$11+1,1))</f>
        <v>280.45463274302153</v>
      </c>
      <c r="BJ166" s="59">
        <f t="shared" si="146"/>
        <v>276.06968650495287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7.9048268937411423</v>
      </c>
      <c r="BQ166" s="21">
        <f>EXP(-LN(2)/25)*BQ165+(1-EXP(-LN(2)/25))/(LN(2)/25)*Calculateur!BL166*Calculateur!BN166*VLOOKUP('Données projet'!$B$11,Paramètres!$A$1:$I$89,3,0)*0.475*44/12</f>
        <v>0.2560140013909028</v>
      </c>
      <c r="BR166" s="21">
        <f>EXP(-LN(2)/2)*BR165+(1-EXP(-LN(2)/2))/(LN(2)/2)*BL166*BO166*VLOOKUP('Données projet'!$B$11,Paramètres!$A$1:$I$89,3,0)*0.475*44/12</f>
        <v>1.9720750510505263E-13</v>
      </c>
      <c r="BS166" s="22">
        <f t="shared" si="169"/>
        <v>8.1608408951322424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76.752000000000336</v>
      </c>
      <c r="D167" s="11">
        <f t="shared" si="140"/>
        <v>21.341125747045204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757.21009348596579</v>
      </c>
      <c r="H167" s="67">
        <f t="shared" si="110"/>
        <v>464.17886067610431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197.99999999999994</v>
      </c>
      <c r="O167" s="13">
        <f>N167*VLOOKUP('Données projet'!$B$9,Paramètres!$A$1:$I$89,3,0)*VLOOKUP('Données projet'!$B$9,Paramètres!$A$1:$I$89,5,0)</f>
        <v>123.55199999999995</v>
      </c>
      <c r="P167" s="13">
        <f t="shared" si="141"/>
        <v>32.502033262579566</v>
      </c>
      <c r="Q167" s="20">
        <f t="shared" si="162"/>
        <v>271.79410793232597</v>
      </c>
      <c r="R167" s="59">
        <f t="shared" si="109"/>
        <v>565.12744126565929</v>
      </c>
      <c r="S167" s="59">
        <f ca="1">AVERAGE(OFFSET($R$3,0,0,'Données projet'!$E$9+1,1))-AVERAGE(OFFSET($H$3,0,0,'Données projet'!$E$9+1,1))</f>
        <v>168.81286953191102</v>
      </c>
      <c r="T167" s="59">
        <f t="shared" si="142"/>
        <v>255.78677933103666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3.5650165508306415</v>
      </c>
      <c r="AA167" s="21">
        <f>EXP(-LN(2)/25)*AA166+(1-EXP(-LN(2)/25))/(LN(2)/25)*Calculateur!V167*Calculateur!X167*VLOOKUP('Données projet'!$B$9,Paramètres!$A$1:$I$89,3,0)*0.475*44/12</f>
        <v>1.8749188288247252</v>
      </c>
      <c r="AB167" s="21">
        <f>EXP(-LN(2)/2)*AB166+(1-EXP(-LN(2)/2))/(LN(2)/2)*V167*Y167*VLOOKUP('Données projet'!$B$9,Paramètres!$A$1:$I$89,3,0)*0.475*44/12</f>
        <v>1.3273154959528601E-17</v>
      </c>
      <c r="AC167" s="22">
        <f t="shared" si="163"/>
        <v>5.4399353796553669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435.00000000000023</v>
      </c>
      <c r="AJ167" s="13">
        <f>AI167*VLOOKUP('Données projet'!$B$10,Paramètres!$A$1:$I$89,3,0)*VLOOKUP('Données projet'!$B$10,Paramètres!$A$1:$I$89,5,0)</f>
        <v>260.13000000000017</v>
      </c>
      <c r="AK167" s="13">
        <f t="shared" si="164"/>
        <v>62.75008789651104</v>
      </c>
      <c r="AL167" s="20">
        <f t="shared" si="165"/>
        <v>562.349486419757</v>
      </c>
      <c r="AM167" s="59">
        <f t="shared" si="113"/>
        <v>855.68281975309037</v>
      </c>
      <c r="AN167" s="59">
        <f ca="1">AVERAGE(OFFSET($AM$3,0,0,'Données projet'!$E$10+1,1))-AVERAGE(OFFSET($H$3,0,0,'Données projet'!$E$10+1,1))</f>
        <v>247.08914525784144</v>
      </c>
      <c r="AO167" s="59">
        <f t="shared" si="144"/>
        <v>286.9617518796191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4.5687484075105829</v>
      </c>
      <c r="AV167" s="21">
        <f>EXP(-LN(2)/25)*AV166+(1-EXP(-LN(2)/25))/(LN(2)/25)*Calculateur!AQ167*Calculateur!AS167*VLOOKUP('Données projet'!$B$10,Paramètres!$A$1:$I$89,3,0)*0.475*44/12</f>
        <v>1.7901431043116289</v>
      </c>
      <c r="AW167" s="21">
        <f>EXP(-LN(2)/2)*AW166+(1-EXP(-LN(2)/2))/(LN(2)/2)*AQ167*AT167*VLOOKUP('Données projet'!$B$10,Paramètres!$A$1:$I$89,3,0)*0.475*44/12</f>
        <v>1.2465594140851901E-15</v>
      </c>
      <c r="AX167" s="21">
        <f t="shared" si="166"/>
        <v>6.3588915118222129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318.99999999999994</v>
      </c>
      <c r="BE167" s="13">
        <f>BD167*VLOOKUP('Données projet'!$B$11,Paramètres!$A$1:$I$89,3,0)*VLOOKUP('Données projet'!$B$11,Paramètres!$A$1:$I$89,5,0)</f>
        <v>253.79639999999995</v>
      </c>
      <c r="BF167" s="13">
        <f t="shared" si="167"/>
        <v>61.398168322280704</v>
      </c>
      <c r="BG167" s="20">
        <f t="shared" si="168"/>
        <v>548.9638731613054</v>
      </c>
      <c r="BH167" s="59">
        <f t="shared" si="116"/>
        <v>842.29720649463866</v>
      </c>
      <c r="BI167" s="59">
        <f ca="1">AVERAGE(OFFSET($BH$3,0,0,'Données projet'!$E$11+1,1))-AVERAGE(OFFSET($H$3,0,0,'Données projet'!$E$11+1,1))</f>
        <v>280.45463274302153</v>
      </c>
      <c r="BJ167" s="59">
        <f t="shared" si="146"/>
        <v>276.06968650495287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7.7498180598232036</v>
      </c>
      <c r="BQ167" s="21">
        <f>EXP(-LN(2)/25)*BQ166+(1-EXP(-LN(2)/25))/(LN(2)/25)*Calculateur!BL167*Calculateur!BN167*VLOOKUP('Données projet'!$B$11,Paramètres!$A$1:$I$89,3,0)*0.475*44/12</f>
        <v>0.24901328505967735</v>
      </c>
      <c r="BR167" s="21">
        <f>EXP(-LN(2)/2)*BR166+(1-EXP(-LN(2)/2))/(LN(2)/2)*BL167*BO167*VLOOKUP('Données projet'!$B$11,Paramètres!$A$1:$I$89,3,0)*0.475*44/12</f>
        <v>1.394467641606634E-13</v>
      </c>
      <c r="BS167" s="22">
        <f t="shared" si="169"/>
        <v>7.9988313448830199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77.22000000000034</v>
      </c>
      <c r="D168" s="11">
        <f t="shared" si="140"/>
        <v>21.456066856215958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761.70998976728379</v>
      </c>
      <c r="H168" s="67">
        <f t="shared" si="110"/>
        <v>465.19414977457666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197.99999999999994</v>
      </c>
      <c r="O168" s="13">
        <f>N168*VLOOKUP('Données projet'!$B$9,Paramètres!$A$1:$I$89,3,0)*VLOOKUP('Données projet'!$B$9,Paramètres!$A$1:$I$89,5,0)</f>
        <v>123.55199999999995</v>
      </c>
      <c r="P168" s="13">
        <f t="shared" si="141"/>
        <v>32.502033262579566</v>
      </c>
      <c r="Q168" s="20">
        <f t="shared" si="162"/>
        <v>271.79410793232597</v>
      </c>
      <c r="R168" s="59">
        <f t="shared" si="109"/>
        <v>565.12744126565929</v>
      </c>
      <c r="S168" s="59">
        <f ca="1">AVERAGE(OFFSET($R$3,0,0,'Données projet'!$E$9+1,1))-AVERAGE(OFFSET($H$3,0,0,'Données projet'!$E$9+1,1))</f>
        <v>168.81286953191102</v>
      </c>
      <c r="T168" s="59">
        <f t="shared" si="142"/>
        <v>255.78677933103666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3.4951087507142398</v>
      </c>
      <c r="AA168" s="21">
        <f>EXP(-LN(2)/25)*AA167+(1-EXP(-LN(2)/25))/(LN(2)/25)*Calculateur!V168*Calculateur!X168*VLOOKUP('Données projet'!$B$9,Paramètres!$A$1:$I$89,3,0)*0.475*44/12</f>
        <v>1.8236490748528171</v>
      </c>
      <c r="AB168" s="21">
        <f>EXP(-LN(2)/2)*AB167+(1-EXP(-LN(2)/2))/(LN(2)/2)*V168*Y168*VLOOKUP('Données projet'!$B$9,Paramètres!$A$1:$I$89,3,0)*0.475*44/12</f>
        <v>9.3855378796225281E-18</v>
      </c>
      <c r="AC168" s="22">
        <f t="shared" si="163"/>
        <v>5.3187578255670571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435.00000000000023</v>
      </c>
      <c r="AJ168" s="13">
        <f>AI168*VLOOKUP('Données projet'!$B$10,Paramètres!$A$1:$I$89,3,0)*VLOOKUP('Données projet'!$B$10,Paramètres!$A$1:$I$89,5,0)</f>
        <v>260.13000000000017</v>
      </c>
      <c r="AK168" s="13">
        <f t="shared" si="164"/>
        <v>62.75008789651104</v>
      </c>
      <c r="AL168" s="20">
        <f t="shared" si="165"/>
        <v>562.349486419757</v>
      </c>
      <c r="AM168" s="59">
        <f t="shared" si="113"/>
        <v>855.68281975309037</v>
      </c>
      <c r="AN168" s="59">
        <f ca="1">AVERAGE(OFFSET($AM$3,0,0,'Données projet'!$E$10+1,1))-AVERAGE(OFFSET($H$3,0,0,'Données projet'!$E$10+1,1))</f>
        <v>247.08914525784144</v>
      </c>
      <c r="AO168" s="59">
        <f t="shared" si="144"/>
        <v>286.9617518796191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4.4791580379006692</v>
      </c>
      <c r="AV168" s="21">
        <f>EXP(-LN(2)/25)*AV167+(1-EXP(-LN(2)/25))/(LN(2)/25)*Calculateur!AQ168*Calculateur!AS168*VLOOKUP('Données projet'!$B$10,Paramètres!$A$1:$I$89,3,0)*0.475*44/12</f>
        <v>1.741191546984693</v>
      </c>
      <c r="AW168" s="21">
        <f>EXP(-LN(2)/2)*AW167+(1-EXP(-LN(2)/2))/(LN(2)/2)*AQ168*AT168*VLOOKUP('Données projet'!$B$10,Paramètres!$A$1:$I$89,3,0)*0.475*44/12</f>
        <v>8.8145061485156748E-16</v>
      </c>
      <c r="AX168" s="21">
        <f t="shared" si="166"/>
        <v>6.2203495848853629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318.99999999999994</v>
      </c>
      <c r="BE168" s="13">
        <f>BD168*VLOOKUP('Données projet'!$B$11,Paramètres!$A$1:$I$89,3,0)*VLOOKUP('Données projet'!$B$11,Paramètres!$A$1:$I$89,5,0)</f>
        <v>253.79639999999995</v>
      </c>
      <c r="BF168" s="13">
        <f t="shared" si="167"/>
        <v>61.398168322280704</v>
      </c>
      <c r="BG168" s="20">
        <f t="shared" si="168"/>
        <v>548.9638731613054</v>
      </c>
      <c r="BH168" s="59">
        <f t="shared" si="116"/>
        <v>842.29720649463866</v>
      </c>
      <c r="BI168" s="59">
        <f ca="1">AVERAGE(OFFSET($BH$3,0,0,'Données projet'!$E$11+1,1))-AVERAGE(OFFSET($H$3,0,0,'Données projet'!$E$11+1,1))</f>
        <v>280.45463274302153</v>
      </c>
      <c r="BJ168" s="59">
        <f t="shared" si="146"/>
        <v>276.06968650495287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7.5978488545923426</v>
      </c>
      <c r="BQ168" s="21">
        <f>EXP(-LN(2)/25)*BQ167+(1-EXP(-LN(2)/25))/(LN(2)/25)*Calculateur!BL168*Calculateur!BN168*VLOOKUP('Données projet'!$B$11,Paramètres!$A$1:$I$89,3,0)*0.475*44/12</f>
        <v>0.24220400368468092</v>
      </c>
      <c r="BR168" s="21">
        <f>EXP(-LN(2)/2)*BR167+(1-EXP(-LN(2)/2))/(LN(2)/2)*BL168*BO168*VLOOKUP('Données projet'!$B$11,Paramètres!$A$1:$I$89,3,0)*0.475*44/12</f>
        <v>9.8603752552526316E-14</v>
      </c>
      <c r="BS168" s="22">
        <f t="shared" si="169"/>
        <v>7.8400528582771223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77.688000000000343</v>
      </c>
      <c r="D169" s="11">
        <f t="shared" si="140"/>
        <v>21.570926907728293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766.20926034036154</v>
      </c>
      <c r="H169" s="67">
        <f t="shared" si="110"/>
        <v>466.20929769762733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197.99999999999994</v>
      </c>
      <c r="O169" s="13">
        <f>N169*VLOOKUP('Données projet'!$B$9,Paramètres!$A$1:$I$89,3,0)*VLOOKUP('Données projet'!$B$9,Paramètres!$A$1:$I$89,5,0)</f>
        <v>123.55199999999995</v>
      </c>
      <c r="P169" s="13">
        <f t="shared" si="141"/>
        <v>32.502033262579566</v>
      </c>
      <c r="Q169" s="20">
        <f t="shared" si="162"/>
        <v>271.79410793232597</v>
      </c>
      <c r="R169" s="59">
        <f t="shared" si="109"/>
        <v>565.12744126565929</v>
      </c>
      <c r="S169" s="59">
        <f ca="1">AVERAGE(OFFSET($R$3,0,0,'Données projet'!$E$9+1,1))-AVERAGE(OFFSET($H$3,0,0,'Données projet'!$E$9+1,1))</f>
        <v>168.81286953191102</v>
      </c>
      <c r="T169" s="59">
        <f t="shared" si="142"/>
        <v>255.78677933103666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3.4265717999185732</v>
      </c>
      <c r="AA169" s="21">
        <f>EXP(-LN(2)/25)*AA168+(1-EXP(-LN(2)/25))/(LN(2)/25)*Calculateur!V169*Calculateur!X169*VLOOKUP('Données projet'!$B$9,Paramètres!$A$1:$I$89,3,0)*0.475*44/12</f>
        <v>1.77378129499943</v>
      </c>
      <c r="AB169" s="21">
        <f>EXP(-LN(2)/2)*AB168+(1-EXP(-LN(2)/2))/(LN(2)/2)*V169*Y169*VLOOKUP('Données projet'!$B$9,Paramètres!$A$1:$I$89,3,0)*0.475*44/12</f>
        <v>6.6365774797643003E-18</v>
      </c>
      <c r="AC169" s="22">
        <f t="shared" si="163"/>
        <v>5.200353094918003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435.00000000000023</v>
      </c>
      <c r="AJ169" s="13">
        <f>AI169*VLOOKUP('Données projet'!$B$10,Paramètres!$A$1:$I$89,3,0)*VLOOKUP('Données projet'!$B$10,Paramètres!$A$1:$I$89,5,0)</f>
        <v>260.13000000000017</v>
      </c>
      <c r="AK169" s="13">
        <f t="shared" si="164"/>
        <v>62.75008789651104</v>
      </c>
      <c r="AL169" s="20">
        <f t="shared" si="165"/>
        <v>562.349486419757</v>
      </c>
      <c r="AM169" s="59">
        <f t="shared" si="113"/>
        <v>855.68281975309037</v>
      </c>
      <c r="AN169" s="59">
        <f ca="1">AVERAGE(OFFSET($AM$3,0,0,'Données projet'!$E$10+1,1))-AVERAGE(OFFSET($H$3,0,0,'Données projet'!$E$10+1,1))</f>
        <v>247.08914525784144</v>
      </c>
      <c r="AO169" s="59">
        <f t="shared" si="144"/>
        <v>286.9617518796191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4.3913244807940757</v>
      </c>
      <c r="AV169" s="21">
        <f>EXP(-LN(2)/25)*AV168+(1-EXP(-LN(2)/25))/(LN(2)/25)*Calculateur!AQ169*Calculateur!AS169*VLOOKUP('Données projet'!$B$10,Paramètres!$A$1:$I$89,3,0)*0.475*44/12</f>
        <v>1.6935785725671126</v>
      </c>
      <c r="AW169" s="21">
        <f>EXP(-LN(2)/2)*AW168+(1-EXP(-LN(2)/2))/(LN(2)/2)*AQ169*AT169*VLOOKUP('Données projet'!$B$10,Paramètres!$A$1:$I$89,3,0)*0.475*44/12</f>
        <v>6.2327970704259517E-16</v>
      </c>
      <c r="AX169" s="21">
        <f t="shared" si="166"/>
        <v>6.084903053361189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318.99999999999994</v>
      </c>
      <c r="BE169" s="13">
        <f>BD169*VLOOKUP('Données projet'!$B$11,Paramètres!$A$1:$I$89,3,0)*VLOOKUP('Données projet'!$B$11,Paramètres!$A$1:$I$89,5,0)</f>
        <v>253.79639999999995</v>
      </c>
      <c r="BF169" s="13">
        <f t="shared" si="167"/>
        <v>61.398168322280704</v>
      </c>
      <c r="BG169" s="20">
        <f t="shared" si="168"/>
        <v>548.9638731613054</v>
      </c>
      <c r="BH169" s="59">
        <f t="shared" si="116"/>
        <v>842.29720649463866</v>
      </c>
      <c r="BI169" s="59">
        <f ca="1">AVERAGE(OFFSET($BH$3,0,0,'Données projet'!$E$11+1,1))-AVERAGE(OFFSET($H$3,0,0,'Données projet'!$E$11+1,1))</f>
        <v>280.45463274302153</v>
      </c>
      <c r="BJ169" s="59">
        <f t="shared" si="146"/>
        <v>276.06968650495287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7.4488596727839962</v>
      </c>
      <c r="BQ169" s="21">
        <f>EXP(-LN(2)/25)*BQ168+(1-EXP(-LN(2)/25))/(LN(2)/25)*Calculateur!BL169*Calculateur!BN169*VLOOKUP('Données projet'!$B$11,Paramètres!$A$1:$I$89,3,0)*0.475*44/12</f>
        <v>0.23558092246696832</v>
      </c>
      <c r="BR169" s="21">
        <f>EXP(-LN(2)/2)*BR168+(1-EXP(-LN(2)/2))/(LN(2)/2)*BL169*BO169*VLOOKUP('Données projet'!$B$11,Paramètres!$A$1:$I$89,3,0)*0.475*44/12</f>
        <v>6.9723382080331702E-14</v>
      </c>
      <c r="BS169" s="22">
        <f t="shared" si="169"/>
        <v>7.6844405952510346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78.156000000000347</v>
      </c>
      <c r="D170" s="11">
        <f t="shared" si="140"/>
        <v>21.685706446534894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770.70790941185112</v>
      </c>
      <c r="H170" s="67">
        <f t="shared" si="110"/>
        <v>467.22430539438216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197.99999999999994</v>
      </c>
      <c r="O170" s="13">
        <f>N170*VLOOKUP('Données projet'!$B$9,Paramètres!$A$1:$I$89,3,0)*VLOOKUP('Données projet'!$B$9,Paramètres!$A$1:$I$89,5,0)</f>
        <v>123.55199999999995</v>
      </c>
      <c r="P170" s="13">
        <f t="shared" si="141"/>
        <v>32.502033262579566</v>
      </c>
      <c r="Q170" s="20">
        <f t="shared" si="162"/>
        <v>271.79410793232597</v>
      </c>
      <c r="R170" s="59">
        <f t="shared" si="109"/>
        <v>565.12744126565929</v>
      </c>
      <c r="S170" s="59">
        <f ca="1">AVERAGE(OFFSET($R$3,0,0,'Données projet'!$E$9+1,1))-AVERAGE(OFFSET($H$3,0,0,'Données projet'!$E$9+1,1))</f>
        <v>168.81286953191102</v>
      </c>
      <c r="T170" s="59">
        <f t="shared" si="142"/>
        <v>255.78677933103666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3.3593788169245973</v>
      </c>
      <c r="AA170" s="21">
        <f>EXP(-LN(2)/25)*AA169+(1-EXP(-LN(2)/25))/(LN(2)/25)*Calculateur!V170*Calculateur!X170*VLOOKUP('Données projet'!$B$9,Paramètres!$A$1:$I$89,3,0)*0.475*44/12</f>
        <v>1.7252771522085664</v>
      </c>
      <c r="AB170" s="21">
        <f>EXP(-LN(2)/2)*AB169+(1-EXP(-LN(2)/2))/(LN(2)/2)*V170*Y170*VLOOKUP('Données projet'!$B$9,Paramètres!$A$1:$I$89,3,0)*0.475*44/12</f>
        <v>4.6927689398112641E-18</v>
      </c>
      <c r="AC170" s="22">
        <f t="shared" si="163"/>
        <v>5.0846559691331636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435.00000000000023</v>
      </c>
      <c r="AJ170" s="13">
        <f>AI170*VLOOKUP('Données projet'!$B$10,Paramètres!$A$1:$I$89,3,0)*VLOOKUP('Données projet'!$B$10,Paramètres!$A$1:$I$89,5,0)</f>
        <v>260.13000000000017</v>
      </c>
      <c r="AK170" s="13">
        <f t="shared" si="164"/>
        <v>62.75008789651104</v>
      </c>
      <c r="AL170" s="20">
        <f t="shared" si="165"/>
        <v>562.349486419757</v>
      </c>
      <c r="AM170" s="59">
        <f t="shared" si="113"/>
        <v>855.68281975309037</v>
      </c>
      <c r="AN170" s="59">
        <f ca="1">AVERAGE(OFFSET($AM$3,0,0,'Données projet'!$E$10+1,1))-AVERAGE(OFFSET($H$3,0,0,'Données projet'!$E$10+1,1))</f>
        <v>247.08914525784144</v>
      </c>
      <c r="AO170" s="59">
        <f t="shared" si="144"/>
        <v>286.9617518796191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4.3052132861691632</v>
      </c>
      <c r="AV170" s="21">
        <f>EXP(-LN(2)/25)*AV169+(1-EXP(-LN(2)/25))/(LN(2)/25)*Calculateur!AQ170*Calculateur!AS170*VLOOKUP('Données projet'!$B$10,Paramètres!$A$1:$I$89,3,0)*0.475*44/12</f>
        <v>1.6472675774388386</v>
      </c>
      <c r="AW170" s="21">
        <f>EXP(-LN(2)/2)*AW169+(1-EXP(-LN(2)/2))/(LN(2)/2)*AQ170*AT170*VLOOKUP('Données projet'!$B$10,Paramètres!$A$1:$I$89,3,0)*0.475*44/12</f>
        <v>4.4072530742578384E-16</v>
      </c>
      <c r="AX170" s="21">
        <f t="shared" si="166"/>
        <v>5.9524808636080015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318.99999999999994</v>
      </c>
      <c r="BE170" s="13">
        <f>BD170*VLOOKUP('Données projet'!$B$11,Paramètres!$A$1:$I$89,3,0)*VLOOKUP('Données projet'!$B$11,Paramètres!$A$1:$I$89,5,0)</f>
        <v>253.79639999999995</v>
      </c>
      <c r="BF170" s="13">
        <f t="shared" si="167"/>
        <v>61.398168322280704</v>
      </c>
      <c r="BG170" s="20">
        <f t="shared" si="168"/>
        <v>548.9638731613054</v>
      </c>
      <c r="BH170" s="59">
        <f t="shared" si="116"/>
        <v>842.29720649463866</v>
      </c>
      <c r="BI170" s="59">
        <f ca="1">AVERAGE(OFFSET($BH$3,0,0,'Données projet'!$E$11+1,1))-AVERAGE(OFFSET($H$3,0,0,'Données projet'!$E$11+1,1))</f>
        <v>280.45463274302153</v>
      </c>
      <c r="BJ170" s="59">
        <f t="shared" si="146"/>
        <v>276.06968650495287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7.3027920779564832</v>
      </c>
      <c r="BQ170" s="21">
        <f>EXP(-LN(2)/25)*BQ169+(1-EXP(-LN(2)/25))/(LN(2)/25)*Calculateur!BL170*Calculateur!BN170*VLOOKUP('Données projet'!$B$11,Paramètres!$A$1:$I$89,3,0)*0.475*44/12</f>
        <v>0.22913894975344679</v>
      </c>
      <c r="BR170" s="21">
        <f>EXP(-LN(2)/2)*BR169+(1-EXP(-LN(2)/2))/(LN(2)/2)*BL170*BO170*VLOOKUP('Données projet'!$B$11,Paramètres!$A$1:$I$89,3,0)*0.475*44/12</f>
        <v>4.9301876276263158E-14</v>
      </c>
      <c r="BS170" s="22">
        <f t="shared" si="169"/>
        <v>7.5319310277099794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78.62400000000035</v>
      </c>
      <c r="D171" s="11">
        <f t="shared" si="140"/>
        <v>21.800406010684551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775.20594113511152</v>
      </c>
      <c r="H171" s="67">
        <f t="shared" si="110"/>
        <v>468.23917380194285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197.99999999999994</v>
      </c>
      <c r="O171" s="13">
        <f>N171*VLOOKUP('Données projet'!$B$9,Paramètres!$A$1:$I$89,3,0)*VLOOKUP('Données projet'!$B$9,Paramètres!$A$1:$I$89,5,0)</f>
        <v>123.55199999999995</v>
      </c>
      <c r="P171" s="13">
        <f t="shared" si="141"/>
        <v>32.502033262579566</v>
      </c>
      <c r="Q171" s="20">
        <f t="shared" si="162"/>
        <v>271.79410793232597</v>
      </c>
      <c r="R171" s="59">
        <f t="shared" si="109"/>
        <v>565.12744126565929</v>
      </c>
      <c r="S171" s="59">
        <f ca="1">AVERAGE(OFFSET($R$3,0,0,'Données projet'!$E$9+1,1))-AVERAGE(OFFSET($H$3,0,0,'Données projet'!$E$9+1,1))</f>
        <v>168.81286953191102</v>
      </c>
      <c r="T171" s="59">
        <f t="shared" si="142"/>
        <v>255.78677933103666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3.2935034473434603</v>
      </c>
      <c r="AA171" s="21">
        <f>EXP(-LN(2)/25)*AA170+(1-EXP(-LN(2)/25))/(LN(2)/25)*Calculateur!V171*Calculateur!X171*VLOOKUP('Données projet'!$B$9,Paramètres!$A$1:$I$89,3,0)*0.475*44/12</f>
        <v>1.6780993577530408</v>
      </c>
      <c r="AB171" s="21">
        <f>EXP(-LN(2)/2)*AB170+(1-EXP(-LN(2)/2))/(LN(2)/2)*V171*Y171*VLOOKUP('Données projet'!$B$9,Paramètres!$A$1:$I$89,3,0)*0.475*44/12</f>
        <v>3.3182887398821501E-18</v>
      </c>
      <c r="AC171" s="22">
        <f t="shared" si="163"/>
        <v>4.9716028050965013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435.00000000000023</v>
      </c>
      <c r="AJ171" s="13">
        <f>AI171*VLOOKUP('Données projet'!$B$10,Paramètres!$A$1:$I$89,3,0)*VLOOKUP('Données projet'!$B$10,Paramètres!$A$1:$I$89,5,0)</f>
        <v>260.13000000000017</v>
      </c>
      <c r="AK171" s="13">
        <f t="shared" si="164"/>
        <v>62.75008789651104</v>
      </c>
      <c r="AL171" s="20">
        <f t="shared" si="165"/>
        <v>562.349486419757</v>
      </c>
      <c r="AM171" s="59">
        <f t="shared" si="113"/>
        <v>855.68281975309037</v>
      </c>
      <c r="AN171" s="59">
        <f ca="1">AVERAGE(OFFSET($AM$3,0,0,'Données projet'!$E$10+1,1))-AVERAGE(OFFSET($H$3,0,0,'Données projet'!$E$10+1,1))</f>
        <v>247.08914525784144</v>
      </c>
      <c r="AO171" s="59">
        <f t="shared" si="144"/>
        <v>286.9617518796191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4.2207906795482026</v>
      </c>
      <c r="AV171" s="21">
        <f>EXP(-LN(2)/25)*AV170+(1-EXP(-LN(2)/25))/(LN(2)/25)*Calculateur!AQ171*Calculateur!AS171*VLOOKUP('Données projet'!$B$10,Paramètres!$A$1:$I$89,3,0)*0.475*44/12</f>
        <v>1.6022229589077366</v>
      </c>
      <c r="AW171" s="21">
        <f>EXP(-LN(2)/2)*AW170+(1-EXP(-LN(2)/2))/(LN(2)/2)*AQ171*AT171*VLOOKUP('Données projet'!$B$10,Paramètres!$A$1:$I$89,3,0)*0.475*44/12</f>
        <v>3.1163985352129764E-16</v>
      </c>
      <c r="AX171" s="21">
        <f t="shared" si="166"/>
        <v>5.8230136384559392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318.99999999999994</v>
      </c>
      <c r="BE171" s="13">
        <f>BD171*VLOOKUP('Données projet'!$B$11,Paramètres!$A$1:$I$89,3,0)*VLOOKUP('Données projet'!$B$11,Paramètres!$A$1:$I$89,5,0)</f>
        <v>253.79639999999995</v>
      </c>
      <c r="BF171" s="13">
        <f t="shared" si="167"/>
        <v>61.398168322280704</v>
      </c>
      <c r="BG171" s="20">
        <f t="shared" si="168"/>
        <v>548.9638731613054</v>
      </c>
      <c r="BH171" s="59">
        <f t="shared" si="116"/>
        <v>842.29720649463866</v>
      </c>
      <c r="BI171" s="59">
        <f ca="1">AVERAGE(OFFSET($BH$3,0,0,'Données projet'!$E$11+1,1))-AVERAGE(OFFSET($H$3,0,0,'Données projet'!$E$11+1,1))</f>
        <v>280.45463274302153</v>
      </c>
      <c r="BJ171" s="59">
        <f t="shared" si="146"/>
        <v>276.06968650495287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7.1595887795711022</v>
      </c>
      <c r="BQ171" s="21">
        <f>EXP(-LN(2)/25)*BQ170+(1-EXP(-LN(2)/25))/(LN(2)/25)*Calculateur!BL171*Calculateur!BN171*VLOOKUP('Données projet'!$B$11,Paramètres!$A$1:$I$89,3,0)*0.475*44/12</f>
        <v>0.22287313312254511</v>
      </c>
      <c r="BR171" s="21">
        <f>EXP(-LN(2)/2)*BR170+(1-EXP(-LN(2)/2))/(LN(2)/2)*BL171*BO171*VLOOKUP('Données projet'!$B$11,Paramètres!$A$1:$I$89,3,0)*0.475*44/12</f>
        <v>3.4861691040165851E-14</v>
      </c>
      <c r="BS171" s="22">
        <f t="shared" si="169"/>
        <v>7.3824619126936817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79.092000000000354</v>
      </c>
      <c r="D172" s="11">
        <f t="shared" si="140"/>
        <v>21.915026131450077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779.70335961119633</v>
      </c>
      <c r="H172" s="67">
        <f t="shared" si="110"/>
        <v>469.25390384560944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197.99999999999994</v>
      </c>
      <c r="O172" s="13">
        <f>N172*VLOOKUP('Données projet'!$B$9,Paramètres!$A$1:$I$89,3,0)*VLOOKUP('Données projet'!$B$9,Paramètres!$A$1:$I$89,5,0)</f>
        <v>123.55199999999995</v>
      </c>
      <c r="P172" s="13">
        <f t="shared" si="141"/>
        <v>32.502033262579566</v>
      </c>
      <c r="Q172" s="20">
        <f t="shared" si="162"/>
        <v>271.79410793232597</v>
      </c>
      <c r="R172" s="59">
        <f t="shared" si="109"/>
        <v>565.12744126565929</v>
      </c>
      <c r="S172" s="59">
        <f ca="1">AVERAGE(OFFSET($R$3,0,0,'Données projet'!$E$9+1,1))-AVERAGE(OFFSET($H$3,0,0,'Données projet'!$E$9+1,1))</f>
        <v>168.81286953191102</v>
      </c>
      <c r="T172" s="59">
        <f t="shared" si="142"/>
        <v>255.78677933103666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3.2289198535798018</v>
      </c>
      <c r="AA172" s="21">
        <f>EXP(-LN(2)/25)*AA171+(1-EXP(-LN(2)/25))/(LN(2)/25)*Calculateur!V172*Calculateur!X172*VLOOKUP('Données projet'!$B$9,Paramètres!$A$1:$I$89,3,0)*0.475*44/12</f>
        <v>1.6322116425678739</v>
      </c>
      <c r="AB172" s="21">
        <f>EXP(-LN(2)/2)*AB171+(1-EXP(-LN(2)/2))/(LN(2)/2)*V172*Y172*VLOOKUP('Données projet'!$B$9,Paramètres!$A$1:$I$89,3,0)*0.475*44/12</f>
        <v>2.346384469905632E-18</v>
      </c>
      <c r="AC172" s="22">
        <f t="shared" si="163"/>
        <v>4.8611314961476761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435.00000000000023</v>
      </c>
      <c r="AJ172" s="13">
        <f>AI172*VLOOKUP('Données projet'!$B$10,Paramètres!$A$1:$I$89,3,0)*VLOOKUP('Données projet'!$B$10,Paramètres!$A$1:$I$89,5,0)</f>
        <v>260.13000000000017</v>
      </c>
      <c r="AK172" s="13">
        <f t="shared" si="164"/>
        <v>62.75008789651104</v>
      </c>
      <c r="AL172" s="20">
        <f t="shared" si="165"/>
        <v>562.349486419757</v>
      </c>
      <c r="AM172" s="59">
        <f t="shared" si="113"/>
        <v>855.68281975309037</v>
      </c>
      <c r="AN172" s="59">
        <f ca="1">AVERAGE(OFFSET($AM$3,0,0,'Données projet'!$E$10+1,1))-AVERAGE(OFFSET($H$3,0,0,'Données projet'!$E$10+1,1))</f>
        <v>247.08914525784144</v>
      </c>
      <c r="AO172" s="59">
        <f t="shared" si="144"/>
        <v>286.9617518796191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4.1380235487503736</v>
      </c>
      <c r="AV172" s="21">
        <f>EXP(-LN(2)/25)*AV171+(1-EXP(-LN(2)/25))/(LN(2)/25)*Calculateur!AQ172*Calculateur!AS172*VLOOKUP('Données projet'!$B$10,Paramètres!$A$1:$I$89,3,0)*0.475*44/12</f>
        <v>1.5584100878391611</v>
      </c>
      <c r="AW172" s="21">
        <f>EXP(-LN(2)/2)*AW171+(1-EXP(-LN(2)/2))/(LN(2)/2)*AQ172*AT172*VLOOKUP('Données projet'!$B$10,Paramètres!$A$1:$I$89,3,0)*0.475*44/12</f>
        <v>2.2036265371289194E-16</v>
      </c>
      <c r="AX172" s="21">
        <f t="shared" si="166"/>
        <v>5.6964336365895347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318.99999999999994</v>
      </c>
      <c r="BE172" s="13">
        <f>BD172*VLOOKUP('Données projet'!$B$11,Paramètres!$A$1:$I$89,3,0)*VLOOKUP('Données projet'!$B$11,Paramètres!$A$1:$I$89,5,0)</f>
        <v>253.79639999999995</v>
      </c>
      <c r="BF172" s="13">
        <f t="shared" si="167"/>
        <v>61.398168322280704</v>
      </c>
      <c r="BG172" s="20">
        <f t="shared" si="168"/>
        <v>548.9638731613054</v>
      </c>
      <c r="BH172" s="59">
        <f t="shared" si="116"/>
        <v>842.29720649463866</v>
      </c>
      <c r="BI172" s="59">
        <f ca="1">AVERAGE(OFFSET($BH$3,0,0,'Données projet'!$E$11+1,1))-AVERAGE(OFFSET($H$3,0,0,'Données projet'!$E$11+1,1))</f>
        <v>280.45463274302153</v>
      </c>
      <c r="BJ172" s="59">
        <f t="shared" si="146"/>
        <v>276.06968650495287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7.019193610521671</v>
      </c>
      <c r="BQ172" s="21">
        <f>EXP(-LN(2)/25)*BQ171+(1-EXP(-LN(2)/25))/(LN(2)/25)*Calculateur!BL172*Calculateur!BN172*VLOOKUP('Données projet'!$B$11,Paramètres!$A$1:$I$89,3,0)*0.475*44/12</f>
        <v>0.21677865557692044</v>
      </c>
      <c r="BR172" s="21">
        <f>EXP(-LN(2)/2)*BR171+(1-EXP(-LN(2)/2))/(LN(2)/2)*BL172*BO172*VLOOKUP('Données projet'!$B$11,Paramètres!$A$1:$I$89,3,0)*0.475*44/12</f>
        <v>2.4650938138131579E-14</v>
      </c>
      <c r="BS172" s="22">
        <f t="shared" si="169"/>
        <v>7.2359722660986163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79.560000000000358</v>
      </c>
      <c r="D173" s="11">
        <f t="shared" si="140"/>
        <v>22.0295673334534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784.20016888981854</v>
      </c>
      <c r="H173" s="67">
        <f t="shared" si="110"/>
        <v>470.26849643909861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197.99999999999994</v>
      </c>
      <c r="O173" s="13">
        <f>N173*VLOOKUP('Données projet'!$B$9,Paramètres!$A$1:$I$89,3,0)*VLOOKUP('Données projet'!$B$9,Paramètres!$A$1:$I$89,5,0)</f>
        <v>123.55199999999995</v>
      </c>
      <c r="P173" s="13">
        <f t="shared" si="141"/>
        <v>32.502033262579566</v>
      </c>
      <c r="Q173" s="20">
        <f t="shared" si="162"/>
        <v>271.79410793232597</v>
      </c>
      <c r="R173" s="59">
        <f t="shared" si="109"/>
        <v>565.12744126565929</v>
      </c>
      <c r="S173" s="59">
        <f ca="1">AVERAGE(OFFSET($R$3,0,0,'Données projet'!$E$9+1,1))-AVERAGE(OFFSET($H$3,0,0,'Données projet'!$E$9+1,1))</f>
        <v>168.81286953191102</v>
      </c>
      <c r="T173" s="59">
        <f t="shared" si="142"/>
        <v>255.78677933103666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3.1656027046977457</v>
      </c>
      <c r="AA173" s="21">
        <f>EXP(-LN(2)/25)*AA172+(1-EXP(-LN(2)/25))/(LN(2)/25)*Calculateur!V173*Calculateur!X173*VLOOKUP('Données projet'!$B$9,Paramètres!$A$1:$I$89,3,0)*0.475*44/12</f>
        <v>1.5875787293675756</v>
      </c>
      <c r="AB173" s="21">
        <f>EXP(-LN(2)/2)*AB172+(1-EXP(-LN(2)/2))/(LN(2)/2)*V173*Y173*VLOOKUP('Données projet'!$B$9,Paramètres!$A$1:$I$89,3,0)*0.475*44/12</f>
        <v>1.6591443699410751E-18</v>
      </c>
      <c r="AC173" s="22">
        <f t="shared" si="163"/>
        <v>4.7531814340653211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435.00000000000023</v>
      </c>
      <c r="AJ173" s="13">
        <f>AI173*VLOOKUP('Données projet'!$B$10,Paramètres!$A$1:$I$89,3,0)*VLOOKUP('Données projet'!$B$10,Paramètres!$A$1:$I$89,5,0)</f>
        <v>260.13000000000017</v>
      </c>
      <c r="AK173" s="13">
        <f t="shared" si="164"/>
        <v>62.75008789651104</v>
      </c>
      <c r="AL173" s="20">
        <f t="shared" si="165"/>
        <v>562.349486419757</v>
      </c>
      <c r="AM173" s="59">
        <f t="shared" si="113"/>
        <v>855.68281975309037</v>
      </c>
      <c r="AN173" s="59">
        <f ca="1">AVERAGE(OFFSET($AM$3,0,0,'Données projet'!$E$10+1,1))-AVERAGE(OFFSET($H$3,0,0,'Données projet'!$E$10+1,1))</f>
        <v>247.08914525784144</v>
      </c>
      <c r="AO173" s="59">
        <f t="shared" si="144"/>
        <v>286.9617518796191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4.0568794309045249</v>
      </c>
      <c r="AV173" s="21">
        <f>EXP(-LN(2)/25)*AV172+(1-EXP(-LN(2)/25))/(LN(2)/25)*Calculateur!AQ173*Calculateur!AS173*VLOOKUP('Données projet'!$B$10,Paramètres!$A$1:$I$89,3,0)*0.475*44/12</f>
        <v>1.5157952820339746</v>
      </c>
      <c r="AW173" s="21">
        <f>EXP(-LN(2)/2)*AW172+(1-EXP(-LN(2)/2))/(LN(2)/2)*AQ173*AT173*VLOOKUP('Données projet'!$B$10,Paramètres!$A$1:$I$89,3,0)*0.475*44/12</f>
        <v>1.5581992676064884E-16</v>
      </c>
      <c r="AX173" s="21">
        <f t="shared" si="166"/>
        <v>5.5726747129384995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318.99999999999994</v>
      </c>
      <c r="BE173" s="13">
        <f>BD173*VLOOKUP('Données projet'!$B$11,Paramètres!$A$1:$I$89,3,0)*VLOOKUP('Données projet'!$B$11,Paramètres!$A$1:$I$89,5,0)</f>
        <v>253.79639999999995</v>
      </c>
      <c r="BF173" s="13">
        <f t="shared" si="167"/>
        <v>61.398168322280704</v>
      </c>
      <c r="BG173" s="20">
        <f t="shared" si="168"/>
        <v>548.9638731613054</v>
      </c>
      <c r="BH173" s="59">
        <f t="shared" si="116"/>
        <v>842.29720649463866</v>
      </c>
      <c r="BI173" s="59">
        <f ca="1">AVERAGE(OFFSET($BH$3,0,0,'Données projet'!$E$11+1,1))-AVERAGE(OFFSET($H$3,0,0,'Données projet'!$E$11+1,1))</f>
        <v>280.45463274302153</v>
      </c>
      <c r="BJ173" s="59">
        <f t="shared" si="146"/>
        <v>276.06968650495287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6.881551505104702</v>
      </c>
      <c r="BQ173" s="21">
        <f>EXP(-LN(2)/25)*BQ172+(1-EXP(-LN(2)/25))/(LN(2)/25)*Calculateur!BL173*Calculateur!BN173*VLOOKUP('Données projet'!$B$11,Paramètres!$A$1:$I$89,3,0)*0.475*44/12</f>
        <v>0.2108508318402755</v>
      </c>
      <c r="BR173" s="21">
        <f>EXP(-LN(2)/2)*BR172+(1-EXP(-LN(2)/2))/(LN(2)/2)*BL173*BO173*VLOOKUP('Données projet'!$B$11,Paramètres!$A$1:$I$89,3,0)*0.475*44/12</f>
        <v>1.7430845520082925E-14</v>
      </c>
      <c r="BS173" s="22">
        <f t="shared" si="169"/>
        <v>7.0924023369449953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80.028000000000361</v>
      </c>
      <c r="D174" s="11">
        <f t="shared" si="140"/>
        <v>22.144030134787236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788.69637297029021</v>
      </c>
      <c r="H174" s="67">
        <f t="shared" si="110"/>
        <v>471.28295248475501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197.99999999999994</v>
      </c>
      <c r="O174" s="13">
        <f>N174*VLOOKUP('Données projet'!$B$9,Paramètres!$A$1:$I$89,3,0)*VLOOKUP('Données projet'!$B$9,Paramètres!$A$1:$I$89,5,0)</f>
        <v>123.55199999999995</v>
      </c>
      <c r="P174" s="13">
        <f t="shared" si="141"/>
        <v>32.502033262579566</v>
      </c>
      <c r="Q174" s="20">
        <f t="shared" si="162"/>
        <v>271.79410793232597</v>
      </c>
      <c r="R174" s="59">
        <f t="shared" si="109"/>
        <v>565.12744126565929</v>
      </c>
      <c r="S174" s="59">
        <f ca="1">AVERAGE(OFFSET($R$3,0,0,'Données projet'!$E$9+1,1))-AVERAGE(OFFSET($H$3,0,0,'Données projet'!$E$9+1,1))</f>
        <v>168.81286953191102</v>
      </c>
      <c r="T174" s="59">
        <f t="shared" si="142"/>
        <v>255.78677933103666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3.1035271664856197</v>
      </c>
      <c r="AA174" s="21">
        <f>EXP(-LN(2)/25)*AA173+(1-EXP(-LN(2)/25))/(LN(2)/25)*Calculateur!V174*Calculateur!X174*VLOOKUP('Données projet'!$B$9,Paramètres!$A$1:$I$89,3,0)*0.475*44/12</f>
        <v>1.5441663055258823</v>
      </c>
      <c r="AB174" s="21">
        <f>EXP(-LN(2)/2)*AB173+(1-EXP(-LN(2)/2))/(LN(2)/2)*V174*Y174*VLOOKUP('Données projet'!$B$9,Paramètres!$A$1:$I$89,3,0)*0.475*44/12</f>
        <v>1.173192234952816E-18</v>
      </c>
      <c r="AC174" s="22">
        <f t="shared" si="163"/>
        <v>4.6476934720115022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435.00000000000023</v>
      </c>
      <c r="AJ174" s="13">
        <f>AI174*VLOOKUP('Données projet'!$B$10,Paramètres!$A$1:$I$89,3,0)*VLOOKUP('Données projet'!$B$10,Paramètres!$A$1:$I$89,5,0)</f>
        <v>260.13000000000017</v>
      </c>
      <c r="AK174" s="13">
        <f t="shared" si="164"/>
        <v>62.75008789651104</v>
      </c>
      <c r="AL174" s="20">
        <f t="shared" si="165"/>
        <v>562.349486419757</v>
      </c>
      <c r="AM174" s="59">
        <f t="shared" si="113"/>
        <v>855.68281975309037</v>
      </c>
      <c r="AN174" s="59">
        <f ca="1">AVERAGE(OFFSET($AM$3,0,0,'Données projet'!$E$10+1,1))-AVERAGE(OFFSET($H$3,0,0,'Données projet'!$E$10+1,1))</f>
        <v>247.08914525784144</v>
      </c>
      <c r="AO174" s="59">
        <f t="shared" si="144"/>
        <v>286.9617518796191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3.9773264997166082</v>
      </c>
      <c r="AV174" s="21">
        <f>EXP(-LN(2)/25)*AV173+(1-EXP(-LN(2)/25))/(LN(2)/25)*Calculateur!AQ174*Calculateur!AS174*VLOOKUP('Données projet'!$B$10,Paramètres!$A$1:$I$89,3,0)*0.475*44/12</f>
        <v>1.4743457803345461</v>
      </c>
      <c r="AW174" s="21">
        <f>EXP(-LN(2)/2)*AW173+(1-EXP(-LN(2)/2))/(LN(2)/2)*AQ174*AT174*VLOOKUP('Données projet'!$B$10,Paramètres!$A$1:$I$89,3,0)*0.475*44/12</f>
        <v>1.1018132685644598E-16</v>
      </c>
      <c r="AX174" s="21">
        <f t="shared" si="166"/>
        <v>5.4516722800511541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318.99999999999994</v>
      </c>
      <c r="BE174" s="13">
        <f>BD174*VLOOKUP('Données projet'!$B$11,Paramètres!$A$1:$I$89,3,0)*VLOOKUP('Données projet'!$B$11,Paramètres!$A$1:$I$89,5,0)</f>
        <v>253.79639999999995</v>
      </c>
      <c r="BF174" s="13">
        <f t="shared" si="167"/>
        <v>61.398168322280704</v>
      </c>
      <c r="BG174" s="20">
        <f t="shared" si="168"/>
        <v>548.9638731613054</v>
      </c>
      <c r="BH174" s="59">
        <f t="shared" si="116"/>
        <v>842.29720649463866</v>
      </c>
      <c r="BI174" s="59">
        <f ca="1">AVERAGE(OFFSET($BH$3,0,0,'Données projet'!$E$11+1,1))-AVERAGE(OFFSET($H$3,0,0,'Données projet'!$E$11+1,1))</f>
        <v>280.45463274302153</v>
      </c>
      <c r="BJ174" s="59">
        <f t="shared" si="146"/>
        <v>276.06968650495287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6.7466084774215647</v>
      </c>
      <c r="BQ174" s="21">
        <f>EXP(-LN(2)/25)*BQ173+(1-EXP(-LN(2)/25))/(LN(2)/25)*Calculateur!BL174*Calculateur!BN174*VLOOKUP('Données projet'!$B$11,Paramètres!$A$1:$I$89,3,0)*0.475*44/12</f>
        <v>0.20508510475543984</v>
      </c>
      <c r="BR174" s="21">
        <f>EXP(-LN(2)/2)*BR173+(1-EXP(-LN(2)/2))/(LN(2)/2)*BL174*BO174*VLOOKUP('Données projet'!$B$11,Paramètres!$A$1:$I$89,3,0)*0.475*44/12</f>
        <v>1.232546906906579E-14</v>
      </c>
      <c r="BS174" s="22">
        <f t="shared" si="169"/>
        <v>6.9516935821770165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80.496000000000365</v>
      </c>
      <c r="D175" s="11">
        <f t="shared" si="140"/>
        <v>22.258415047134207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793.19197580244236</v>
      </c>
      <c r="H175" s="67">
        <f t="shared" si="110"/>
        <v>472.29727287375937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197.99999999999994</v>
      </c>
      <c r="O175" s="13">
        <f>N175*VLOOKUP('Données projet'!$B$9,Paramètres!$A$1:$I$89,3,0)*VLOOKUP('Données projet'!$B$9,Paramètres!$A$1:$I$89,5,0)</f>
        <v>123.55199999999995</v>
      </c>
      <c r="P175" s="13">
        <f t="shared" si="141"/>
        <v>32.502033262579566</v>
      </c>
      <c r="Q175" s="20">
        <f t="shared" si="162"/>
        <v>271.79410793232597</v>
      </c>
      <c r="R175" s="59">
        <f t="shared" si="109"/>
        <v>565.12744126565929</v>
      </c>
      <c r="S175" s="59">
        <f ca="1">AVERAGE(OFFSET($R$3,0,0,'Données projet'!$E$9+1,1))-AVERAGE(OFFSET($H$3,0,0,'Données projet'!$E$9+1,1))</f>
        <v>168.81286953191102</v>
      </c>
      <c r="T175" s="59">
        <f t="shared" si="142"/>
        <v>255.78677933103666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3.0426688917154934</v>
      </c>
      <c r="AA175" s="21">
        <f>EXP(-LN(2)/25)*AA174+(1-EXP(-LN(2)/25))/(LN(2)/25)*Calculateur!V175*Calculateur!X175*VLOOKUP('Données projet'!$B$9,Paramètres!$A$1:$I$89,3,0)*0.475*44/12</f>
        <v>1.5019409966971002</v>
      </c>
      <c r="AB175" s="21">
        <f>EXP(-LN(2)/2)*AB174+(1-EXP(-LN(2)/2))/(LN(2)/2)*V175*Y175*VLOOKUP('Données projet'!$B$9,Paramètres!$A$1:$I$89,3,0)*0.475*44/12</f>
        <v>8.2957218497053754E-19</v>
      </c>
      <c r="AC175" s="22">
        <f t="shared" si="163"/>
        <v>4.5446098884125936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435.00000000000023</v>
      </c>
      <c r="AJ175" s="13">
        <f>AI175*VLOOKUP('Données projet'!$B$10,Paramètres!$A$1:$I$89,3,0)*VLOOKUP('Données projet'!$B$10,Paramètres!$A$1:$I$89,5,0)</f>
        <v>260.13000000000017</v>
      </c>
      <c r="AK175" s="13">
        <f t="shared" si="164"/>
        <v>62.75008789651104</v>
      </c>
      <c r="AL175" s="20">
        <f t="shared" si="165"/>
        <v>562.349486419757</v>
      </c>
      <c r="AM175" s="59">
        <f t="shared" si="113"/>
        <v>855.68281975309037</v>
      </c>
      <c r="AN175" s="59">
        <f ca="1">AVERAGE(OFFSET($AM$3,0,0,'Données projet'!$E$10+1,1))-AVERAGE(OFFSET($H$3,0,0,'Données projet'!$E$10+1,1))</f>
        <v>247.08914525784144</v>
      </c>
      <c r="AO175" s="59">
        <f t="shared" si="144"/>
        <v>286.9617518796191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3.8993335529867896</v>
      </c>
      <c r="AV175" s="21">
        <f>EXP(-LN(2)/25)*AV174+(1-EXP(-LN(2)/25))/(LN(2)/25)*Calculateur!AQ175*Calculateur!AS175*VLOOKUP('Données projet'!$B$10,Paramètres!$A$1:$I$89,3,0)*0.475*44/12</f>
        <v>1.434029717438823</v>
      </c>
      <c r="AW175" s="21">
        <f>EXP(-LN(2)/2)*AW174+(1-EXP(-LN(2)/2))/(LN(2)/2)*AQ175*AT175*VLOOKUP('Données projet'!$B$10,Paramètres!$A$1:$I$89,3,0)*0.475*44/12</f>
        <v>7.7909963380324433E-17</v>
      </c>
      <c r="AX175" s="21">
        <f t="shared" si="166"/>
        <v>5.3333632704256129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318.99999999999994</v>
      </c>
      <c r="BE175" s="13">
        <f>BD175*VLOOKUP('Données projet'!$B$11,Paramètres!$A$1:$I$89,3,0)*VLOOKUP('Données projet'!$B$11,Paramètres!$A$1:$I$89,5,0)</f>
        <v>253.79639999999995</v>
      </c>
      <c r="BF175" s="13">
        <f t="shared" si="167"/>
        <v>61.398168322280704</v>
      </c>
      <c r="BG175" s="20">
        <f t="shared" si="168"/>
        <v>548.9638731613054</v>
      </c>
      <c r="BH175" s="59">
        <f t="shared" si="116"/>
        <v>842.29720649463866</v>
      </c>
      <c r="BI175" s="59">
        <f ca="1">AVERAGE(OFFSET($BH$3,0,0,'Données projet'!$E$11+1,1))-AVERAGE(OFFSET($H$3,0,0,'Données projet'!$E$11+1,1))</f>
        <v>280.45463274302153</v>
      </c>
      <c r="BJ175" s="59">
        <f t="shared" si="146"/>
        <v>276.06968650495287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6.6143116002041742</v>
      </c>
      <c r="BQ175" s="21">
        <f>EXP(-LN(2)/25)*BQ174+(1-EXP(-LN(2)/25))/(LN(2)/25)*Calculateur!BL175*Calculateur!BN175*VLOOKUP('Données projet'!$B$11,Paramètres!$A$1:$I$89,3,0)*0.475*44/12</f>
        <v>0.19947704178094541</v>
      </c>
      <c r="BR175" s="21">
        <f>EXP(-LN(2)/2)*BR174+(1-EXP(-LN(2)/2))/(LN(2)/2)*BL175*BO175*VLOOKUP('Données projet'!$B$11,Paramètres!$A$1:$I$89,3,0)*0.475*44/12</f>
        <v>8.7154227600414627E-15</v>
      </c>
      <c r="BS175" s="22">
        <f t="shared" si="169"/>
        <v>6.8137886419851288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80.964000000000368</v>
      </c>
      <c r="D176" s="11">
        <f t="shared" si="140"/>
        <v>22.372722575882829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797.68698128751942</v>
      </c>
      <c r="H176" s="67">
        <f t="shared" si="110"/>
        <v>473.31145848632991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197.99999999999994</v>
      </c>
      <c r="O176" s="13">
        <f>N176*VLOOKUP('Données projet'!$B$9,Paramètres!$A$1:$I$89,3,0)*VLOOKUP('Données projet'!$B$9,Paramètres!$A$1:$I$89,5,0)</f>
        <v>123.55199999999995</v>
      </c>
      <c r="P176" s="13">
        <f t="shared" si="141"/>
        <v>32.502033262579566</v>
      </c>
      <c r="Q176" s="20">
        <f t="shared" si="162"/>
        <v>271.79410793232597</v>
      </c>
      <c r="R176" s="59">
        <f t="shared" si="109"/>
        <v>565.12744126565929</v>
      </c>
      <c r="S176" s="59">
        <f ca="1">AVERAGE(OFFSET($R$3,0,0,'Données projet'!$E$9+1,1))-AVERAGE(OFFSET($H$3,0,0,'Données projet'!$E$9+1,1))</f>
        <v>168.81286953191102</v>
      </c>
      <c r="T176" s="59">
        <f t="shared" si="142"/>
        <v>255.78677933103666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2.983004010593727</v>
      </c>
      <c r="AA176" s="21">
        <f>EXP(-LN(2)/25)*AA175+(1-EXP(-LN(2)/25))/(LN(2)/25)*Calculateur!V176*Calculateur!X176*VLOOKUP('Données projet'!$B$9,Paramètres!$A$1:$I$89,3,0)*0.475*44/12</f>
        <v>1.4608703411587738</v>
      </c>
      <c r="AB176" s="21">
        <f>EXP(-LN(2)/2)*AB175+(1-EXP(-LN(2)/2))/(LN(2)/2)*V176*Y176*VLOOKUP('Données projet'!$B$9,Paramètres!$A$1:$I$89,3,0)*0.475*44/12</f>
        <v>5.8659611747640801E-19</v>
      </c>
      <c r="AC176" s="22">
        <f t="shared" si="163"/>
        <v>4.443874351752501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435.00000000000023</v>
      </c>
      <c r="AJ176" s="13">
        <f>AI176*VLOOKUP('Données projet'!$B$10,Paramètres!$A$1:$I$89,3,0)*VLOOKUP('Données projet'!$B$10,Paramètres!$A$1:$I$89,5,0)</f>
        <v>260.13000000000017</v>
      </c>
      <c r="AK176" s="13">
        <f t="shared" si="164"/>
        <v>62.75008789651104</v>
      </c>
      <c r="AL176" s="20">
        <f t="shared" si="165"/>
        <v>562.349486419757</v>
      </c>
      <c r="AM176" s="59">
        <f t="shared" si="113"/>
        <v>855.68281975309037</v>
      </c>
      <c r="AN176" s="59">
        <f ca="1">AVERAGE(OFFSET($AM$3,0,0,'Données projet'!$E$10+1,1))-AVERAGE(OFFSET($H$3,0,0,'Données projet'!$E$10+1,1))</f>
        <v>247.08914525784144</v>
      </c>
      <c r="AO176" s="59">
        <f t="shared" si="144"/>
        <v>286.9617518796191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3.8228700003713425</v>
      </c>
      <c r="AV176" s="21">
        <f>EXP(-LN(2)/25)*AV175+(1-EXP(-LN(2)/25))/(LN(2)/25)*Calculateur!AQ176*Calculateur!AS176*VLOOKUP('Données projet'!$B$10,Paramètres!$A$1:$I$89,3,0)*0.475*44/12</f>
        <v>1.3948160994031131</v>
      </c>
      <c r="AW176" s="21">
        <f>EXP(-LN(2)/2)*AW175+(1-EXP(-LN(2)/2))/(LN(2)/2)*AQ176*AT176*VLOOKUP('Données projet'!$B$10,Paramètres!$A$1:$I$89,3,0)*0.475*44/12</f>
        <v>5.5090663428223005E-17</v>
      </c>
      <c r="AX176" s="21">
        <f t="shared" si="166"/>
        <v>5.2176860997744559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318.99999999999994</v>
      </c>
      <c r="BE176" s="13">
        <f>BD176*VLOOKUP('Données projet'!$B$11,Paramètres!$A$1:$I$89,3,0)*VLOOKUP('Données projet'!$B$11,Paramètres!$A$1:$I$89,5,0)</f>
        <v>253.79639999999995</v>
      </c>
      <c r="BF176" s="13">
        <f t="shared" si="167"/>
        <v>61.398168322280704</v>
      </c>
      <c r="BG176" s="20">
        <f t="shared" si="168"/>
        <v>548.9638731613054</v>
      </c>
      <c r="BH176" s="59">
        <f t="shared" si="116"/>
        <v>842.29720649463866</v>
      </c>
      <c r="BI176" s="59">
        <f ca="1">AVERAGE(OFFSET($BH$3,0,0,'Données projet'!$E$11+1,1))-AVERAGE(OFFSET($H$3,0,0,'Données projet'!$E$11+1,1))</f>
        <v>280.45463274302153</v>
      </c>
      <c r="BJ176" s="59">
        <f t="shared" si="146"/>
        <v>276.06968650495287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6.4846089840558889</v>
      </c>
      <c r="BQ176" s="21">
        <f>EXP(-LN(2)/25)*BQ175+(1-EXP(-LN(2)/25))/(LN(2)/25)*Calculateur!BL176*Calculateur!BN176*VLOOKUP('Données projet'!$B$11,Paramètres!$A$1:$I$89,3,0)*0.475*44/12</f>
        <v>0.19402233158340373</v>
      </c>
      <c r="BR176" s="21">
        <f>EXP(-LN(2)/2)*BR175+(1-EXP(-LN(2)/2))/(LN(2)/2)*BL176*BO176*VLOOKUP('Données projet'!$B$11,Paramètres!$A$1:$I$89,3,0)*0.475*44/12</f>
        <v>6.1627345345328948E-15</v>
      </c>
      <c r="BS176" s="22">
        <f t="shared" si="169"/>
        <v>6.6786313156392989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81.432000000000372</v>
      </c>
      <c r="D177" s="11">
        <f t="shared" si="140"/>
        <v>22.486953220240959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802.18139327905601</v>
      </c>
      <c r="H177" s="67">
        <f t="shared" si="110"/>
        <v>474.32551019192033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197.99999999999994</v>
      </c>
      <c r="O177" s="13">
        <f>N177*VLOOKUP('Données projet'!$B$9,Paramètres!$A$1:$I$89,3,0)*VLOOKUP('Données projet'!$B$9,Paramètres!$A$1:$I$89,5,0)</f>
        <v>123.55199999999995</v>
      </c>
      <c r="P177" s="13">
        <f t="shared" si="141"/>
        <v>32.502033262579566</v>
      </c>
      <c r="Q177" s="20">
        <f t="shared" si="162"/>
        <v>271.79410793232597</v>
      </c>
      <c r="R177" s="59">
        <f t="shared" si="109"/>
        <v>565.12744126565929</v>
      </c>
      <c r="S177" s="59">
        <f ca="1">AVERAGE(OFFSET($R$3,0,0,'Données projet'!$E$9+1,1))-AVERAGE(OFFSET($H$3,0,0,'Données projet'!$E$9+1,1))</f>
        <v>168.81286953191102</v>
      </c>
      <c r="T177" s="59">
        <f t="shared" si="142"/>
        <v>255.78677933103666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2.9245091213987746</v>
      </c>
      <c r="AA177" s="21">
        <f>EXP(-LN(2)/25)*AA176+(1-EXP(-LN(2)/25))/(LN(2)/25)*Calculateur!V177*Calculateur!X177*VLOOKUP('Données projet'!$B$9,Paramètres!$A$1:$I$89,3,0)*0.475*44/12</f>
        <v>1.4209227648559548</v>
      </c>
      <c r="AB177" s="21">
        <f>EXP(-LN(2)/2)*AB176+(1-EXP(-LN(2)/2))/(LN(2)/2)*V177*Y177*VLOOKUP('Données projet'!$B$9,Paramètres!$A$1:$I$89,3,0)*0.475*44/12</f>
        <v>4.1478609248526877E-19</v>
      </c>
      <c r="AC177" s="22">
        <f t="shared" si="163"/>
        <v>4.3454318862547296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435.00000000000023</v>
      </c>
      <c r="AJ177" s="13">
        <f>AI177*VLOOKUP('Données projet'!$B$10,Paramètres!$A$1:$I$89,3,0)*VLOOKUP('Données projet'!$B$10,Paramètres!$A$1:$I$89,5,0)</f>
        <v>260.13000000000017</v>
      </c>
      <c r="AK177" s="13">
        <f t="shared" si="164"/>
        <v>62.75008789651104</v>
      </c>
      <c r="AL177" s="20">
        <f t="shared" si="165"/>
        <v>562.349486419757</v>
      </c>
      <c r="AM177" s="59">
        <f t="shared" si="113"/>
        <v>855.68281975309037</v>
      </c>
      <c r="AN177" s="59">
        <f ca="1">AVERAGE(OFFSET($AM$3,0,0,'Données projet'!$E$10+1,1))-AVERAGE(OFFSET($H$3,0,0,'Données projet'!$E$10+1,1))</f>
        <v>247.08914525784144</v>
      </c>
      <c r="AO177" s="59">
        <f t="shared" si="144"/>
        <v>286.9617518796191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3.7479058513845223</v>
      </c>
      <c r="AV177" s="21">
        <f>EXP(-LN(2)/25)*AV176+(1-EXP(-LN(2)/25))/(LN(2)/25)*Calculateur!AQ177*Calculateur!AS177*VLOOKUP('Données projet'!$B$10,Paramètres!$A$1:$I$89,3,0)*0.475*44/12</f>
        <v>1.3566747798147443</v>
      </c>
      <c r="AW177" s="21">
        <f>EXP(-LN(2)/2)*AW176+(1-EXP(-LN(2)/2))/(LN(2)/2)*AQ177*AT177*VLOOKUP('Données projet'!$B$10,Paramètres!$A$1:$I$89,3,0)*0.475*44/12</f>
        <v>3.8954981690162223E-17</v>
      </c>
      <c r="AX177" s="21">
        <f t="shared" si="166"/>
        <v>5.1045806311992665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318.99999999999994</v>
      </c>
      <c r="BE177" s="13">
        <f>BD177*VLOOKUP('Données projet'!$B$11,Paramètres!$A$1:$I$89,3,0)*VLOOKUP('Données projet'!$B$11,Paramètres!$A$1:$I$89,5,0)</f>
        <v>253.79639999999995</v>
      </c>
      <c r="BF177" s="13">
        <f t="shared" si="167"/>
        <v>61.398168322280704</v>
      </c>
      <c r="BG177" s="20">
        <f t="shared" si="168"/>
        <v>548.9638731613054</v>
      </c>
      <c r="BH177" s="59">
        <f t="shared" si="116"/>
        <v>842.29720649463866</v>
      </c>
      <c r="BI177" s="59">
        <f ca="1">AVERAGE(OFFSET($BH$3,0,0,'Données projet'!$E$11+1,1))-AVERAGE(OFFSET($H$3,0,0,'Données projet'!$E$11+1,1))</f>
        <v>280.45463274302153</v>
      </c>
      <c r="BJ177" s="59">
        <f t="shared" si="146"/>
        <v>276.06968650495287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6.3574497570994879</v>
      </c>
      <c r="BQ177" s="21">
        <f>EXP(-LN(2)/25)*BQ176+(1-EXP(-LN(2)/25))/(LN(2)/25)*Calculateur!BL177*Calculateur!BN177*VLOOKUP('Données projet'!$B$11,Paramètres!$A$1:$I$89,3,0)*0.475*44/12</f>
        <v>0.18871678072306458</v>
      </c>
      <c r="BR177" s="21">
        <f>EXP(-LN(2)/2)*BR176+(1-EXP(-LN(2)/2))/(LN(2)/2)*BL177*BO177*VLOOKUP('Données projet'!$B$11,Paramètres!$A$1:$I$89,3,0)*0.475*44/12</f>
        <v>4.3577113800207314E-15</v>
      </c>
      <c r="BS177" s="22">
        <f t="shared" si="169"/>
        <v>6.5461665378225566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81.900000000000375</v>
      </c>
      <c r="D178" s="11">
        <f t="shared" si="140"/>
        <v>22.601107473346421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806.67521558372971</v>
      </c>
      <c r="H178" s="67">
        <f t="shared" si="110"/>
        <v>475.33942884941229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197.99999999999994</v>
      </c>
      <c r="O178" s="13">
        <f>N178*VLOOKUP('Données projet'!$B$9,Paramètres!$A$1:$I$89,3,0)*VLOOKUP('Données projet'!$B$9,Paramètres!$A$1:$I$89,5,0)</f>
        <v>123.55199999999995</v>
      </c>
      <c r="P178" s="13">
        <f t="shared" si="141"/>
        <v>32.502033262579566</v>
      </c>
      <c r="Q178" s="20">
        <f t="shared" si="162"/>
        <v>271.79410793232597</v>
      </c>
      <c r="R178" s="59">
        <f t="shared" si="109"/>
        <v>565.12744126565929</v>
      </c>
      <c r="S178" s="59">
        <f ca="1">AVERAGE(OFFSET($R$3,0,0,'Données projet'!$E$9+1,1))-AVERAGE(OFFSET($H$3,0,0,'Données projet'!$E$9+1,1))</f>
        <v>168.81286953191102</v>
      </c>
      <c r="T178" s="59">
        <f t="shared" si="142"/>
        <v>255.78677933103666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2.8671612813025757</v>
      </c>
      <c r="AA178" s="21">
        <f>EXP(-LN(2)/25)*AA177+(1-EXP(-LN(2)/25))/(LN(2)/25)*Calculateur!V178*Calculateur!X178*VLOOKUP('Données projet'!$B$9,Paramètres!$A$1:$I$89,3,0)*0.475*44/12</f>
        <v>1.382067557127888</v>
      </c>
      <c r="AB178" s="21">
        <f>EXP(-LN(2)/2)*AB177+(1-EXP(-LN(2)/2))/(LN(2)/2)*V178*Y178*VLOOKUP('Données projet'!$B$9,Paramètres!$A$1:$I$89,3,0)*0.475*44/12</f>
        <v>2.93298058738204E-19</v>
      </c>
      <c r="AC178" s="22">
        <f t="shared" si="163"/>
        <v>4.2492288384304633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435.00000000000023</v>
      </c>
      <c r="AJ178" s="13">
        <f>AI178*VLOOKUP('Données projet'!$B$10,Paramètres!$A$1:$I$89,3,0)*VLOOKUP('Données projet'!$B$10,Paramètres!$A$1:$I$89,5,0)</f>
        <v>260.13000000000017</v>
      </c>
      <c r="AK178" s="13">
        <f t="shared" si="164"/>
        <v>62.75008789651104</v>
      </c>
      <c r="AL178" s="20">
        <f t="shared" si="165"/>
        <v>562.349486419757</v>
      </c>
      <c r="AM178" s="59">
        <f t="shared" si="113"/>
        <v>855.68281975309037</v>
      </c>
      <c r="AN178" s="59">
        <f ca="1">AVERAGE(OFFSET($AM$3,0,0,'Données projet'!$E$10+1,1))-AVERAGE(OFFSET($H$3,0,0,'Données projet'!$E$10+1,1))</f>
        <v>247.08914525784144</v>
      </c>
      <c r="AO178" s="59">
        <f t="shared" si="144"/>
        <v>286.9617518796191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3.6744117036357178</v>
      </c>
      <c r="AV178" s="21">
        <f>EXP(-LN(2)/25)*AV177+(1-EXP(-LN(2)/25))/(LN(2)/25)*Calculateur!AQ178*Calculateur!AS178*VLOOKUP('Données projet'!$B$10,Paramètres!$A$1:$I$89,3,0)*0.475*44/12</f>
        <v>1.3195764366162841</v>
      </c>
      <c r="AW178" s="21">
        <f>EXP(-LN(2)/2)*AW177+(1-EXP(-LN(2)/2))/(LN(2)/2)*AQ178*AT178*VLOOKUP('Données projet'!$B$10,Paramètres!$A$1:$I$89,3,0)*0.475*44/12</f>
        <v>2.7545331714111505E-17</v>
      </c>
      <c r="AX178" s="21">
        <f t="shared" si="166"/>
        <v>4.9939881402520019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318.99999999999994</v>
      </c>
      <c r="BE178" s="13">
        <f>BD178*VLOOKUP('Données projet'!$B$11,Paramètres!$A$1:$I$89,3,0)*VLOOKUP('Données projet'!$B$11,Paramètres!$A$1:$I$89,5,0)</f>
        <v>253.79639999999995</v>
      </c>
      <c r="BF178" s="13">
        <f t="shared" si="167"/>
        <v>61.398168322280704</v>
      </c>
      <c r="BG178" s="20">
        <f t="shared" si="168"/>
        <v>548.9638731613054</v>
      </c>
      <c r="BH178" s="59">
        <f t="shared" si="116"/>
        <v>842.29720649463866</v>
      </c>
      <c r="BI178" s="59">
        <f ca="1">AVERAGE(OFFSET($BH$3,0,0,'Données projet'!$E$11+1,1))-AVERAGE(OFFSET($H$3,0,0,'Données projet'!$E$11+1,1))</f>
        <v>280.45463274302153</v>
      </c>
      <c r="BJ178" s="59">
        <f t="shared" si="146"/>
        <v>276.06968650495287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6.2327840450242311</v>
      </c>
      <c r="BQ178" s="21">
        <f>EXP(-LN(2)/25)*BQ177+(1-EXP(-LN(2)/25))/(LN(2)/25)*Calculateur!BL178*Calculateur!BN178*VLOOKUP('Données projet'!$B$11,Paramètres!$A$1:$I$89,3,0)*0.475*44/12</f>
        <v>0.1835563104300082</v>
      </c>
      <c r="BR178" s="21">
        <f>EXP(-LN(2)/2)*BR177+(1-EXP(-LN(2)/2))/(LN(2)/2)*BL178*BO178*VLOOKUP('Données projet'!$B$11,Paramètres!$A$1:$I$89,3,0)*0.475*44/12</f>
        <v>3.0813672672664474E-15</v>
      </c>
      <c r="BS178" s="22">
        <f t="shared" si="169"/>
        <v>6.416340355454242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82.368000000000379</v>
      </c>
      <c r="D179" s="11">
        <f t="shared" si="140"/>
        <v>22.715185822375016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811.16845196219617</v>
      </c>
      <c r="H179" s="67">
        <f t="shared" si="110"/>
        <v>476.3532153073038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197.99999999999994</v>
      </c>
      <c r="O179" s="13">
        <f>N179*VLOOKUP('Données projet'!$B$9,Paramètres!$A$1:$I$89,3,0)*VLOOKUP('Données projet'!$B$9,Paramètres!$A$1:$I$89,5,0)</f>
        <v>123.55199999999995</v>
      </c>
      <c r="P179" s="13">
        <f t="shared" si="141"/>
        <v>32.502033262579566</v>
      </c>
      <c r="Q179" s="20">
        <f t="shared" si="162"/>
        <v>271.79410793232597</v>
      </c>
      <c r="R179" s="59">
        <f t="shared" si="109"/>
        <v>565.12744126565929</v>
      </c>
      <c r="S179" s="59">
        <f ca="1">AVERAGE(OFFSET($R$3,0,0,'Données projet'!$E$9+1,1))-AVERAGE(OFFSET($H$3,0,0,'Données projet'!$E$9+1,1))</f>
        <v>168.81286953191102</v>
      </c>
      <c r="T179" s="59">
        <f t="shared" si="142"/>
        <v>255.78677933103666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2.8109379973719344</v>
      </c>
      <c r="AA179" s="21">
        <f>EXP(-LN(2)/25)*AA178+(1-EXP(-LN(2)/25))/(LN(2)/25)*Calculateur!V179*Calculateur!X179*VLOOKUP('Données projet'!$B$9,Paramètres!$A$1:$I$89,3,0)*0.475*44/12</f>
        <v>1.3442748470984518</v>
      </c>
      <c r="AB179" s="21">
        <f>EXP(-LN(2)/2)*AB178+(1-EXP(-LN(2)/2))/(LN(2)/2)*V179*Y179*VLOOKUP('Données projet'!$B$9,Paramètres!$A$1:$I$89,3,0)*0.475*44/12</f>
        <v>2.0739304624263438E-19</v>
      </c>
      <c r="AC179" s="22">
        <f t="shared" si="163"/>
        <v>4.1552128444703857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435.00000000000023</v>
      </c>
      <c r="AJ179" s="13">
        <f>AI179*VLOOKUP('Données projet'!$B$10,Paramètres!$A$1:$I$89,3,0)*VLOOKUP('Données projet'!$B$10,Paramètres!$A$1:$I$89,5,0)</f>
        <v>260.13000000000017</v>
      </c>
      <c r="AK179" s="13">
        <f t="shared" si="164"/>
        <v>62.75008789651104</v>
      </c>
      <c r="AL179" s="20">
        <f t="shared" si="165"/>
        <v>562.349486419757</v>
      </c>
      <c r="AM179" s="59">
        <f t="shared" si="113"/>
        <v>855.68281975309037</v>
      </c>
      <c r="AN179" s="59">
        <f ca="1">AVERAGE(OFFSET($AM$3,0,0,'Données projet'!$E$10+1,1))-AVERAGE(OFFSET($H$3,0,0,'Données projet'!$E$10+1,1))</f>
        <v>247.08914525784144</v>
      </c>
      <c r="AO179" s="59">
        <f t="shared" si="144"/>
        <v>286.9617518796191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3.6023587312972634</v>
      </c>
      <c r="AV179" s="21">
        <f>EXP(-LN(2)/25)*AV178+(1-EXP(-LN(2)/25))/(LN(2)/25)*Calculateur!AQ179*Calculateur!AS179*VLOOKUP('Données projet'!$B$10,Paramètres!$A$1:$I$89,3,0)*0.475*44/12</f>
        <v>1.283492549563503</v>
      </c>
      <c r="AW179" s="21">
        <f>EXP(-LN(2)/2)*AW178+(1-EXP(-LN(2)/2))/(LN(2)/2)*AQ179*AT179*VLOOKUP('Données projet'!$B$10,Paramètres!$A$1:$I$89,3,0)*0.475*44/12</f>
        <v>1.9477490845081115E-17</v>
      </c>
      <c r="AX179" s="21">
        <f t="shared" si="166"/>
        <v>4.8858512808607664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318.99999999999994</v>
      </c>
      <c r="BE179" s="13">
        <f>BD179*VLOOKUP('Données projet'!$B$11,Paramètres!$A$1:$I$89,3,0)*VLOOKUP('Données projet'!$B$11,Paramètres!$A$1:$I$89,5,0)</f>
        <v>253.79639999999995</v>
      </c>
      <c r="BF179" s="13">
        <f t="shared" si="167"/>
        <v>61.398168322280704</v>
      </c>
      <c r="BG179" s="20">
        <f t="shared" si="168"/>
        <v>548.9638731613054</v>
      </c>
      <c r="BH179" s="59">
        <f t="shared" si="116"/>
        <v>842.29720649463866</v>
      </c>
      <c r="BI179" s="59">
        <f ca="1">AVERAGE(OFFSET($BH$3,0,0,'Données projet'!$E$11+1,1))-AVERAGE(OFFSET($H$3,0,0,'Données projet'!$E$11+1,1))</f>
        <v>280.45463274302153</v>
      </c>
      <c r="BJ179" s="59">
        <f t="shared" si="146"/>
        <v>276.06968650495287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6.1105629515241944</v>
      </c>
      <c r="BQ179" s="21">
        <f>EXP(-LN(2)/25)*BQ178+(1-EXP(-LN(2)/25))/(LN(2)/25)*Calculateur!BL179*Calculateur!BN179*VLOOKUP('Données projet'!$B$11,Paramètres!$A$1:$I$89,3,0)*0.475*44/12</f>
        <v>0.17853695346849277</v>
      </c>
      <c r="BR179" s="21">
        <f>EXP(-LN(2)/2)*BR178+(1-EXP(-LN(2)/2))/(LN(2)/2)*BL179*BO179*VLOOKUP('Données projet'!$B$11,Paramètres!$A$1:$I$89,3,0)*0.475*44/12</f>
        <v>2.1788556900103657E-15</v>
      </c>
      <c r="BS179" s="22">
        <f t="shared" si="169"/>
        <v>6.289099904992689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82.836000000000382</v>
      </c>
      <c r="D180" s="11">
        <f t="shared" si="140"/>
        <v>22.829188748646111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815.66110612990281</v>
      </c>
      <c r="H180" s="67">
        <f t="shared" si="110"/>
        <v>477.36687040389262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197.99999999999994</v>
      </c>
      <c r="O180" s="13">
        <f>N180*VLOOKUP('Données projet'!$B$9,Paramètres!$A$1:$I$89,3,0)*VLOOKUP('Données projet'!$B$9,Paramètres!$A$1:$I$89,5,0)</f>
        <v>123.55199999999995</v>
      </c>
      <c r="P180" s="13">
        <f t="shared" si="141"/>
        <v>32.502033262579566</v>
      </c>
      <c r="Q180" s="20">
        <f t="shared" si="162"/>
        <v>271.79410793232597</v>
      </c>
      <c r="R180" s="59">
        <f t="shared" si="109"/>
        <v>565.12744126565929</v>
      </c>
      <c r="S180" s="59">
        <f ca="1">AVERAGE(OFFSET($R$3,0,0,'Données projet'!$E$9+1,1))-AVERAGE(OFFSET($H$3,0,0,'Données projet'!$E$9+1,1))</f>
        <v>168.81286953191102</v>
      </c>
      <c r="T180" s="59">
        <f t="shared" si="142"/>
        <v>255.78677933103666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2.755817217746356</v>
      </c>
      <c r="AA180" s="21">
        <f>EXP(-LN(2)/25)*AA179+(1-EXP(-LN(2)/25))/(LN(2)/25)*Calculateur!V180*Calculateur!X180*VLOOKUP('Données projet'!$B$9,Paramètres!$A$1:$I$89,3,0)*0.475*44/12</f>
        <v>1.3075155807122028</v>
      </c>
      <c r="AB180" s="21">
        <f>EXP(-LN(2)/2)*AB179+(1-EXP(-LN(2)/2))/(LN(2)/2)*V180*Y180*VLOOKUP('Données projet'!$B$9,Paramètres!$A$1:$I$89,3,0)*0.475*44/12</f>
        <v>1.46649029369102E-19</v>
      </c>
      <c r="AC180" s="22">
        <f t="shared" si="163"/>
        <v>4.0633327984585588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435.00000000000023</v>
      </c>
      <c r="AJ180" s="13">
        <f>AI180*VLOOKUP('Données projet'!$B$10,Paramètres!$A$1:$I$89,3,0)*VLOOKUP('Données projet'!$B$10,Paramètres!$A$1:$I$89,5,0)</f>
        <v>260.13000000000017</v>
      </c>
      <c r="AK180" s="13">
        <f t="shared" si="164"/>
        <v>62.75008789651104</v>
      </c>
      <c r="AL180" s="20">
        <f t="shared" si="165"/>
        <v>562.349486419757</v>
      </c>
      <c r="AM180" s="59">
        <f t="shared" si="113"/>
        <v>855.68281975309037</v>
      </c>
      <c r="AN180" s="59">
        <f ca="1">AVERAGE(OFFSET($AM$3,0,0,'Données projet'!$E$10+1,1))-AVERAGE(OFFSET($H$3,0,0,'Données projet'!$E$10+1,1))</f>
        <v>247.08914525784144</v>
      </c>
      <c r="AO180" s="59">
        <f t="shared" si="144"/>
        <v>286.9617518796191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3.5317186737983923</v>
      </c>
      <c r="AV180" s="21">
        <f>EXP(-LN(2)/25)*AV179+(1-EXP(-LN(2)/25))/(LN(2)/25)*Calculateur!AQ180*Calculateur!AS180*VLOOKUP('Données projet'!$B$10,Paramètres!$A$1:$I$89,3,0)*0.475*44/12</f>
        <v>1.2483953782997492</v>
      </c>
      <c r="AW180" s="21">
        <f>EXP(-LN(2)/2)*AW179+(1-EXP(-LN(2)/2))/(LN(2)/2)*AQ180*AT180*VLOOKUP('Données projet'!$B$10,Paramètres!$A$1:$I$89,3,0)*0.475*44/12</f>
        <v>1.3772665857055756E-17</v>
      </c>
      <c r="AX180" s="21">
        <f t="shared" si="166"/>
        <v>4.780114052098142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318.99999999999994</v>
      </c>
      <c r="BE180" s="13">
        <f>BD180*VLOOKUP('Données projet'!$B$11,Paramètres!$A$1:$I$89,3,0)*VLOOKUP('Données projet'!$B$11,Paramètres!$A$1:$I$89,5,0)</f>
        <v>253.79639999999995</v>
      </c>
      <c r="BF180" s="13">
        <f t="shared" si="167"/>
        <v>61.398168322280704</v>
      </c>
      <c r="BG180" s="20">
        <f t="shared" si="168"/>
        <v>548.9638731613054</v>
      </c>
      <c r="BH180" s="59">
        <f t="shared" si="116"/>
        <v>842.29720649463866</v>
      </c>
      <c r="BI180" s="59">
        <f ca="1">AVERAGE(OFFSET($BH$3,0,0,'Données projet'!$E$11+1,1))-AVERAGE(OFFSET($H$3,0,0,'Données projet'!$E$11+1,1))</f>
        <v>280.45463274302153</v>
      </c>
      <c r="BJ180" s="59">
        <f t="shared" si="146"/>
        <v>276.06968650495287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5.9907385391201871</v>
      </c>
      <c r="BQ180" s="21">
        <f>EXP(-LN(2)/25)*BQ179+(1-EXP(-LN(2)/25))/(LN(2)/25)*Calculateur!BL180*Calculateur!BN180*VLOOKUP('Données projet'!$B$11,Paramètres!$A$1:$I$89,3,0)*0.475*44/12</f>
        <v>0.17365485108704651</v>
      </c>
      <c r="BR180" s="21">
        <f>EXP(-LN(2)/2)*BR179+(1-EXP(-LN(2)/2))/(LN(2)/2)*BL180*BO180*VLOOKUP('Données projet'!$B$11,Paramètres!$A$1:$I$89,3,0)*0.475*44/12</f>
        <v>1.5406836336332237E-15</v>
      </c>
      <c r="BS180" s="22">
        <f t="shared" si="169"/>
        <v>6.164393390207235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83.304000000000386</v>
      </c>
      <c r="D181" s="11">
        <f t="shared" si="140"/>
        <v>22.943116727725723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820.15318175788582</v>
      </c>
      <c r="H181" s="67">
        <f t="shared" si="110"/>
        <v>478.38039496745625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197.99999999999994</v>
      </c>
      <c r="O181" s="13">
        <f>N181*VLOOKUP('Données projet'!$B$9,Paramètres!$A$1:$I$89,3,0)*VLOOKUP('Données projet'!$B$9,Paramètres!$A$1:$I$89,5,0)</f>
        <v>123.55199999999995</v>
      </c>
      <c r="P181" s="13">
        <f t="shared" si="141"/>
        <v>32.502033262579566</v>
      </c>
      <c r="Q181" s="20">
        <f t="shared" si="162"/>
        <v>271.79410793232597</v>
      </c>
      <c r="R181" s="59">
        <f t="shared" si="109"/>
        <v>565.12744126565929</v>
      </c>
      <c r="S181" s="59">
        <f ca="1">AVERAGE(OFFSET($R$3,0,0,'Données projet'!$E$9+1,1))-AVERAGE(OFFSET($H$3,0,0,'Données projet'!$E$9+1,1))</f>
        <v>168.81286953191102</v>
      </c>
      <c r="T181" s="59">
        <f t="shared" si="142"/>
        <v>255.78677933103666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2.7017773229888795</v>
      </c>
      <c r="AA181" s="21">
        <f>EXP(-LN(2)/25)*AA180+(1-EXP(-LN(2)/25))/(LN(2)/25)*Calculateur!V181*Calculateur!X181*VLOOKUP('Données projet'!$B$9,Paramètres!$A$1:$I$89,3,0)*0.475*44/12</f>
        <v>1.2717614983983716</v>
      </c>
      <c r="AB181" s="21">
        <f>EXP(-LN(2)/2)*AB180+(1-EXP(-LN(2)/2))/(LN(2)/2)*V181*Y181*VLOOKUP('Données projet'!$B$9,Paramètres!$A$1:$I$89,3,0)*0.475*44/12</f>
        <v>1.0369652312131719E-19</v>
      </c>
      <c r="AC181" s="22">
        <f t="shared" si="163"/>
        <v>3.9735388213872511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435.00000000000023</v>
      </c>
      <c r="AJ181" s="13">
        <f>AI181*VLOOKUP('Données projet'!$B$10,Paramètres!$A$1:$I$89,3,0)*VLOOKUP('Données projet'!$B$10,Paramètres!$A$1:$I$89,5,0)</f>
        <v>260.13000000000017</v>
      </c>
      <c r="AK181" s="13">
        <f t="shared" si="164"/>
        <v>62.75008789651104</v>
      </c>
      <c r="AL181" s="20">
        <f t="shared" si="165"/>
        <v>562.349486419757</v>
      </c>
      <c r="AM181" s="59">
        <f t="shared" si="113"/>
        <v>855.68281975309037</v>
      </c>
      <c r="AN181" s="59">
        <f ca="1">AVERAGE(OFFSET($AM$3,0,0,'Données projet'!$E$10+1,1))-AVERAGE(OFFSET($H$3,0,0,'Données projet'!$E$10+1,1))</f>
        <v>247.08914525784144</v>
      </c>
      <c r="AO181" s="59">
        <f t="shared" si="144"/>
        <v>286.9617518796191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3.4624638247408934</v>
      </c>
      <c r="AV181" s="21">
        <f>EXP(-LN(2)/25)*AV180+(1-EXP(-LN(2)/25))/(LN(2)/25)*Calculateur!AQ181*Calculateur!AS181*VLOOKUP('Données projet'!$B$10,Paramètres!$A$1:$I$89,3,0)*0.475*44/12</f>
        <v>1.2142579410298828</v>
      </c>
      <c r="AW181" s="21">
        <f>EXP(-LN(2)/2)*AW180+(1-EXP(-LN(2)/2))/(LN(2)/2)*AQ181*AT181*VLOOKUP('Données projet'!$B$10,Paramètres!$A$1:$I$89,3,0)*0.475*44/12</f>
        <v>9.7387454225405588E-18</v>
      </c>
      <c r="AX181" s="21">
        <f t="shared" si="166"/>
        <v>4.6767217657707763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318.99999999999994</v>
      </c>
      <c r="BE181" s="13">
        <f>BD181*VLOOKUP('Données projet'!$B$11,Paramètres!$A$1:$I$89,3,0)*VLOOKUP('Données projet'!$B$11,Paramètres!$A$1:$I$89,5,0)</f>
        <v>253.79639999999995</v>
      </c>
      <c r="BF181" s="13">
        <f t="shared" si="167"/>
        <v>61.398168322280704</v>
      </c>
      <c r="BG181" s="20">
        <f t="shared" si="168"/>
        <v>548.9638731613054</v>
      </c>
      <c r="BH181" s="59">
        <f t="shared" si="116"/>
        <v>842.29720649463866</v>
      </c>
      <c r="BI181" s="59">
        <f ca="1">AVERAGE(OFFSET($BH$3,0,0,'Données projet'!$E$11+1,1))-AVERAGE(OFFSET($H$3,0,0,'Données projet'!$E$11+1,1))</f>
        <v>280.45463274302153</v>
      </c>
      <c r="BJ181" s="59">
        <f t="shared" si="146"/>
        <v>276.06968650495287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5.8732638103577477</v>
      </c>
      <c r="BQ181" s="21">
        <f>EXP(-LN(2)/25)*BQ180+(1-EXP(-LN(2)/25))/(LN(2)/25)*Calculateur!BL181*Calculateur!BN181*VLOOKUP('Données projet'!$B$11,Paramètres!$A$1:$I$89,3,0)*0.475*44/12</f>
        <v>0.1689062500519595</v>
      </c>
      <c r="BR181" s="21">
        <f>EXP(-LN(2)/2)*BR180+(1-EXP(-LN(2)/2))/(LN(2)/2)*BL181*BO181*VLOOKUP('Données projet'!$B$11,Paramètres!$A$1:$I$89,3,0)*0.475*44/12</f>
        <v>1.0894278450051828E-15</v>
      </c>
      <c r="BS181" s="22">
        <f t="shared" si="169"/>
        <v>6.0421700604097079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83.772000000000389</v>
      </c>
      <c r="D182" s="11">
        <f t="shared" si="140"/>
        <v>23.056970229527188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824.64468247354625</v>
      </c>
      <c r="H182" s="67">
        <f t="shared" si="110"/>
        <v>479.39378981642722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197.99999999999994</v>
      </c>
      <c r="O182" s="13">
        <f>N182*VLOOKUP('Données projet'!$B$9,Paramètres!$A$1:$I$89,3,0)*VLOOKUP('Données projet'!$B$9,Paramètres!$A$1:$I$89,5,0)</f>
        <v>123.55199999999995</v>
      </c>
      <c r="P182" s="13">
        <f t="shared" si="141"/>
        <v>32.502033262579566</v>
      </c>
      <c r="Q182" s="20">
        <f t="shared" si="162"/>
        <v>271.79410793232597</v>
      </c>
      <c r="R182" s="59">
        <f t="shared" si="109"/>
        <v>565.12744126565929</v>
      </c>
      <c r="S182" s="59">
        <f ca="1">AVERAGE(OFFSET($R$3,0,0,'Données projet'!$E$9+1,1))-AVERAGE(OFFSET($H$3,0,0,'Données projet'!$E$9+1,1))</f>
        <v>168.81286953191102</v>
      </c>
      <c r="T182" s="59">
        <f t="shared" si="142"/>
        <v>255.78677933103666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2.6487971176065157</v>
      </c>
      <c r="AA182" s="21">
        <f>EXP(-LN(2)/25)*AA181+(1-EXP(-LN(2)/25))/(LN(2)/25)*Calculateur!V182*Calculateur!X182*VLOOKUP('Données projet'!$B$9,Paramètres!$A$1:$I$89,3,0)*0.475*44/12</f>
        <v>1.2369851133456375</v>
      </c>
      <c r="AB182" s="21">
        <f>EXP(-LN(2)/2)*AB181+(1-EXP(-LN(2)/2))/(LN(2)/2)*V182*Y182*VLOOKUP('Données projet'!$B$9,Paramètres!$A$1:$I$89,3,0)*0.475*44/12</f>
        <v>7.3324514684551001E-20</v>
      </c>
      <c r="AC182" s="22">
        <f t="shared" si="163"/>
        <v>3.8857822309521532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435.00000000000023</v>
      </c>
      <c r="AJ182" s="13">
        <f>AI182*VLOOKUP('Données projet'!$B$10,Paramètres!$A$1:$I$89,3,0)*VLOOKUP('Données projet'!$B$10,Paramètres!$A$1:$I$89,5,0)</f>
        <v>260.13000000000017</v>
      </c>
      <c r="AK182" s="13">
        <f t="shared" si="164"/>
        <v>62.75008789651104</v>
      </c>
      <c r="AL182" s="20">
        <f t="shared" si="165"/>
        <v>562.349486419757</v>
      </c>
      <c r="AM182" s="59">
        <f t="shared" si="113"/>
        <v>855.68281975309037</v>
      </c>
      <c r="AN182" s="59">
        <f ca="1">AVERAGE(OFFSET($AM$3,0,0,'Données projet'!$E$10+1,1))-AVERAGE(OFFSET($H$3,0,0,'Données projet'!$E$10+1,1))</f>
        <v>247.08914525784144</v>
      </c>
      <c r="AO182" s="59">
        <f t="shared" si="144"/>
        <v>286.9617518796191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3.3945670210321253</v>
      </c>
      <c r="AV182" s="21">
        <f>EXP(-LN(2)/25)*AV181+(1-EXP(-LN(2)/25))/(LN(2)/25)*Calculateur!AQ182*Calculateur!AS182*VLOOKUP('Données projet'!$B$10,Paramètres!$A$1:$I$89,3,0)*0.475*44/12</f>
        <v>1.1810539937773707</v>
      </c>
      <c r="AW182" s="21">
        <f>EXP(-LN(2)/2)*AW181+(1-EXP(-LN(2)/2))/(LN(2)/2)*AQ182*AT182*VLOOKUP('Données projet'!$B$10,Paramètres!$A$1:$I$89,3,0)*0.475*44/12</f>
        <v>6.8863329285278787E-18</v>
      </c>
      <c r="AX182" s="21">
        <f t="shared" si="166"/>
        <v>4.5756210148094958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318.99999999999994</v>
      </c>
      <c r="BE182" s="13">
        <f>BD182*VLOOKUP('Données projet'!$B$11,Paramètres!$A$1:$I$89,3,0)*VLOOKUP('Données projet'!$B$11,Paramètres!$A$1:$I$89,5,0)</f>
        <v>253.79639999999995</v>
      </c>
      <c r="BF182" s="13">
        <f t="shared" si="167"/>
        <v>61.398168322280704</v>
      </c>
      <c r="BG182" s="20">
        <f t="shared" si="168"/>
        <v>548.9638731613054</v>
      </c>
      <c r="BH182" s="59">
        <f t="shared" si="116"/>
        <v>842.29720649463866</v>
      </c>
      <c r="BI182" s="59">
        <f ca="1">AVERAGE(OFFSET($BH$3,0,0,'Données projet'!$E$11+1,1))-AVERAGE(OFFSET($H$3,0,0,'Données projet'!$E$11+1,1))</f>
        <v>280.45463274302153</v>
      </c>
      <c r="BJ182" s="59">
        <f t="shared" si="146"/>
        <v>276.06968650495287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5.7580926893738305</v>
      </c>
      <c r="BQ182" s="21">
        <f>EXP(-LN(2)/25)*BQ181+(1-EXP(-LN(2)/25))/(LN(2)/25)*Calculateur!BL182*Calculateur!BN182*VLOOKUP('Données projet'!$B$11,Paramètres!$A$1:$I$89,3,0)*0.475*44/12</f>
        <v>0.16428749976189502</v>
      </c>
      <c r="BR182" s="21">
        <f>EXP(-LN(2)/2)*BR181+(1-EXP(-LN(2)/2))/(LN(2)/2)*BL182*BO182*VLOOKUP('Données projet'!$B$11,Paramètres!$A$1:$I$89,3,0)*0.475*44/12</f>
        <v>7.7034181681661185E-16</v>
      </c>
      <c r="BS182" s="22">
        <f t="shared" si="169"/>
        <v>5.9223801891357262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84.240000000000393</v>
      </c>
      <c r="D183" s="11">
        <f t="shared" si="140"/>
        <v>23.170749718409571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829.13561186141033</v>
      </c>
      <c r="H183" s="67">
        <f t="shared" si="110"/>
        <v>480.40705575956395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197.99999999999994</v>
      </c>
      <c r="O183" s="13">
        <f>N183*VLOOKUP('Données projet'!$B$9,Paramètres!$A$1:$I$89,3,0)*VLOOKUP('Données projet'!$B$9,Paramètres!$A$1:$I$89,5,0)</f>
        <v>123.55199999999995</v>
      </c>
      <c r="P183" s="13">
        <f t="shared" si="141"/>
        <v>32.502033262579566</v>
      </c>
      <c r="Q183" s="20">
        <f t="shared" si="162"/>
        <v>271.79410793232597</v>
      </c>
      <c r="R183" s="59">
        <f t="shared" si="109"/>
        <v>565.12744126565929</v>
      </c>
      <c r="S183" s="59">
        <f ca="1">AVERAGE(OFFSET($R$3,0,0,'Données projet'!$E$9+1,1))-AVERAGE(OFFSET($H$3,0,0,'Données projet'!$E$9+1,1))</f>
        <v>168.81286953191102</v>
      </c>
      <c r="T183" s="59">
        <f t="shared" si="142"/>
        <v>255.78677933103666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2.5968558217369657</v>
      </c>
      <c r="AA183" s="21">
        <f>EXP(-LN(2)/25)*AA182+(1-EXP(-LN(2)/25))/(LN(2)/25)*Calculateur!V183*Calculateur!X183*VLOOKUP('Données projet'!$B$9,Paramètres!$A$1:$I$89,3,0)*0.475*44/12</f>
        <v>1.2031596903709811</v>
      </c>
      <c r="AB183" s="21">
        <f>EXP(-LN(2)/2)*AB182+(1-EXP(-LN(2)/2))/(LN(2)/2)*V183*Y183*VLOOKUP('Données projet'!$B$9,Paramètres!$A$1:$I$89,3,0)*0.475*44/12</f>
        <v>5.1848261560658596E-20</v>
      </c>
      <c r="AC183" s="22">
        <f t="shared" si="163"/>
        <v>3.8000155121079469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435.00000000000023</v>
      </c>
      <c r="AJ183" s="13">
        <f>AI183*VLOOKUP('Données projet'!$B$10,Paramètres!$A$1:$I$89,3,0)*VLOOKUP('Données projet'!$B$10,Paramètres!$A$1:$I$89,5,0)</f>
        <v>260.13000000000017</v>
      </c>
      <c r="AK183" s="13">
        <f t="shared" si="164"/>
        <v>62.75008789651104</v>
      </c>
      <c r="AL183" s="20">
        <f t="shared" si="165"/>
        <v>562.349486419757</v>
      </c>
      <c r="AM183" s="59">
        <f t="shared" si="113"/>
        <v>855.68281975309037</v>
      </c>
      <c r="AN183" s="59">
        <f ca="1">AVERAGE(OFFSET($AM$3,0,0,'Données projet'!$E$10+1,1))-AVERAGE(OFFSET($H$3,0,0,'Données projet'!$E$10+1,1))</f>
        <v>247.08914525784144</v>
      </c>
      <c r="AO183" s="59">
        <f t="shared" si="144"/>
        <v>286.9617518796191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3.3280016322311252</v>
      </c>
      <c r="AV183" s="21">
        <f>EXP(-LN(2)/25)*AV182+(1-EXP(-LN(2)/25))/(LN(2)/25)*Calculateur!AQ183*Calculateur!AS183*VLOOKUP('Données projet'!$B$10,Paramètres!$A$1:$I$89,3,0)*0.475*44/12</f>
        <v>1.1487580102085984</v>
      </c>
      <c r="AW183" s="21">
        <f>EXP(-LN(2)/2)*AW182+(1-EXP(-LN(2)/2))/(LN(2)/2)*AQ183*AT183*VLOOKUP('Données projet'!$B$10,Paramètres!$A$1:$I$89,3,0)*0.475*44/12</f>
        <v>4.8693727112702802E-18</v>
      </c>
      <c r="AX183" s="21">
        <f t="shared" si="166"/>
        <v>4.476759642439724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318.99999999999994</v>
      </c>
      <c r="BE183" s="13">
        <f>BD183*VLOOKUP('Données projet'!$B$11,Paramètres!$A$1:$I$89,3,0)*VLOOKUP('Données projet'!$B$11,Paramètres!$A$1:$I$89,5,0)</f>
        <v>253.79639999999995</v>
      </c>
      <c r="BF183" s="13">
        <f t="shared" si="167"/>
        <v>61.398168322280704</v>
      </c>
      <c r="BG183" s="20">
        <f t="shared" si="168"/>
        <v>548.9638731613054</v>
      </c>
      <c r="BH183" s="59">
        <f t="shared" si="116"/>
        <v>842.29720649463866</v>
      </c>
      <c r="BI183" s="59">
        <f ca="1">AVERAGE(OFFSET($BH$3,0,0,'Données projet'!$E$11+1,1))-AVERAGE(OFFSET($H$3,0,0,'Données projet'!$E$11+1,1))</f>
        <v>280.45463274302153</v>
      </c>
      <c r="BJ183" s="59">
        <f t="shared" si="146"/>
        <v>276.06968650495287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5.6451800038249598</v>
      </c>
      <c r="BQ183" s="21">
        <f>EXP(-LN(2)/25)*BQ182+(1-EXP(-LN(2)/25))/(LN(2)/25)*Calculateur!BL183*Calculateur!BN183*VLOOKUP('Données projet'!$B$11,Paramètres!$A$1:$I$89,3,0)*0.475*44/12</f>
        <v>0.15979504944140188</v>
      </c>
      <c r="BR183" s="21">
        <f>EXP(-LN(2)/2)*BR182+(1-EXP(-LN(2)/2))/(LN(2)/2)*BL183*BO183*VLOOKUP('Données projet'!$B$11,Paramètres!$A$1:$I$89,3,0)*0.475*44/12</f>
        <v>5.4471392250259142E-16</v>
      </c>
      <c r="BS183" s="22">
        <f t="shared" si="169"/>
        <v>5.8049750532663627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84.708000000000396</v>
      </c>
      <c r="D184" s="11">
        <f t="shared" si="140"/>
        <v>23.284455653273778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833.62597346387076</v>
      </c>
      <c r="H184" s="67">
        <f t="shared" si="110"/>
        <v>481.42019359611913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197.99999999999994</v>
      </c>
      <c r="O184" s="13">
        <f>N184*VLOOKUP('Données projet'!$B$9,Paramètres!$A$1:$I$89,3,0)*VLOOKUP('Données projet'!$B$9,Paramètres!$A$1:$I$89,5,0)</f>
        <v>123.55199999999995</v>
      </c>
      <c r="P184" s="13">
        <f t="shared" si="141"/>
        <v>32.502033262579566</v>
      </c>
      <c r="Q184" s="20">
        <f t="shared" si="162"/>
        <v>271.79410793232597</v>
      </c>
      <c r="R184" s="59">
        <f t="shared" si="109"/>
        <v>565.12744126565929</v>
      </c>
      <c r="S184" s="59">
        <f ca="1">AVERAGE(OFFSET($R$3,0,0,'Données projet'!$E$9+1,1))-AVERAGE(OFFSET($H$3,0,0,'Données projet'!$E$9+1,1))</f>
        <v>168.81286953191102</v>
      </c>
      <c r="T184" s="59">
        <f t="shared" si="142"/>
        <v>255.78677933103666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2.5459330629983552</v>
      </c>
      <c r="AA184" s="21">
        <f>EXP(-LN(2)/25)*AA183+(1-EXP(-LN(2)/25))/(LN(2)/25)*Calculateur!V184*Calculateur!X184*VLOOKUP('Données projet'!$B$9,Paramètres!$A$1:$I$89,3,0)*0.475*44/12</f>
        <v>1.1702592253663684</v>
      </c>
      <c r="AB184" s="21">
        <f>EXP(-LN(2)/2)*AB183+(1-EXP(-LN(2)/2))/(LN(2)/2)*V184*Y184*VLOOKUP('Données projet'!$B$9,Paramètres!$A$1:$I$89,3,0)*0.475*44/12</f>
        <v>3.6662257342275501E-20</v>
      </c>
      <c r="AC184" s="22">
        <f t="shared" si="163"/>
        <v>3.7161922883647236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435.00000000000023</v>
      </c>
      <c r="AJ184" s="13">
        <f>AI184*VLOOKUP('Données projet'!$B$10,Paramètres!$A$1:$I$89,3,0)*VLOOKUP('Données projet'!$B$10,Paramètres!$A$1:$I$89,5,0)</f>
        <v>260.13000000000017</v>
      </c>
      <c r="AK184" s="13">
        <f t="shared" si="164"/>
        <v>62.75008789651104</v>
      </c>
      <c r="AL184" s="20">
        <f t="shared" si="165"/>
        <v>562.349486419757</v>
      </c>
      <c r="AM184" s="59">
        <f t="shared" si="113"/>
        <v>855.68281975309037</v>
      </c>
      <c r="AN184" s="59">
        <f ca="1">AVERAGE(OFFSET($AM$3,0,0,'Données projet'!$E$10+1,1))-AVERAGE(OFFSET($H$3,0,0,'Données projet'!$E$10+1,1))</f>
        <v>247.08914525784144</v>
      </c>
      <c r="AO184" s="59">
        <f t="shared" si="144"/>
        <v>286.9617518796191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3.2627415501036343</v>
      </c>
      <c r="AV184" s="21">
        <f>EXP(-LN(2)/25)*AV183+(1-EXP(-LN(2)/25))/(LN(2)/25)*Calculateur!AQ184*Calculateur!AS184*VLOOKUP('Données projet'!$B$10,Paramètres!$A$1:$I$89,3,0)*0.475*44/12</f>
        <v>1.1173451620088859</v>
      </c>
      <c r="AW184" s="21">
        <f>EXP(-LN(2)/2)*AW183+(1-EXP(-LN(2)/2))/(LN(2)/2)*AQ184*AT184*VLOOKUP('Données projet'!$B$10,Paramètres!$A$1:$I$89,3,0)*0.475*44/12</f>
        <v>3.4431664642639397E-18</v>
      </c>
      <c r="AX184" s="21">
        <f t="shared" si="166"/>
        <v>4.3800867121125204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318.99999999999994</v>
      </c>
      <c r="BE184" s="13">
        <f>BD184*VLOOKUP('Données projet'!$B$11,Paramètres!$A$1:$I$89,3,0)*VLOOKUP('Données projet'!$B$11,Paramètres!$A$1:$I$89,5,0)</f>
        <v>253.79639999999995</v>
      </c>
      <c r="BF184" s="13">
        <f t="shared" si="167"/>
        <v>61.398168322280704</v>
      </c>
      <c r="BG184" s="20">
        <f t="shared" si="168"/>
        <v>548.9638731613054</v>
      </c>
      <c r="BH184" s="59">
        <f t="shared" si="116"/>
        <v>842.29720649463866</v>
      </c>
      <c r="BI184" s="59">
        <f ca="1">AVERAGE(OFFSET($BH$3,0,0,'Données projet'!$E$11+1,1))-AVERAGE(OFFSET($H$3,0,0,'Données projet'!$E$11+1,1))</f>
        <v>280.45463274302153</v>
      </c>
      <c r="BJ184" s="59">
        <f t="shared" si="146"/>
        <v>276.06968650495287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5.5344814671697646</v>
      </c>
      <c r="BQ184" s="21">
        <f>EXP(-LN(2)/25)*BQ183+(1-EXP(-LN(2)/25))/(LN(2)/25)*Calculateur!BL184*Calculateur!BN184*VLOOKUP('Données projet'!$B$11,Paramètres!$A$1:$I$89,3,0)*0.475*44/12</f>
        <v>0.15542544541117032</v>
      </c>
      <c r="BR184" s="21">
        <f>EXP(-LN(2)/2)*BR183+(1-EXP(-LN(2)/2))/(LN(2)/2)*BL184*BO184*VLOOKUP('Données projet'!$B$11,Paramètres!$A$1:$I$89,3,0)*0.475*44/12</f>
        <v>3.8517090840830592E-16</v>
      </c>
      <c r="BS184" s="22">
        <f t="shared" si="169"/>
        <v>5.689906912580935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85.1760000000004</v>
      </c>
      <c r="D185" s="11">
        <f t="shared" si="140"/>
        <v>23.398088487656537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838.11577078191328</v>
      </c>
      <c r="H185" s="67">
        <f t="shared" si="110"/>
        <v>482.43320411600246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197.99999999999994</v>
      </c>
      <c r="O185" s="13">
        <f>N185*VLOOKUP('Données projet'!$B$9,Paramètres!$A$1:$I$89,3,0)*VLOOKUP('Données projet'!$B$9,Paramètres!$A$1:$I$89,5,0)</f>
        <v>123.55199999999995</v>
      </c>
      <c r="P185" s="13">
        <f t="shared" si="141"/>
        <v>32.502033262579566</v>
      </c>
      <c r="Q185" s="20">
        <f t="shared" si="162"/>
        <v>271.79410793232597</v>
      </c>
      <c r="R185" s="59">
        <f t="shared" si="109"/>
        <v>565.12744126565929</v>
      </c>
      <c r="S185" s="59">
        <f ca="1">AVERAGE(OFFSET($R$3,0,0,'Données projet'!$E$9+1,1))-AVERAGE(OFFSET($H$3,0,0,'Données projet'!$E$9+1,1))</f>
        <v>168.81286953191102</v>
      </c>
      <c r="T185" s="59">
        <f t="shared" si="142"/>
        <v>255.78677933103666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2.4960088684987931</v>
      </c>
      <c r="AA185" s="21">
        <f>EXP(-LN(2)/25)*AA184+(1-EXP(-LN(2)/25))/(LN(2)/25)*Calculateur!V185*Calculateur!X185*VLOOKUP('Données projet'!$B$9,Paramètres!$A$1:$I$89,3,0)*0.475*44/12</f>
        <v>1.138258425307467</v>
      </c>
      <c r="AB185" s="21">
        <f>EXP(-LN(2)/2)*AB184+(1-EXP(-LN(2)/2))/(LN(2)/2)*V185*Y185*VLOOKUP('Données projet'!$B$9,Paramètres!$A$1:$I$89,3,0)*0.475*44/12</f>
        <v>2.5924130780329298E-20</v>
      </c>
      <c r="AC185" s="22">
        <f t="shared" si="163"/>
        <v>3.6342672938062601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435.00000000000023</v>
      </c>
      <c r="AJ185" s="13">
        <f>AI185*VLOOKUP('Données projet'!$B$10,Paramètres!$A$1:$I$89,3,0)*VLOOKUP('Données projet'!$B$10,Paramètres!$A$1:$I$89,5,0)</f>
        <v>260.13000000000017</v>
      </c>
      <c r="AK185" s="13">
        <f t="shared" si="164"/>
        <v>62.75008789651104</v>
      </c>
      <c r="AL185" s="20">
        <f t="shared" si="165"/>
        <v>562.349486419757</v>
      </c>
      <c r="AM185" s="59">
        <f t="shared" si="113"/>
        <v>855.68281975309037</v>
      </c>
      <c r="AN185" s="59">
        <f ca="1">AVERAGE(OFFSET($AM$3,0,0,'Données projet'!$E$10+1,1))-AVERAGE(OFFSET($H$3,0,0,'Données projet'!$E$10+1,1))</f>
        <v>247.08914525784144</v>
      </c>
      <c r="AO185" s="59">
        <f t="shared" si="144"/>
        <v>286.9617518796191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3.1987611783819441</v>
      </c>
      <c r="AV185" s="21">
        <f>EXP(-LN(2)/25)*AV184+(1-EXP(-LN(2)/25))/(LN(2)/25)*Calculateur!AQ185*Calculateur!AS185*VLOOKUP('Données projet'!$B$10,Paramètres!$A$1:$I$89,3,0)*0.475*44/12</f>
        <v>1.0867912997951246</v>
      </c>
      <c r="AW185" s="21">
        <f>EXP(-LN(2)/2)*AW184+(1-EXP(-LN(2)/2))/(LN(2)/2)*AQ185*AT185*VLOOKUP('Données projet'!$B$10,Paramètres!$A$1:$I$89,3,0)*0.475*44/12</f>
        <v>2.4346863556351405E-18</v>
      </c>
      <c r="AX185" s="21">
        <f t="shared" si="166"/>
        <v>4.2855524781770686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318.99999999999994</v>
      </c>
      <c r="BE185" s="13">
        <f>BD185*VLOOKUP('Données projet'!$B$11,Paramètres!$A$1:$I$89,3,0)*VLOOKUP('Données projet'!$B$11,Paramètres!$A$1:$I$89,5,0)</f>
        <v>253.79639999999995</v>
      </c>
      <c r="BF185" s="13">
        <f t="shared" si="167"/>
        <v>61.398168322280704</v>
      </c>
      <c r="BG185" s="20">
        <f t="shared" si="168"/>
        <v>548.9638731613054</v>
      </c>
      <c r="BH185" s="59">
        <f t="shared" si="116"/>
        <v>842.29720649463866</v>
      </c>
      <c r="BI185" s="59">
        <f ca="1">AVERAGE(OFFSET($BH$3,0,0,'Données projet'!$E$11+1,1))-AVERAGE(OFFSET($H$3,0,0,'Données projet'!$E$11+1,1))</f>
        <v>280.45463274302153</v>
      </c>
      <c r="BJ185" s="59">
        <f t="shared" si="146"/>
        <v>276.06968650495287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5.4259536612989381</v>
      </c>
      <c r="BQ185" s="21">
        <f>EXP(-LN(2)/25)*BQ184+(1-EXP(-LN(2)/25))/(LN(2)/25)*Calculateur!BL185*Calculateur!BN185*VLOOKUP('Données projet'!$B$11,Paramètres!$A$1:$I$89,3,0)*0.475*44/12</f>
        <v>0.15117532843293291</v>
      </c>
      <c r="BR185" s="21">
        <f>EXP(-LN(2)/2)*BR184+(1-EXP(-LN(2)/2))/(LN(2)/2)*BL185*BO185*VLOOKUP('Données projet'!$B$11,Paramètres!$A$1:$I$89,3,0)*0.475*44/12</f>
        <v>2.7235696125129571E-16</v>
      </c>
      <c r="BS185" s="22">
        <f t="shared" si="169"/>
        <v>5.5771289897318708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85.644000000000403</v>
      </c>
      <c r="D186" s="11">
        <f t="shared" si="140"/>
        <v>23.511648669822165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842.60500727582337</v>
      </c>
      <c r="H186" s="67">
        <f t="shared" si="110"/>
        <v>483.44608809994094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197.99999999999994</v>
      </c>
      <c r="O186" s="13">
        <f>N186*VLOOKUP('Données projet'!$B$9,Paramètres!$A$1:$I$89,3,0)*VLOOKUP('Données projet'!$B$9,Paramètres!$A$1:$I$89,5,0)</f>
        <v>123.55199999999995</v>
      </c>
      <c r="P186" s="13">
        <f t="shared" si="141"/>
        <v>32.502033262579566</v>
      </c>
      <c r="Q186" s="20">
        <f t="shared" si="162"/>
        <v>271.79410793232597</v>
      </c>
      <c r="R186" s="59">
        <f t="shared" si="109"/>
        <v>565.12744126565929</v>
      </c>
      <c r="S186" s="59">
        <f ca="1">AVERAGE(OFFSET($R$3,0,0,'Données projet'!$E$9+1,1))-AVERAGE(OFFSET($H$3,0,0,'Données projet'!$E$9+1,1))</f>
        <v>168.81286953191102</v>
      </c>
      <c r="T186" s="59">
        <f t="shared" si="142"/>
        <v>255.78677933103666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2.4470636570026154</v>
      </c>
      <c r="AA186" s="21">
        <f>EXP(-LN(2)/25)*AA185+(1-EXP(-LN(2)/25))/(LN(2)/25)*Calculateur!V186*Calculateur!X186*VLOOKUP('Données projet'!$B$9,Paramètres!$A$1:$I$89,3,0)*0.475*44/12</f>
        <v>1.1071326888090252</v>
      </c>
      <c r="AB186" s="21">
        <f>EXP(-LN(2)/2)*AB185+(1-EXP(-LN(2)/2))/(LN(2)/2)*V186*Y186*VLOOKUP('Données projet'!$B$9,Paramètres!$A$1:$I$89,3,0)*0.475*44/12</f>
        <v>1.833112867113775E-20</v>
      </c>
      <c r="AC186" s="22">
        <f t="shared" si="163"/>
        <v>3.5541963458116408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435.00000000000023</v>
      </c>
      <c r="AJ186" s="13">
        <f>AI186*VLOOKUP('Données projet'!$B$10,Paramètres!$A$1:$I$89,3,0)*VLOOKUP('Données projet'!$B$10,Paramètres!$A$1:$I$89,5,0)</f>
        <v>260.13000000000017</v>
      </c>
      <c r="AK186" s="13">
        <f t="shared" si="164"/>
        <v>62.75008789651104</v>
      </c>
      <c r="AL186" s="20">
        <f t="shared" si="165"/>
        <v>562.349486419757</v>
      </c>
      <c r="AM186" s="59">
        <f t="shared" si="113"/>
        <v>855.68281975309037</v>
      </c>
      <c r="AN186" s="59">
        <f ca="1">AVERAGE(OFFSET($AM$3,0,0,'Données projet'!$E$10+1,1))-AVERAGE(OFFSET($H$3,0,0,'Données projet'!$E$10+1,1))</f>
        <v>247.08914525784144</v>
      </c>
      <c r="AO186" s="59">
        <f t="shared" si="144"/>
        <v>286.9617518796191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3.1360354227255427</v>
      </c>
      <c r="AV186" s="21">
        <f>EXP(-LN(2)/25)*AV185+(1-EXP(-LN(2)/25))/(LN(2)/25)*Calculateur!AQ186*Calculateur!AS186*VLOOKUP('Données projet'!$B$10,Paramètres!$A$1:$I$89,3,0)*0.475*44/12</f>
        <v>1.0570729345503562</v>
      </c>
      <c r="AW186" s="21">
        <f>EXP(-LN(2)/2)*AW185+(1-EXP(-LN(2)/2))/(LN(2)/2)*AQ186*AT186*VLOOKUP('Données projet'!$B$10,Paramètres!$A$1:$I$89,3,0)*0.475*44/12</f>
        <v>1.7215832321319702E-18</v>
      </c>
      <c r="AX186" s="21">
        <f t="shared" si="166"/>
        <v>4.1931083572758991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318.99999999999994</v>
      </c>
      <c r="BE186" s="13">
        <f>BD186*VLOOKUP('Données projet'!$B$11,Paramètres!$A$1:$I$89,3,0)*VLOOKUP('Données projet'!$B$11,Paramètres!$A$1:$I$89,5,0)</f>
        <v>253.79639999999995</v>
      </c>
      <c r="BF186" s="13">
        <f t="shared" si="167"/>
        <v>61.398168322280704</v>
      </c>
      <c r="BG186" s="20">
        <f t="shared" si="168"/>
        <v>548.9638731613054</v>
      </c>
      <c r="BH186" s="59">
        <f t="shared" si="116"/>
        <v>842.29720649463866</v>
      </c>
      <c r="BI186" s="59">
        <f ca="1">AVERAGE(OFFSET($BH$3,0,0,'Données projet'!$E$11+1,1))-AVERAGE(OFFSET($H$3,0,0,'Données projet'!$E$11+1,1))</f>
        <v>280.45463274302153</v>
      </c>
      <c r="BJ186" s="59">
        <f t="shared" si="146"/>
        <v>276.06968650495287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5.3195540195058131</v>
      </c>
      <c r="BQ186" s="21">
        <f>EXP(-LN(2)/25)*BQ185+(1-EXP(-LN(2)/25))/(LN(2)/25)*Calculateur!BL186*Calculateur!BN186*VLOOKUP('Données projet'!$B$11,Paramètres!$A$1:$I$89,3,0)*0.475*44/12</f>
        <v>0.14704143112696935</v>
      </c>
      <c r="BR186" s="21">
        <f>EXP(-LN(2)/2)*BR185+(1-EXP(-LN(2)/2))/(LN(2)/2)*BL186*BO186*VLOOKUP('Données projet'!$B$11,Paramètres!$A$1:$I$89,3,0)*0.475*44/12</f>
        <v>1.9258545420415296E-16</v>
      </c>
      <c r="BS186" s="22">
        <f t="shared" si="169"/>
        <v>5.4665954506327825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86.112000000000407</v>
      </c>
      <c r="D187" s="11">
        <f t="shared" si="140"/>
        <v>23.625136642852389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847.09368636588124</v>
      </c>
      <c r="H187" s="67">
        <f t="shared" si="110"/>
        <v>484.4588463196352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197.99999999999994</v>
      </c>
      <c r="O187" s="13">
        <f>N187*VLOOKUP('Données projet'!$B$9,Paramètres!$A$1:$I$89,3,0)*VLOOKUP('Données projet'!$B$9,Paramètres!$A$1:$I$89,5,0)</f>
        <v>123.55199999999995</v>
      </c>
      <c r="P187" s="13">
        <f t="shared" si="141"/>
        <v>32.502033262579566</v>
      </c>
      <c r="Q187" s="20">
        <f t="shared" si="162"/>
        <v>271.79410793232597</v>
      </c>
      <c r="R187" s="59">
        <f t="shared" si="109"/>
        <v>565.12744126565929</v>
      </c>
      <c r="S187" s="59">
        <f ca="1">AVERAGE(OFFSET($R$3,0,0,'Données projet'!$E$9+1,1))-AVERAGE(OFFSET($H$3,0,0,'Données projet'!$E$9+1,1))</f>
        <v>168.81286953191102</v>
      </c>
      <c r="T187" s="59">
        <f t="shared" si="142"/>
        <v>255.78677933103666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2.3990782312502468</v>
      </c>
      <c r="AA187" s="21">
        <f>EXP(-LN(2)/25)*AA186+(1-EXP(-LN(2)/25))/(LN(2)/25)*Calculateur!V187*Calculateur!X187*VLOOKUP('Données projet'!$B$9,Paramètres!$A$1:$I$89,3,0)*0.475*44/12</f>
        <v>1.0768580872119646</v>
      </c>
      <c r="AB187" s="21">
        <f>EXP(-LN(2)/2)*AB186+(1-EXP(-LN(2)/2))/(LN(2)/2)*V187*Y187*VLOOKUP('Données projet'!$B$9,Paramètres!$A$1:$I$89,3,0)*0.475*44/12</f>
        <v>1.2962065390164649E-20</v>
      </c>
      <c r="AC187" s="22">
        <f t="shared" si="163"/>
        <v>3.4759363184622112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435.00000000000023</v>
      </c>
      <c r="AJ187" s="13">
        <f>AI187*VLOOKUP('Données projet'!$B$10,Paramètres!$A$1:$I$89,3,0)*VLOOKUP('Données projet'!$B$10,Paramètres!$A$1:$I$89,5,0)</f>
        <v>260.13000000000017</v>
      </c>
      <c r="AK187" s="13">
        <f t="shared" si="164"/>
        <v>62.75008789651104</v>
      </c>
      <c r="AL187" s="20">
        <f t="shared" si="165"/>
        <v>562.349486419757</v>
      </c>
      <c r="AM187" s="59">
        <f t="shared" si="113"/>
        <v>855.68281975309037</v>
      </c>
      <c r="AN187" s="59">
        <f ca="1">AVERAGE(OFFSET($AM$3,0,0,'Données projet'!$E$10+1,1))-AVERAGE(OFFSET($H$3,0,0,'Données projet'!$E$10+1,1))</f>
        <v>247.08914525784144</v>
      </c>
      <c r="AO187" s="59">
        <f t="shared" si="144"/>
        <v>286.9617518796191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3.0745396808786301</v>
      </c>
      <c r="AV187" s="21">
        <f>EXP(-LN(2)/25)*AV186+(1-EXP(-LN(2)/25))/(LN(2)/25)*Calculateur!AQ187*Calculateur!AS187*VLOOKUP('Données projet'!$B$10,Paramètres!$A$1:$I$89,3,0)*0.475*44/12</f>
        <v>1.028167219566027</v>
      </c>
      <c r="AW187" s="21">
        <f>EXP(-LN(2)/2)*AW186+(1-EXP(-LN(2)/2))/(LN(2)/2)*AQ187*AT187*VLOOKUP('Données projet'!$B$10,Paramètres!$A$1:$I$89,3,0)*0.475*44/12</f>
        <v>1.2173431778175704E-18</v>
      </c>
      <c r="AX187" s="21">
        <f t="shared" si="166"/>
        <v>4.102706900444657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318.99999999999994</v>
      </c>
      <c r="BE187" s="13">
        <f>BD187*VLOOKUP('Données projet'!$B$11,Paramètres!$A$1:$I$89,3,0)*VLOOKUP('Données projet'!$B$11,Paramètres!$A$1:$I$89,5,0)</f>
        <v>253.79639999999995</v>
      </c>
      <c r="BF187" s="13">
        <f t="shared" si="167"/>
        <v>61.398168322280704</v>
      </c>
      <c r="BG187" s="20">
        <f t="shared" si="168"/>
        <v>548.9638731613054</v>
      </c>
      <c r="BH187" s="59">
        <f t="shared" si="116"/>
        <v>842.29720649463866</v>
      </c>
      <c r="BI187" s="59">
        <f ca="1">AVERAGE(OFFSET($BH$3,0,0,'Données projet'!$E$11+1,1))-AVERAGE(OFFSET($H$3,0,0,'Données projet'!$E$11+1,1))</f>
        <v>280.45463274302153</v>
      </c>
      <c r="BJ187" s="59">
        <f t="shared" si="146"/>
        <v>276.06968650495287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5.2152408097908776</v>
      </c>
      <c r="BQ187" s="21">
        <f>EXP(-LN(2)/25)*BQ186+(1-EXP(-LN(2)/25))/(LN(2)/25)*Calculateur!BL187*Calculateur!BN187*VLOOKUP('Données projet'!$B$11,Paramètres!$A$1:$I$89,3,0)*0.475*44/12</f>
        <v>0.14302057546022959</v>
      </c>
      <c r="BR187" s="21">
        <f>EXP(-LN(2)/2)*BR186+(1-EXP(-LN(2)/2))/(LN(2)/2)*BL187*BO187*VLOOKUP('Données projet'!$B$11,Paramètres!$A$1:$I$89,3,0)*0.475*44/12</f>
        <v>1.3617848062564786E-16</v>
      </c>
      <c r="BS187" s="22">
        <f t="shared" si="169"/>
        <v>5.3582613852511072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86.58000000000041</v>
      </c>
      <c r="D188" s="11">
        <f t="shared" si="140"/>
        <v>23.73855284473407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851.58181143303818</v>
      </c>
      <c r="H188" s="67">
        <f t="shared" si="110"/>
        <v>485.4714795379125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197.99999999999994</v>
      </c>
      <c r="O188" s="13">
        <f>N188*VLOOKUP('Données projet'!$B$9,Paramètres!$A$1:$I$89,3,0)*VLOOKUP('Données projet'!$B$9,Paramètres!$A$1:$I$89,5,0)</f>
        <v>123.55199999999995</v>
      </c>
      <c r="P188" s="13">
        <f t="shared" si="141"/>
        <v>32.502033262579566</v>
      </c>
      <c r="Q188" s="20">
        <f t="shared" si="162"/>
        <v>271.79410793232597</v>
      </c>
      <c r="R188" s="59">
        <f t="shared" si="109"/>
        <v>565.12744126565929</v>
      </c>
      <c r="S188" s="59">
        <f ca="1">AVERAGE(OFFSET($R$3,0,0,'Données projet'!$E$9+1,1))-AVERAGE(OFFSET($H$3,0,0,'Données projet'!$E$9+1,1))</f>
        <v>168.81286953191102</v>
      </c>
      <c r="T188" s="59">
        <f t="shared" si="142"/>
        <v>255.78677933103666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2.3520337704286622</v>
      </c>
      <c r="AA188" s="21">
        <f>EXP(-LN(2)/25)*AA187+(1-EXP(-LN(2)/25))/(LN(2)/25)*Calculateur!V188*Calculateur!X188*VLOOKUP('Données projet'!$B$9,Paramètres!$A$1:$I$89,3,0)*0.475*44/12</f>
        <v>1.0474113461876478</v>
      </c>
      <c r="AB188" s="21">
        <f>EXP(-LN(2)/2)*AB187+(1-EXP(-LN(2)/2))/(LN(2)/2)*V188*Y188*VLOOKUP('Données projet'!$B$9,Paramètres!$A$1:$I$89,3,0)*0.475*44/12</f>
        <v>9.1655643355688751E-21</v>
      </c>
      <c r="AC188" s="22">
        <f t="shared" si="163"/>
        <v>3.39944511661631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435.00000000000023</v>
      </c>
      <c r="AJ188" s="13">
        <f>AI188*VLOOKUP('Données projet'!$B$10,Paramètres!$A$1:$I$89,3,0)*VLOOKUP('Données projet'!$B$10,Paramètres!$A$1:$I$89,5,0)</f>
        <v>260.13000000000017</v>
      </c>
      <c r="AK188" s="13">
        <f t="shared" si="164"/>
        <v>62.75008789651104</v>
      </c>
      <c r="AL188" s="20">
        <f t="shared" si="165"/>
        <v>562.349486419757</v>
      </c>
      <c r="AM188" s="59">
        <f t="shared" si="113"/>
        <v>855.68281975309037</v>
      </c>
      <c r="AN188" s="59">
        <f ca="1">AVERAGE(OFFSET($AM$3,0,0,'Données projet'!$E$10+1,1))-AVERAGE(OFFSET($H$3,0,0,'Données projet'!$E$10+1,1))</f>
        <v>247.08914525784144</v>
      </c>
      <c r="AO188" s="59">
        <f t="shared" si="144"/>
        <v>286.9617518796191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3.0142498330206364</v>
      </c>
      <c r="AV188" s="21">
        <f>EXP(-LN(2)/25)*AV187+(1-EXP(-LN(2)/25))/(LN(2)/25)*Calculateur!AQ188*Calculateur!AS188*VLOOKUP('Données projet'!$B$10,Paramètres!$A$1:$I$89,3,0)*0.475*44/12</f>
        <v>1.0000519328780297</v>
      </c>
      <c r="AW188" s="21">
        <f>EXP(-LN(2)/2)*AW187+(1-EXP(-LN(2)/2))/(LN(2)/2)*AQ188*AT188*VLOOKUP('Données projet'!$B$10,Paramètres!$A$1:$I$89,3,0)*0.475*44/12</f>
        <v>8.6079161606598522E-19</v>
      </c>
      <c r="AX188" s="21">
        <f t="shared" si="166"/>
        <v>4.0143017658986659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318.99999999999994</v>
      </c>
      <c r="BE188" s="13">
        <f>BD188*VLOOKUP('Données projet'!$B$11,Paramètres!$A$1:$I$89,3,0)*VLOOKUP('Données projet'!$B$11,Paramètres!$A$1:$I$89,5,0)</f>
        <v>253.79639999999995</v>
      </c>
      <c r="BF188" s="13">
        <f t="shared" si="167"/>
        <v>61.398168322280704</v>
      </c>
      <c r="BG188" s="20">
        <f t="shared" si="168"/>
        <v>548.9638731613054</v>
      </c>
      <c r="BH188" s="59">
        <f t="shared" si="116"/>
        <v>842.29720649463866</v>
      </c>
      <c r="BI188" s="59">
        <f ca="1">AVERAGE(OFFSET($BH$3,0,0,'Données projet'!$E$11+1,1))-AVERAGE(OFFSET($H$3,0,0,'Données projet'!$E$11+1,1))</f>
        <v>280.45463274302153</v>
      </c>
      <c r="BJ188" s="59">
        <f t="shared" si="146"/>
        <v>276.06968650495287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5.1129731184936764</v>
      </c>
      <c r="BQ188" s="21">
        <f>EXP(-LN(2)/25)*BQ187+(1-EXP(-LN(2)/25))/(LN(2)/25)*Calculateur!BL188*Calculateur!BN188*VLOOKUP('Données projet'!$B$11,Paramètres!$A$1:$I$89,3,0)*0.475*44/12</f>
        <v>0.13910967030314442</v>
      </c>
      <c r="BR188" s="21">
        <f>EXP(-LN(2)/2)*BR187+(1-EXP(-LN(2)/2))/(LN(2)/2)*BL188*BO188*VLOOKUP('Données projet'!$B$11,Paramètres!$A$1:$I$89,3,0)*0.475*44/12</f>
        <v>9.6292727102076481E-17</v>
      </c>
      <c r="BS188" s="22">
        <f t="shared" si="169"/>
        <v>5.2520827887968204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87.048000000000414</v>
      </c>
      <c r="D189" s="11">
        <f t="shared" si="140"/>
        <v>23.851897708444977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856.06938581957854</v>
      </c>
      <c r="H189" s="67">
        <f t="shared" si="110"/>
        <v>486.48398850887571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197.99999999999994</v>
      </c>
      <c r="O189" s="13">
        <f>N189*VLOOKUP('Données projet'!$B$9,Paramètres!$A$1:$I$89,3,0)*VLOOKUP('Données projet'!$B$9,Paramètres!$A$1:$I$89,5,0)</f>
        <v>123.55199999999995</v>
      </c>
      <c r="P189" s="13">
        <f t="shared" si="141"/>
        <v>32.502033262579566</v>
      </c>
      <c r="Q189" s="20">
        <f t="shared" si="162"/>
        <v>271.79410793232597</v>
      </c>
      <c r="R189" s="59">
        <f t="shared" si="109"/>
        <v>565.12744126565929</v>
      </c>
      <c r="S189" s="59">
        <f ca="1">AVERAGE(OFFSET($R$3,0,0,'Données projet'!$E$9+1,1))-AVERAGE(OFFSET($H$3,0,0,'Données projet'!$E$9+1,1))</f>
        <v>168.81286953191102</v>
      </c>
      <c r="T189" s="59">
        <f t="shared" si="142"/>
        <v>255.78677933103666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2.3059118227895015</v>
      </c>
      <c r="AA189" s="21">
        <f>EXP(-LN(2)/25)*AA188+(1-EXP(-LN(2)/25))/(LN(2)/25)*Calculateur!V189*Calculateur!X189*VLOOKUP('Données projet'!$B$9,Paramètres!$A$1:$I$89,3,0)*0.475*44/12</f>
        <v>1.0187698278451778</v>
      </c>
      <c r="AB189" s="21">
        <f>EXP(-LN(2)/2)*AB188+(1-EXP(-LN(2)/2))/(LN(2)/2)*V189*Y189*VLOOKUP('Données projet'!$B$9,Paramètres!$A$1:$I$89,3,0)*0.475*44/12</f>
        <v>6.4810326950823245E-21</v>
      </c>
      <c r="AC189" s="22">
        <f t="shared" si="163"/>
        <v>3.3246816506346795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435.00000000000023</v>
      </c>
      <c r="AJ189" s="13">
        <f>AI189*VLOOKUP('Données projet'!$B$10,Paramètres!$A$1:$I$89,3,0)*VLOOKUP('Données projet'!$B$10,Paramètres!$A$1:$I$89,5,0)</f>
        <v>260.13000000000017</v>
      </c>
      <c r="AK189" s="13">
        <f t="shared" si="164"/>
        <v>62.75008789651104</v>
      </c>
      <c r="AL189" s="20">
        <f t="shared" si="165"/>
        <v>562.349486419757</v>
      </c>
      <c r="AM189" s="59">
        <f t="shared" si="113"/>
        <v>855.68281975309037</v>
      </c>
      <c r="AN189" s="59">
        <f ca="1">AVERAGE(OFFSET($AM$3,0,0,'Données projet'!$E$10+1,1))-AVERAGE(OFFSET($H$3,0,0,'Données projet'!$E$10+1,1))</f>
        <v>247.08914525784144</v>
      </c>
      <c r="AO189" s="59">
        <f t="shared" si="144"/>
        <v>286.9617518796191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2.955142232305962</v>
      </c>
      <c r="AV189" s="21">
        <f>EXP(-LN(2)/25)*AV188+(1-EXP(-LN(2)/25))/(LN(2)/25)*Calculateur!AQ189*Calculateur!AS189*VLOOKUP('Données projet'!$B$10,Paramètres!$A$1:$I$89,3,0)*0.475*44/12</f>
        <v>0.9727054601830345</v>
      </c>
      <c r="AW189" s="21">
        <f>EXP(-LN(2)/2)*AW188+(1-EXP(-LN(2)/2))/(LN(2)/2)*AQ189*AT189*VLOOKUP('Données projet'!$B$10,Paramètres!$A$1:$I$89,3,0)*0.475*44/12</f>
        <v>6.0867158890878531E-19</v>
      </c>
      <c r="AX189" s="21">
        <f t="shared" si="166"/>
        <v>3.9278476924889967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318.99999999999994</v>
      </c>
      <c r="BE189" s="13">
        <f>BD189*VLOOKUP('Données projet'!$B$11,Paramètres!$A$1:$I$89,3,0)*VLOOKUP('Données projet'!$B$11,Paramètres!$A$1:$I$89,5,0)</f>
        <v>253.79639999999995</v>
      </c>
      <c r="BF189" s="13">
        <f t="shared" si="167"/>
        <v>61.398168322280704</v>
      </c>
      <c r="BG189" s="20">
        <f t="shared" si="168"/>
        <v>548.9638731613054</v>
      </c>
      <c r="BH189" s="59">
        <f t="shared" si="116"/>
        <v>842.29720649463866</v>
      </c>
      <c r="BI189" s="59">
        <f ca="1">AVERAGE(OFFSET($BH$3,0,0,'Données projet'!$E$11+1,1))-AVERAGE(OFFSET($H$3,0,0,'Données projet'!$E$11+1,1))</f>
        <v>280.45463274302153</v>
      </c>
      <c r="BJ189" s="59">
        <f t="shared" si="146"/>
        <v>276.06968650495287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5.0127108342456808</v>
      </c>
      <c r="BQ189" s="21">
        <f>EXP(-LN(2)/25)*BQ188+(1-EXP(-LN(2)/25))/(LN(2)/25)*Calculateur!BL189*Calculateur!BN189*VLOOKUP('Données projet'!$B$11,Paramètres!$A$1:$I$89,3,0)*0.475*44/12</f>
        <v>0.13530570905324532</v>
      </c>
      <c r="BR189" s="21">
        <f>EXP(-LN(2)/2)*BR188+(1-EXP(-LN(2)/2))/(LN(2)/2)*BL189*BO189*VLOOKUP('Données projet'!$B$11,Paramètres!$A$1:$I$89,3,0)*0.475*44/12</f>
        <v>6.8089240312823928E-17</v>
      </c>
      <c r="BS189" s="22">
        <f t="shared" si="169"/>
        <v>5.148016543298926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87.516000000000417</v>
      </c>
      <c r="D190" s="11">
        <f t="shared" si="140"/>
        <v>23.96517166203774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860.55641282976819</v>
      </c>
      <c r="H190" s="67">
        <f t="shared" si="110"/>
        <v>487.49637397804975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197.99999999999994</v>
      </c>
      <c r="O190" s="13">
        <f>N190*VLOOKUP('Données projet'!$B$9,Paramètres!$A$1:$I$89,3,0)*VLOOKUP('Données projet'!$B$9,Paramètres!$A$1:$I$89,5,0)</f>
        <v>123.55199999999995</v>
      </c>
      <c r="P190" s="13">
        <f t="shared" si="141"/>
        <v>32.502033262579566</v>
      </c>
      <c r="Q190" s="20">
        <f t="shared" si="162"/>
        <v>271.79410793232597</v>
      </c>
      <c r="R190" s="59">
        <f t="shared" si="109"/>
        <v>565.12744126565929</v>
      </c>
      <c r="S190" s="59">
        <f ca="1">AVERAGE(OFFSET($R$3,0,0,'Données projet'!$E$9+1,1))-AVERAGE(OFFSET($H$3,0,0,'Données projet'!$E$9+1,1))</f>
        <v>168.81286953191102</v>
      </c>
      <c r="T190" s="59">
        <f t="shared" si="142"/>
        <v>255.78677933103666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2.2606942984119343</v>
      </c>
      <c r="AA190" s="21">
        <f>EXP(-LN(2)/25)*AA189+(1-EXP(-LN(2)/25))/(LN(2)/25)*Calculateur!V190*Calculateur!X190*VLOOKUP('Données projet'!$B$9,Paramètres!$A$1:$I$89,3,0)*0.475*44/12</f>
        <v>0.99091151332797456</v>
      </c>
      <c r="AB190" s="21">
        <f>EXP(-LN(2)/2)*AB189+(1-EXP(-LN(2)/2))/(LN(2)/2)*V190*Y190*VLOOKUP('Données projet'!$B$9,Paramètres!$A$1:$I$89,3,0)*0.475*44/12</f>
        <v>4.5827821677844376E-21</v>
      </c>
      <c r="AC190" s="22">
        <f t="shared" si="163"/>
        <v>3.2516058117399087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435.00000000000023</v>
      </c>
      <c r="AJ190" s="13">
        <f>AI190*VLOOKUP('Données projet'!$B$10,Paramètres!$A$1:$I$89,3,0)*VLOOKUP('Données projet'!$B$10,Paramètres!$A$1:$I$89,5,0)</f>
        <v>260.13000000000017</v>
      </c>
      <c r="AK190" s="13">
        <f t="shared" si="164"/>
        <v>62.75008789651104</v>
      </c>
      <c r="AL190" s="20">
        <f t="shared" si="165"/>
        <v>562.349486419757</v>
      </c>
      <c r="AM190" s="59">
        <f t="shared" si="113"/>
        <v>855.68281975309037</v>
      </c>
      <c r="AN190" s="59">
        <f ca="1">AVERAGE(OFFSET($AM$3,0,0,'Données projet'!$E$10+1,1))-AVERAGE(OFFSET($H$3,0,0,'Données projet'!$E$10+1,1))</f>
        <v>247.08914525784144</v>
      </c>
      <c r="AO190" s="59">
        <f t="shared" si="144"/>
        <v>286.9617518796191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2.8971936955892259</v>
      </c>
      <c r="AV190" s="21">
        <f>EXP(-LN(2)/25)*AV189+(1-EXP(-LN(2)/25))/(LN(2)/25)*Calculateur!AQ190*Calculateur!AS190*VLOOKUP('Données projet'!$B$10,Paramètres!$A$1:$I$89,3,0)*0.475*44/12</f>
        <v>0.94610677822197242</v>
      </c>
      <c r="AW190" s="21">
        <f>EXP(-LN(2)/2)*AW189+(1-EXP(-LN(2)/2))/(LN(2)/2)*AQ190*AT190*VLOOKUP('Données projet'!$B$10,Paramètres!$A$1:$I$89,3,0)*0.475*44/12</f>
        <v>4.303958080329927E-19</v>
      </c>
      <c r="AX190" s="21">
        <f t="shared" si="166"/>
        <v>3.8433004738111984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318.99999999999994</v>
      </c>
      <c r="BE190" s="13">
        <f>BD190*VLOOKUP('Données projet'!$B$11,Paramètres!$A$1:$I$89,3,0)*VLOOKUP('Données projet'!$B$11,Paramètres!$A$1:$I$89,5,0)</f>
        <v>253.79639999999995</v>
      </c>
      <c r="BF190" s="13">
        <f t="shared" si="167"/>
        <v>61.398168322280704</v>
      </c>
      <c r="BG190" s="20">
        <f t="shared" si="168"/>
        <v>548.9638731613054</v>
      </c>
      <c r="BH190" s="59">
        <f t="shared" si="116"/>
        <v>842.29720649463866</v>
      </c>
      <c r="BI190" s="59">
        <f ca="1">AVERAGE(OFFSET($BH$3,0,0,'Données projet'!$E$11+1,1))-AVERAGE(OFFSET($H$3,0,0,'Données projet'!$E$11+1,1))</f>
        <v>280.45463274302153</v>
      </c>
      <c r="BJ190" s="59">
        <f t="shared" si="146"/>
        <v>276.06968650495287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4.9144146322378335</v>
      </c>
      <c r="BQ190" s="21">
        <f>EXP(-LN(2)/25)*BQ189+(1-EXP(-LN(2)/25))/(LN(2)/25)*Calculateur!BL190*Calculateur!BN190*VLOOKUP('Données projet'!$B$11,Paramètres!$A$1:$I$89,3,0)*0.475*44/12</f>
        <v>0.13160576732376633</v>
      </c>
      <c r="BR190" s="21">
        <f>EXP(-LN(2)/2)*BR189+(1-EXP(-LN(2)/2))/(LN(2)/2)*BL190*BO190*VLOOKUP('Données projet'!$B$11,Paramètres!$A$1:$I$89,3,0)*0.475*44/12</f>
        <v>4.814636355103824E-17</v>
      </c>
      <c r="BS190" s="22">
        <f t="shared" si="169"/>
        <v>5.0460203995616002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87.984000000000421</v>
      </c>
      <c r="D191" s="11">
        <f t="shared" si="140"/>
        <v>24.078375128721891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865.042895730488</v>
      </c>
      <c r="H191" s="67">
        <f t="shared" si="110"/>
        <v>488.50863668252464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197.99999999999994</v>
      </c>
      <c r="O191" s="13">
        <f>N191*VLOOKUP('Données projet'!$B$9,Paramètres!$A$1:$I$89,3,0)*VLOOKUP('Données projet'!$B$9,Paramètres!$A$1:$I$89,5,0)</f>
        <v>123.55199999999995</v>
      </c>
      <c r="P191" s="13">
        <f t="shared" si="141"/>
        <v>32.502033262579566</v>
      </c>
      <c r="Q191" s="20">
        <f t="shared" si="162"/>
        <v>271.79410793232597</v>
      </c>
      <c r="R191" s="59">
        <f t="shared" si="109"/>
        <v>565.12744126565929</v>
      </c>
      <c r="S191" s="59">
        <f ca="1">AVERAGE(OFFSET($R$3,0,0,'Données projet'!$E$9+1,1))-AVERAGE(OFFSET($H$3,0,0,'Données projet'!$E$9+1,1))</f>
        <v>168.81286953191102</v>
      </c>
      <c r="T191" s="59">
        <f t="shared" si="142"/>
        <v>255.78677933103666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2.2163634621074446</v>
      </c>
      <c r="AA191" s="21">
        <f>EXP(-LN(2)/25)*AA190+(1-EXP(-LN(2)/25))/(LN(2)/25)*Calculateur!V191*Calculateur!X191*VLOOKUP('Données projet'!$B$9,Paramètres!$A$1:$I$89,3,0)*0.475*44/12</f>
        <v>0.96381498588624936</v>
      </c>
      <c r="AB191" s="21">
        <f>EXP(-LN(2)/2)*AB190+(1-EXP(-LN(2)/2))/(LN(2)/2)*V191*Y191*VLOOKUP('Données projet'!$B$9,Paramètres!$A$1:$I$89,3,0)*0.475*44/12</f>
        <v>3.2405163475411623E-21</v>
      </c>
      <c r="AC191" s="22">
        <f t="shared" si="163"/>
        <v>3.1801784479936939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435.00000000000023</v>
      </c>
      <c r="AJ191" s="13">
        <f>AI191*VLOOKUP('Données projet'!$B$10,Paramètres!$A$1:$I$89,3,0)*VLOOKUP('Données projet'!$B$10,Paramètres!$A$1:$I$89,5,0)</f>
        <v>260.13000000000017</v>
      </c>
      <c r="AK191" s="13">
        <f t="shared" si="164"/>
        <v>62.75008789651104</v>
      </c>
      <c r="AL191" s="20">
        <f t="shared" si="165"/>
        <v>562.349486419757</v>
      </c>
      <c r="AM191" s="59">
        <f t="shared" si="113"/>
        <v>855.68281975309037</v>
      </c>
      <c r="AN191" s="59">
        <f ca="1">AVERAGE(OFFSET($AM$3,0,0,'Données projet'!$E$10+1,1))-AVERAGE(OFFSET($H$3,0,0,'Données projet'!$E$10+1,1))</f>
        <v>247.08914525784144</v>
      </c>
      <c r="AO191" s="59">
        <f t="shared" si="144"/>
        <v>286.9617518796191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2.8403814943323873</v>
      </c>
      <c r="AV191" s="21">
        <f>EXP(-LN(2)/25)*AV190+(1-EXP(-LN(2)/25))/(LN(2)/25)*Calculateur!AQ191*Calculateur!AS191*VLOOKUP('Données projet'!$B$10,Paramètres!$A$1:$I$89,3,0)*0.475*44/12</f>
        <v>0.92023543861789947</v>
      </c>
      <c r="AW191" s="21">
        <f>EXP(-LN(2)/2)*AW190+(1-EXP(-LN(2)/2))/(LN(2)/2)*AQ191*AT191*VLOOKUP('Données projet'!$B$10,Paramètres!$A$1:$I$89,3,0)*0.475*44/12</f>
        <v>3.043357944543927E-19</v>
      </c>
      <c r="AX191" s="21">
        <f t="shared" si="166"/>
        <v>3.7606169329502865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318.99999999999994</v>
      </c>
      <c r="BE191" s="13">
        <f>BD191*VLOOKUP('Données projet'!$B$11,Paramètres!$A$1:$I$89,3,0)*VLOOKUP('Données projet'!$B$11,Paramètres!$A$1:$I$89,5,0)</f>
        <v>253.79639999999995</v>
      </c>
      <c r="BF191" s="13">
        <f t="shared" si="167"/>
        <v>61.398168322280704</v>
      </c>
      <c r="BG191" s="20">
        <f t="shared" si="168"/>
        <v>548.9638731613054</v>
      </c>
      <c r="BH191" s="59">
        <f t="shared" si="116"/>
        <v>842.29720649463866</v>
      </c>
      <c r="BI191" s="59">
        <f ca="1">AVERAGE(OFFSET($BH$3,0,0,'Données projet'!$E$11+1,1))-AVERAGE(OFFSET($H$3,0,0,'Données projet'!$E$11+1,1))</f>
        <v>280.45463274302153</v>
      </c>
      <c r="BJ191" s="59">
        <f t="shared" si="146"/>
        <v>276.06968650495287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4.8180459587965974</v>
      </c>
      <c r="BQ191" s="21">
        <f>EXP(-LN(2)/25)*BQ190+(1-EXP(-LN(2)/25))/(LN(2)/25)*Calculateur!BL191*Calculateur!BN191*VLOOKUP('Données projet'!$B$11,Paramètres!$A$1:$I$89,3,0)*0.475*44/12</f>
        <v>0.12800700069545143</v>
      </c>
      <c r="BR191" s="21">
        <f>EXP(-LN(2)/2)*BR190+(1-EXP(-LN(2)/2))/(LN(2)/2)*BL191*BO191*VLOOKUP('Données projet'!$B$11,Paramètres!$A$1:$I$89,3,0)*0.475*44/12</f>
        <v>3.4044620156411964E-17</v>
      </c>
      <c r="BS191" s="22">
        <f t="shared" si="169"/>
        <v>4.9460529594920484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88.452000000000425</v>
      </c>
      <c r="D192" s="11">
        <f t="shared" si="140"/>
        <v>24.191508526944062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869.52883775185228</v>
      </c>
      <c r="H192" s="67">
        <f t="shared" si="110"/>
        <v>489.52077735109492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197.99999999999994</v>
      </c>
      <c r="O192" s="13">
        <f>N192*VLOOKUP('Données projet'!$B$9,Paramètres!$A$1:$I$89,3,0)*VLOOKUP('Données projet'!$B$9,Paramètres!$A$1:$I$89,5,0)</f>
        <v>123.55199999999995</v>
      </c>
      <c r="P192" s="13">
        <f t="shared" si="141"/>
        <v>32.502033262579566</v>
      </c>
      <c r="Q192" s="20">
        <f t="shared" si="162"/>
        <v>271.79410793232597</v>
      </c>
      <c r="R192" s="59">
        <f t="shared" si="109"/>
        <v>565.12744126565929</v>
      </c>
      <c r="S192" s="59">
        <f ca="1">AVERAGE(OFFSET($R$3,0,0,'Données projet'!$E$9+1,1))-AVERAGE(OFFSET($H$3,0,0,'Données projet'!$E$9+1,1))</f>
        <v>168.81286953191102</v>
      </c>
      <c r="T192" s="59">
        <f t="shared" si="142"/>
        <v>255.78677933103666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2.1729019264637457</v>
      </c>
      <c r="AA192" s="21">
        <f>EXP(-LN(2)/25)*AA191+(1-EXP(-LN(2)/25))/(LN(2)/25)*Calculateur!V192*Calculateur!X192*VLOOKUP('Données projet'!$B$9,Paramètres!$A$1:$I$89,3,0)*0.475*44/12</f>
        <v>0.93745941441236258</v>
      </c>
      <c r="AB192" s="21">
        <f>EXP(-LN(2)/2)*AB191+(1-EXP(-LN(2)/2))/(LN(2)/2)*V192*Y192*VLOOKUP('Données projet'!$B$9,Paramètres!$A$1:$I$89,3,0)*0.475*44/12</f>
        <v>2.2913910838922188E-21</v>
      </c>
      <c r="AC192" s="22">
        <f t="shared" si="163"/>
        <v>3.1103613408761084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435.00000000000023</v>
      </c>
      <c r="AJ192" s="13">
        <f>AI192*VLOOKUP('Données projet'!$B$10,Paramètres!$A$1:$I$89,3,0)*VLOOKUP('Données projet'!$B$10,Paramètres!$A$1:$I$89,5,0)</f>
        <v>260.13000000000017</v>
      </c>
      <c r="AK192" s="13">
        <f t="shared" si="164"/>
        <v>62.75008789651104</v>
      </c>
      <c r="AL192" s="20">
        <f t="shared" si="165"/>
        <v>562.349486419757</v>
      </c>
      <c r="AM192" s="59">
        <f t="shared" si="113"/>
        <v>855.68281975309037</v>
      </c>
      <c r="AN192" s="59">
        <f ca="1">AVERAGE(OFFSET($AM$3,0,0,'Données projet'!$E$10+1,1))-AVERAGE(OFFSET($H$3,0,0,'Données projet'!$E$10+1,1))</f>
        <v>247.08914525784144</v>
      </c>
      <c r="AO192" s="59">
        <f t="shared" si="144"/>
        <v>286.9617518796191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2.7846833456901745</v>
      </c>
      <c r="AV192" s="21">
        <f>EXP(-LN(2)/25)*AV191+(1-EXP(-LN(2)/25))/(LN(2)/25)*Calculateur!AQ192*Calculateur!AS192*VLOOKUP('Données projet'!$B$10,Paramètres!$A$1:$I$89,3,0)*0.475*44/12</f>
        <v>0.89507155215581446</v>
      </c>
      <c r="AW192" s="21">
        <f>EXP(-LN(2)/2)*AW191+(1-EXP(-LN(2)/2))/(LN(2)/2)*AQ192*AT192*VLOOKUP('Données projet'!$B$10,Paramètres!$A$1:$I$89,3,0)*0.475*44/12</f>
        <v>2.1519790401649638E-19</v>
      </c>
      <c r="AX192" s="21">
        <f t="shared" si="166"/>
        <v>3.6797548978459891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318.99999999999994</v>
      </c>
      <c r="BE192" s="13">
        <f>BD192*VLOOKUP('Données projet'!$B$11,Paramètres!$A$1:$I$89,3,0)*VLOOKUP('Données projet'!$B$11,Paramètres!$A$1:$I$89,5,0)</f>
        <v>253.79639999999995</v>
      </c>
      <c r="BF192" s="13">
        <f t="shared" si="167"/>
        <v>61.398168322280704</v>
      </c>
      <c r="BG192" s="20">
        <f t="shared" si="168"/>
        <v>548.9638731613054</v>
      </c>
      <c r="BH192" s="59">
        <f t="shared" si="116"/>
        <v>842.29720649463866</v>
      </c>
      <c r="BI192" s="59">
        <f ca="1">AVERAGE(OFFSET($BH$3,0,0,'Données projet'!$E$11+1,1))-AVERAGE(OFFSET($H$3,0,0,'Données projet'!$E$11+1,1))</f>
        <v>280.45463274302153</v>
      </c>
      <c r="BJ192" s="59">
        <f t="shared" si="146"/>
        <v>276.06968650495287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4.7235670162624563</v>
      </c>
      <c r="BQ192" s="21">
        <f>EXP(-LN(2)/25)*BQ191+(1-EXP(-LN(2)/25))/(LN(2)/25)*Calculateur!BL192*Calculateur!BN192*VLOOKUP('Données projet'!$B$11,Paramètres!$A$1:$I$89,3,0)*0.475*44/12</f>
        <v>0.1245066425298387</v>
      </c>
      <c r="BR192" s="21">
        <f>EXP(-LN(2)/2)*BR191+(1-EXP(-LN(2)/2))/(LN(2)/2)*BL192*BO192*VLOOKUP('Données projet'!$B$11,Paramètres!$A$1:$I$89,3,0)*0.475*44/12</f>
        <v>2.407318177551912E-17</v>
      </c>
      <c r="BS192" s="22">
        <f t="shared" si="169"/>
        <v>4.8480736587922948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88.920000000000428</v>
      </c>
      <c r="D193" s="11">
        <f t="shared" si="140"/>
        <v>24.304572270466586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874.01424208781555</v>
      </c>
      <c r="H193" s="67">
        <f t="shared" si="110"/>
        <v>490.53279670439667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197.99999999999994</v>
      </c>
      <c r="O193" s="13">
        <f>N193*VLOOKUP('Données projet'!$B$9,Paramètres!$A$1:$I$89,3,0)*VLOOKUP('Données projet'!$B$9,Paramètres!$A$1:$I$89,5,0)</f>
        <v>123.55199999999995</v>
      </c>
      <c r="P193" s="13">
        <f t="shared" si="141"/>
        <v>32.502033262579566</v>
      </c>
      <c r="Q193" s="20">
        <f t="shared" si="162"/>
        <v>271.79410793232597</v>
      </c>
      <c r="R193" s="59">
        <f t="shared" si="109"/>
        <v>565.12744126565929</v>
      </c>
      <c r="S193" s="59">
        <f ca="1">AVERAGE(OFFSET($R$3,0,0,'Données projet'!$E$9+1,1))-AVERAGE(OFFSET($H$3,0,0,'Données projet'!$E$9+1,1))</f>
        <v>168.81286953191102</v>
      </c>
      <c r="T193" s="59">
        <f t="shared" si="142"/>
        <v>255.78677933103666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2.1302926450251003</v>
      </c>
      <c r="AA193" s="21">
        <f>EXP(-LN(2)/25)*AA192+(1-EXP(-LN(2)/25))/(LN(2)/25)*Calculateur!V193*Calculateur!X193*VLOOKUP('Données projet'!$B$9,Paramètres!$A$1:$I$89,3,0)*0.475*44/12</f>
        <v>0.91182453742640857</v>
      </c>
      <c r="AB193" s="21">
        <f>EXP(-LN(2)/2)*AB192+(1-EXP(-LN(2)/2))/(LN(2)/2)*V193*Y193*VLOOKUP('Données projet'!$B$9,Paramètres!$A$1:$I$89,3,0)*0.475*44/12</f>
        <v>1.6202581737705811E-21</v>
      </c>
      <c r="AC193" s="22">
        <f t="shared" si="163"/>
        <v>3.0421171824515088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435.00000000000023</v>
      </c>
      <c r="AJ193" s="13">
        <f>AI193*VLOOKUP('Données projet'!$B$10,Paramètres!$A$1:$I$89,3,0)*VLOOKUP('Données projet'!$B$10,Paramètres!$A$1:$I$89,5,0)</f>
        <v>260.13000000000017</v>
      </c>
      <c r="AK193" s="13">
        <f t="shared" si="164"/>
        <v>62.75008789651104</v>
      </c>
      <c r="AL193" s="20">
        <f t="shared" si="165"/>
        <v>562.349486419757</v>
      </c>
      <c r="AM193" s="59">
        <f t="shared" si="113"/>
        <v>855.68281975309037</v>
      </c>
      <c r="AN193" s="59">
        <f ca="1">AVERAGE(OFFSET($AM$3,0,0,'Données projet'!$E$10+1,1))-AVERAGE(OFFSET($H$3,0,0,'Données projet'!$E$10+1,1))</f>
        <v>247.08914525784144</v>
      </c>
      <c r="AO193" s="59">
        <f t="shared" si="144"/>
        <v>286.9617518796191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2.730077403770319</v>
      </c>
      <c r="AV193" s="21">
        <f>EXP(-LN(2)/25)*AV192+(1-EXP(-LN(2)/25))/(LN(2)/25)*Calculateur!AQ193*Calculateur!AS193*VLOOKUP('Données projet'!$B$10,Paramètres!$A$1:$I$89,3,0)*0.475*44/12</f>
        <v>0.87059577349234651</v>
      </c>
      <c r="AW193" s="21">
        <f>EXP(-LN(2)/2)*AW192+(1-EXP(-LN(2)/2))/(LN(2)/2)*AQ193*AT193*VLOOKUP('Données projet'!$B$10,Paramètres!$A$1:$I$89,3,0)*0.475*44/12</f>
        <v>1.5216789722719638E-19</v>
      </c>
      <c r="AX193" s="21">
        <f t="shared" si="166"/>
        <v>3.6006731772626654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318.99999999999994</v>
      </c>
      <c r="BE193" s="13">
        <f>BD193*VLOOKUP('Données projet'!$B$11,Paramètres!$A$1:$I$89,3,0)*VLOOKUP('Données projet'!$B$11,Paramètres!$A$1:$I$89,5,0)</f>
        <v>253.79639999999995</v>
      </c>
      <c r="BF193" s="13">
        <f t="shared" si="167"/>
        <v>61.398168322280704</v>
      </c>
      <c r="BG193" s="20">
        <f t="shared" si="168"/>
        <v>548.9638731613054</v>
      </c>
      <c r="BH193" s="59">
        <f t="shared" si="116"/>
        <v>842.29720649463866</v>
      </c>
      <c r="BI193" s="59">
        <f ca="1">AVERAGE(OFFSET($BH$3,0,0,'Données projet'!$E$11+1,1))-AVERAGE(OFFSET($H$3,0,0,'Données projet'!$E$11+1,1))</f>
        <v>280.45463274302153</v>
      </c>
      <c r="BJ193" s="59">
        <f t="shared" si="146"/>
        <v>276.06968650495287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4.6309407481649449</v>
      </c>
      <c r="BQ193" s="21">
        <f>EXP(-LN(2)/25)*BQ192+(1-EXP(-LN(2)/25))/(LN(2)/25)*Calculateur!BL193*Calculateur!BN193*VLOOKUP('Données projet'!$B$11,Paramètres!$A$1:$I$89,3,0)*0.475*44/12</f>
        <v>0.12110200184234049</v>
      </c>
      <c r="BR193" s="21">
        <f>EXP(-LN(2)/2)*BR192+(1-EXP(-LN(2)/2))/(LN(2)/2)*BL193*BO193*VLOOKUP('Données projet'!$B$11,Paramètres!$A$1:$I$89,3,0)*0.475*44/12</f>
        <v>1.7022310078205982E-17</v>
      </c>
      <c r="BS193" s="22">
        <f t="shared" si="169"/>
        <v>4.752042750007285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89.388000000000432</v>
      </c>
      <c r="D194" s="11">
        <f t="shared" si="140"/>
        <v>24.417566768444267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878.49911189676607</v>
      </c>
      <c r="H194" s="67">
        <f t="shared" si="110"/>
        <v>491.54469545504116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197.99999999999994</v>
      </c>
      <c r="O194" s="13">
        <f>N194*VLOOKUP('Données projet'!$B$9,Paramètres!$A$1:$I$89,3,0)*VLOOKUP('Données projet'!$B$9,Paramètres!$A$1:$I$89,5,0)</f>
        <v>123.55199999999995</v>
      </c>
      <c r="P194" s="13">
        <f t="shared" si="141"/>
        <v>32.502033262579566</v>
      </c>
      <c r="Q194" s="20">
        <f t="shared" si="162"/>
        <v>271.79410793232597</v>
      </c>
      <c r="R194" s="59">
        <f t="shared" si="109"/>
        <v>565.12744126565929</v>
      </c>
      <c r="S194" s="59">
        <f ca="1">AVERAGE(OFFSET($R$3,0,0,'Données projet'!$E$9+1,1))-AVERAGE(OFFSET($H$3,0,0,'Données projet'!$E$9+1,1))</f>
        <v>168.81286953191102</v>
      </c>
      <c r="T194" s="59">
        <f t="shared" si="142"/>
        <v>255.78677933103666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2.0885189056063713</v>
      </c>
      <c r="AA194" s="21">
        <f>EXP(-LN(2)/25)*AA193+(1-EXP(-LN(2)/25))/(LN(2)/25)*Calculateur!V194*Calculateur!X194*VLOOKUP('Données projet'!$B$9,Paramètres!$A$1:$I$89,3,0)*0.475*44/12</f>
        <v>0.88689064749971502</v>
      </c>
      <c r="AB194" s="21">
        <f>EXP(-LN(2)/2)*AB193+(1-EXP(-LN(2)/2))/(LN(2)/2)*V194*Y194*VLOOKUP('Données projet'!$B$9,Paramètres!$A$1:$I$89,3,0)*0.475*44/12</f>
        <v>1.1456955419461094E-21</v>
      </c>
      <c r="AC194" s="22">
        <f t="shared" si="163"/>
        <v>2.9754095531060862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435.00000000000023</v>
      </c>
      <c r="AJ194" s="13">
        <f>AI194*VLOOKUP('Données projet'!$B$10,Paramètres!$A$1:$I$89,3,0)*VLOOKUP('Données projet'!$B$10,Paramètres!$A$1:$I$89,5,0)</f>
        <v>260.13000000000017</v>
      </c>
      <c r="AK194" s="13">
        <f t="shared" si="164"/>
        <v>62.75008789651104</v>
      </c>
      <c r="AL194" s="20">
        <f t="shared" si="165"/>
        <v>562.349486419757</v>
      </c>
      <c r="AM194" s="59">
        <f t="shared" si="113"/>
        <v>855.68281975309037</v>
      </c>
      <c r="AN194" s="59">
        <f ca="1">AVERAGE(OFFSET($AM$3,0,0,'Données projet'!$E$10+1,1))-AVERAGE(OFFSET($H$3,0,0,'Données projet'!$E$10+1,1))</f>
        <v>247.08914525784144</v>
      </c>
      <c r="AO194" s="59">
        <f t="shared" si="144"/>
        <v>286.9617518796191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2.6765422510651762</v>
      </c>
      <c r="AV194" s="21">
        <f>EXP(-LN(2)/25)*AV193+(1-EXP(-LN(2)/25))/(LN(2)/25)*Calculateur!AQ194*Calculateur!AS194*VLOOKUP('Données projet'!$B$10,Paramètres!$A$1:$I$89,3,0)*0.475*44/12</f>
        <v>0.84678928628355632</v>
      </c>
      <c r="AW194" s="21">
        <f>EXP(-LN(2)/2)*AW193+(1-EXP(-LN(2)/2))/(LN(2)/2)*AQ194*AT194*VLOOKUP('Données projet'!$B$10,Paramètres!$A$1:$I$89,3,0)*0.475*44/12</f>
        <v>1.0759895200824821E-19</v>
      </c>
      <c r="AX194" s="21">
        <f t="shared" si="166"/>
        <v>3.5233315373487324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318.99999999999994</v>
      </c>
      <c r="BE194" s="13">
        <f>BD194*VLOOKUP('Données projet'!$B$11,Paramètres!$A$1:$I$89,3,0)*VLOOKUP('Données projet'!$B$11,Paramètres!$A$1:$I$89,5,0)</f>
        <v>253.79639999999995</v>
      </c>
      <c r="BF194" s="13">
        <f t="shared" si="167"/>
        <v>61.398168322280704</v>
      </c>
      <c r="BG194" s="20">
        <f t="shared" si="168"/>
        <v>548.9638731613054</v>
      </c>
      <c r="BH194" s="59">
        <f t="shared" si="116"/>
        <v>842.29720649463866</v>
      </c>
      <c r="BI194" s="59">
        <f ca="1">AVERAGE(OFFSET($BH$3,0,0,'Données projet'!$E$11+1,1))-AVERAGE(OFFSET($H$3,0,0,'Données projet'!$E$11+1,1))</f>
        <v>280.45463274302153</v>
      </c>
      <c r="BJ194" s="59">
        <f t="shared" si="146"/>
        <v>276.06968650495287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4.5401308246883811</v>
      </c>
      <c r="BQ194" s="21">
        <f>EXP(-LN(2)/25)*BQ193+(1-EXP(-LN(2)/25))/(LN(2)/25)*Calculateur!BL194*Calculateur!BN194*VLOOKUP('Données projet'!$B$11,Paramètres!$A$1:$I$89,3,0)*0.475*44/12</f>
        <v>0.11779046123348419</v>
      </c>
      <c r="BR194" s="21">
        <f>EXP(-LN(2)/2)*BR193+(1-EXP(-LN(2)/2))/(LN(2)/2)*BL194*BO194*VLOOKUP('Données projet'!$B$11,Paramètres!$A$1:$I$89,3,0)*0.475*44/12</f>
        <v>1.203659088775956E-17</v>
      </c>
      <c r="BS194" s="22">
        <f t="shared" si="169"/>
        <v>4.6579212859218657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89.856000000000435</v>
      </c>
      <c r="D195" s="11">
        <f t="shared" si="140"/>
        <v>24.530492425499521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882.98345030210487</v>
      </c>
      <c r="H195" s="67">
        <f t="shared" si="110"/>
        <v>492.5564743077457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197.99999999999994</v>
      </c>
      <c r="O195" s="13">
        <f>N195*VLOOKUP('Données projet'!$B$9,Paramètres!$A$1:$I$89,3,0)*VLOOKUP('Données projet'!$B$9,Paramètres!$A$1:$I$89,5,0)</f>
        <v>123.55199999999995</v>
      </c>
      <c r="P195" s="13">
        <f t="shared" si="141"/>
        <v>32.502033262579566</v>
      </c>
      <c r="Q195" s="20">
        <f t="shared" si="162"/>
        <v>271.79410793232597</v>
      </c>
      <c r="R195" s="59">
        <f t="shared" ref="R195:R203" si="191">Q195+(I195+J195)*44/12</f>
        <v>565.12744126565929</v>
      </c>
      <c r="S195" s="59">
        <f ca="1">AVERAGE(OFFSET($R$3,0,0,'Données projet'!$E$9+1,1))-AVERAGE(OFFSET($H$3,0,0,'Données projet'!$E$9+1,1))</f>
        <v>168.81286953191102</v>
      </c>
      <c r="T195" s="59">
        <f t="shared" si="142"/>
        <v>255.78677933103666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2.0475643237381784</v>
      </c>
      <c r="AA195" s="21">
        <f>EXP(-LN(2)/25)*AA194+(1-EXP(-LN(2)/25))/(LN(2)/25)*Calculateur!V195*Calculateur!X195*VLOOKUP('Données projet'!$B$9,Paramètres!$A$1:$I$89,3,0)*0.475*44/12</f>
        <v>0.86263857610428318</v>
      </c>
      <c r="AB195" s="21">
        <f>EXP(-LN(2)/2)*AB194+(1-EXP(-LN(2)/2))/(LN(2)/2)*V195*Y195*VLOOKUP('Données projet'!$B$9,Paramètres!$A$1:$I$89,3,0)*0.475*44/12</f>
        <v>8.1012908688529056E-22</v>
      </c>
      <c r="AC195" s="22">
        <f t="shared" si="163"/>
        <v>2.9102028998424618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435.00000000000023</v>
      </c>
      <c r="AJ195" s="13">
        <f>AI195*VLOOKUP('Données projet'!$B$10,Paramètres!$A$1:$I$89,3,0)*VLOOKUP('Données projet'!$B$10,Paramètres!$A$1:$I$89,5,0)</f>
        <v>260.13000000000017</v>
      </c>
      <c r="AK195" s="13">
        <f t="shared" si="164"/>
        <v>62.75008789651104</v>
      </c>
      <c r="AL195" s="20">
        <f t="shared" si="165"/>
        <v>562.349486419757</v>
      </c>
      <c r="AM195" s="59">
        <f t="shared" si="113"/>
        <v>855.68281975309037</v>
      </c>
      <c r="AN195" s="59">
        <f ca="1">AVERAGE(OFFSET($AM$3,0,0,'Données projet'!$E$10+1,1))-AVERAGE(OFFSET($H$3,0,0,'Données projet'!$E$10+1,1))</f>
        <v>247.08914525784144</v>
      </c>
      <c r="AO195" s="59">
        <f t="shared" si="144"/>
        <v>286.9617518796191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2.6240568900513623</v>
      </c>
      <c r="AV195" s="21">
        <f>EXP(-LN(2)/25)*AV194+(1-EXP(-LN(2)/25))/(LN(2)/25)*Calculateur!AQ195*Calculateur!AS195*VLOOKUP('Données projet'!$B$10,Paramètres!$A$1:$I$89,3,0)*0.475*44/12</f>
        <v>0.82363378871941928</v>
      </c>
      <c r="AW195" s="21">
        <f>EXP(-LN(2)/2)*AW194+(1-EXP(-LN(2)/2))/(LN(2)/2)*AQ195*AT195*VLOOKUP('Données projet'!$B$10,Paramètres!$A$1:$I$89,3,0)*0.475*44/12</f>
        <v>7.60839486135982E-20</v>
      </c>
      <c r="AX195" s="21">
        <f t="shared" si="166"/>
        <v>3.4476906787707815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318.99999999999994</v>
      </c>
      <c r="BE195" s="13">
        <f>BD195*VLOOKUP('Données projet'!$B$11,Paramètres!$A$1:$I$89,3,0)*VLOOKUP('Données projet'!$B$11,Paramètres!$A$1:$I$89,5,0)</f>
        <v>253.79639999999995</v>
      </c>
      <c r="BF195" s="13">
        <f t="shared" si="167"/>
        <v>61.398168322280704</v>
      </c>
      <c r="BG195" s="20">
        <f t="shared" si="168"/>
        <v>548.9638731613054</v>
      </c>
      <c r="BH195" s="59">
        <f t="shared" si="116"/>
        <v>842.29720649463866</v>
      </c>
      <c r="BI195" s="59">
        <f ca="1">AVERAGE(OFFSET($BH$3,0,0,'Données projet'!$E$11+1,1))-AVERAGE(OFFSET($H$3,0,0,'Données projet'!$E$11+1,1))</f>
        <v>280.45463274302153</v>
      </c>
      <c r="BJ195" s="59">
        <f t="shared" si="146"/>
        <v>276.06968650495287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4.4511016284226086</v>
      </c>
      <c r="BQ195" s="21">
        <f>EXP(-LN(2)/25)*BQ194+(1-EXP(-LN(2)/25))/(LN(2)/25)*Calculateur!BL195*Calculateur!BN195*VLOOKUP('Données projet'!$B$11,Paramètres!$A$1:$I$89,3,0)*0.475*44/12</f>
        <v>0.11456947487672342</v>
      </c>
      <c r="BR195" s="21">
        <f>EXP(-LN(2)/2)*BR194+(1-EXP(-LN(2)/2))/(LN(2)/2)*BL195*BO195*VLOOKUP('Données projet'!$B$11,Paramètres!$A$1:$I$89,3,0)*0.475*44/12</f>
        <v>8.511155039102991E-18</v>
      </c>
      <c r="BS195" s="22">
        <f t="shared" si="169"/>
        <v>4.5656711032993318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90.324000000000439</v>
      </c>
      <c r="D196" s="11">
        <f t="shared" si="140"/>
        <v>24.643349641795954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887.4672603928143</v>
      </c>
      <c r="H196" s="67">
        <f t="shared" ref="H196:H203" si="192">(B196+E196+F196)*44/12+(C196+D196)*0.475*44/12</f>
        <v>493.56813395946199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197.99999999999994</v>
      </c>
      <c r="O196" s="13">
        <f>N196*VLOOKUP('Données projet'!$B$9,Paramètres!$A$1:$I$89,3,0)*VLOOKUP('Données projet'!$B$9,Paramètres!$A$1:$I$89,5,0)</f>
        <v>123.55199999999995</v>
      </c>
      <c r="P196" s="13">
        <f t="shared" si="141"/>
        <v>32.502033262579566</v>
      </c>
      <c r="Q196" s="20">
        <f t="shared" si="162"/>
        <v>271.79410793232597</v>
      </c>
      <c r="R196" s="59">
        <f t="shared" si="191"/>
        <v>565.12744126565929</v>
      </c>
      <c r="S196" s="59">
        <f ca="1">AVERAGE(OFFSET($R$3,0,0,'Données projet'!$E$9+1,1))-AVERAGE(OFFSET($H$3,0,0,'Données projet'!$E$9+1,1))</f>
        <v>168.81286953191102</v>
      </c>
      <c r="T196" s="59">
        <f t="shared" si="142"/>
        <v>255.78677933103666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2.0074128362405923</v>
      </c>
      <c r="AA196" s="21">
        <f>EXP(-LN(2)/25)*AA195+(1-EXP(-LN(2)/25))/(LN(2)/25)*Calculateur!V196*Calculateur!X196*VLOOKUP('Données projet'!$B$9,Paramètres!$A$1:$I$89,3,0)*0.475*44/12</f>
        <v>0.83904967887652038</v>
      </c>
      <c r="AB196" s="21">
        <f>EXP(-LN(2)/2)*AB195+(1-EXP(-LN(2)/2))/(LN(2)/2)*V196*Y196*VLOOKUP('Données projet'!$B$9,Paramètres!$A$1:$I$89,3,0)*0.475*44/12</f>
        <v>5.728477709730547E-22</v>
      </c>
      <c r="AC196" s="22">
        <f t="shared" si="163"/>
        <v>2.8464625151171128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435.00000000000023</v>
      </c>
      <c r="AJ196" s="13">
        <f>AI196*VLOOKUP('Données projet'!$B$10,Paramètres!$A$1:$I$89,3,0)*VLOOKUP('Données projet'!$B$10,Paramètres!$A$1:$I$89,5,0)</f>
        <v>260.13000000000017</v>
      </c>
      <c r="AK196" s="13">
        <f t="shared" si="164"/>
        <v>62.75008789651104</v>
      </c>
      <c r="AL196" s="20">
        <f t="shared" si="165"/>
        <v>562.349486419757</v>
      </c>
      <c r="AM196" s="59">
        <f t="shared" ref="AM196:AM203" si="193">AL196+(AD196+AE196)*44/12</f>
        <v>855.68281975309037</v>
      </c>
      <c r="AN196" s="59">
        <f ca="1">AVERAGE(OFFSET($AM$3,0,0,'Données projet'!$E$10+1,1))-AVERAGE(OFFSET($H$3,0,0,'Données projet'!$E$10+1,1))</f>
        <v>247.08914525784144</v>
      </c>
      <c r="AO196" s="59">
        <f t="shared" si="144"/>
        <v>286.9617518796191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2.5726007349541202</v>
      </c>
      <c r="AV196" s="21">
        <f>EXP(-LN(2)/25)*AV195+(1-EXP(-LN(2)/25))/(LN(2)/25)*Calculateur!AQ196*Calculateur!AS196*VLOOKUP('Données projet'!$B$10,Paramètres!$A$1:$I$89,3,0)*0.475*44/12</f>
        <v>0.80111147945386829</v>
      </c>
      <c r="AW196" s="21">
        <f>EXP(-LN(2)/2)*AW195+(1-EXP(-LN(2)/2))/(LN(2)/2)*AQ196*AT196*VLOOKUP('Données projet'!$B$10,Paramètres!$A$1:$I$89,3,0)*0.475*44/12</f>
        <v>5.3799476004124112E-20</v>
      </c>
      <c r="AX196" s="21">
        <f t="shared" si="166"/>
        <v>3.3737122144079885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318.99999999999994</v>
      </c>
      <c r="BE196" s="13">
        <f>BD196*VLOOKUP('Données projet'!$B$11,Paramètres!$A$1:$I$89,3,0)*VLOOKUP('Données projet'!$B$11,Paramètres!$A$1:$I$89,5,0)</f>
        <v>253.79639999999995</v>
      </c>
      <c r="BF196" s="13">
        <f t="shared" si="167"/>
        <v>61.398168322280704</v>
      </c>
      <c r="BG196" s="20">
        <f t="shared" si="168"/>
        <v>548.9638731613054</v>
      </c>
      <c r="BH196" s="59">
        <f t="shared" ref="BH196:BH203" si="194">BG196+(AY196+AZ196)*44/12</f>
        <v>842.29720649463866</v>
      </c>
      <c r="BI196" s="59">
        <f ca="1">AVERAGE(OFFSET($BH$3,0,0,'Données projet'!$E$11+1,1))-AVERAGE(OFFSET($H$3,0,0,'Données projet'!$E$11+1,1))</f>
        <v>280.45463274302153</v>
      </c>
      <c r="BJ196" s="59">
        <f t="shared" si="146"/>
        <v>276.06968650495287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4.3638182403931598</v>
      </c>
      <c r="BQ196" s="21">
        <f>EXP(-LN(2)/25)*BQ195+(1-EXP(-LN(2)/25))/(LN(2)/25)*Calculateur!BL196*Calculateur!BN196*VLOOKUP('Données projet'!$B$11,Paramètres!$A$1:$I$89,3,0)*0.475*44/12</f>
        <v>0.11143656656127258</v>
      </c>
      <c r="BR196" s="21">
        <f>EXP(-LN(2)/2)*BR195+(1-EXP(-LN(2)/2))/(LN(2)/2)*BL196*BO196*VLOOKUP('Données projet'!$B$11,Paramètres!$A$1:$I$89,3,0)*0.475*44/12</f>
        <v>6.0182954438797801E-18</v>
      </c>
      <c r="BS196" s="22">
        <f t="shared" si="169"/>
        <v>4.4752548069544327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90.792000000000442</v>
      </c>
      <c r="D197" s="11">
        <f t="shared" ref="D197:D203" si="202">IFERROR(EXP(-1.0587+0.8836*LN(C197)+0.284),0)</f>
        <v>24.756138813110294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891.95054522401279</v>
      </c>
      <c r="H197" s="67">
        <f t="shared" si="192"/>
        <v>494.57967509950117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197.99999999999994</v>
      </c>
      <c r="O197" s="13">
        <f>N197*VLOOKUP('Données projet'!$B$9,Paramètres!$A$1:$I$89,3,0)*VLOOKUP('Données projet'!$B$9,Paramètres!$A$1:$I$89,5,0)</f>
        <v>123.55199999999995</v>
      </c>
      <c r="P197" s="13">
        <f t="shared" ref="P197:P203" si="203">EXP(-1.0587+0.8836*LN(O197)+0.284)</f>
        <v>32.502033262579566</v>
      </c>
      <c r="Q197" s="20">
        <f t="shared" si="162"/>
        <v>271.79410793232597</v>
      </c>
      <c r="R197" s="59">
        <f t="shared" si="191"/>
        <v>565.12744126565929</v>
      </c>
      <c r="S197" s="59">
        <f ca="1">AVERAGE(OFFSET($R$3,0,0,'Données projet'!$E$9+1,1))-AVERAGE(OFFSET($H$3,0,0,'Données projet'!$E$9+1,1))</f>
        <v>168.81286953191102</v>
      </c>
      <c r="T197" s="59">
        <f t="shared" ref="T197:T203" si="204">$T$3</f>
        <v>255.78677933103666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1.9680486949228448</v>
      </c>
      <c r="AA197" s="21">
        <f>EXP(-LN(2)/25)*AA196+(1-EXP(-LN(2)/25))/(LN(2)/25)*Calculateur!V197*Calculateur!X197*VLOOKUP('Données projet'!$B$9,Paramètres!$A$1:$I$89,3,0)*0.475*44/12</f>
        <v>0.81610582128393694</v>
      </c>
      <c r="AB197" s="21">
        <f>EXP(-LN(2)/2)*AB196+(1-EXP(-LN(2)/2))/(LN(2)/2)*V197*Y197*VLOOKUP('Données projet'!$B$9,Paramètres!$A$1:$I$89,3,0)*0.475*44/12</f>
        <v>4.0506454344264528E-22</v>
      </c>
      <c r="AC197" s="22">
        <f t="shared" si="163"/>
        <v>2.7841545162067818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435.00000000000023</v>
      </c>
      <c r="AJ197" s="13">
        <f>AI197*VLOOKUP('Données projet'!$B$10,Paramètres!$A$1:$I$89,3,0)*VLOOKUP('Données projet'!$B$10,Paramètres!$A$1:$I$89,5,0)</f>
        <v>260.13000000000017</v>
      </c>
      <c r="AK197" s="13">
        <f t="shared" si="164"/>
        <v>62.75008789651104</v>
      </c>
      <c r="AL197" s="20">
        <f t="shared" si="165"/>
        <v>562.349486419757</v>
      </c>
      <c r="AM197" s="59">
        <f t="shared" si="193"/>
        <v>855.68281975309037</v>
      </c>
      <c r="AN197" s="59">
        <f ca="1">AVERAGE(OFFSET($AM$3,0,0,'Données projet'!$E$10+1,1))-AVERAGE(OFFSET($H$3,0,0,'Données projet'!$E$10+1,1))</f>
        <v>247.08914525784144</v>
      </c>
      <c r="AO197" s="59">
        <f t="shared" ref="AO197:AO203" si="205">$AO$3</f>
        <v>286.9617518796191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2.5221536036731793</v>
      </c>
      <c r="AV197" s="21">
        <f>EXP(-LN(2)/25)*AV196+(1-EXP(-LN(2)/25))/(LN(2)/25)*Calculateur!AQ197*Calculateur!AS197*VLOOKUP('Données projet'!$B$10,Paramètres!$A$1:$I$89,3,0)*0.475*44/12</f>
        <v>0.77920504391958056</v>
      </c>
      <c r="AW197" s="21">
        <f>EXP(-LN(2)/2)*AW196+(1-EXP(-LN(2)/2))/(LN(2)/2)*AQ197*AT197*VLOOKUP('Données projet'!$B$10,Paramètres!$A$1:$I$89,3,0)*0.475*44/12</f>
        <v>3.8041974306799106E-20</v>
      </c>
      <c r="AX197" s="21">
        <f t="shared" si="166"/>
        <v>3.3013586475927599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318.99999999999994</v>
      </c>
      <c r="BE197" s="13">
        <f>BD197*VLOOKUP('Données projet'!$B$11,Paramètres!$A$1:$I$89,3,0)*VLOOKUP('Données projet'!$B$11,Paramètres!$A$1:$I$89,5,0)</f>
        <v>253.79639999999995</v>
      </c>
      <c r="BF197" s="13">
        <f t="shared" si="167"/>
        <v>61.398168322280704</v>
      </c>
      <c r="BG197" s="20">
        <f t="shared" si="168"/>
        <v>548.9638731613054</v>
      </c>
      <c r="BH197" s="59">
        <f t="shared" si="194"/>
        <v>842.29720649463866</v>
      </c>
      <c r="BI197" s="59">
        <f ca="1">AVERAGE(OFFSET($BH$3,0,0,'Données projet'!$E$11+1,1))-AVERAGE(OFFSET($H$3,0,0,'Données projet'!$E$11+1,1))</f>
        <v>280.45463274302153</v>
      </c>
      <c r="BJ197" s="59">
        <f t="shared" ref="BJ197:BJ203" si="206">$BJ$3</f>
        <v>276.06968650495287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4.2782464263653592</v>
      </c>
      <c r="BQ197" s="21">
        <f>EXP(-LN(2)/25)*BQ196+(1-EXP(-LN(2)/25))/(LN(2)/25)*Calculateur!BL197*Calculateur!BN197*VLOOKUP('Données projet'!$B$11,Paramètres!$A$1:$I$89,3,0)*0.475*44/12</f>
        <v>0.10838932778846025</v>
      </c>
      <c r="BR197" s="21">
        <f>EXP(-LN(2)/2)*BR196+(1-EXP(-LN(2)/2))/(LN(2)/2)*BL197*BO197*VLOOKUP('Données projet'!$B$11,Paramètres!$A$1:$I$89,3,0)*0.475*44/12</f>
        <v>4.2555775195514955E-18</v>
      </c>
      <c r="BS197" s="22">
        <f t="shared" si="169"/>
        <v>4.3866357541538195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91.260000000000446</v>
      </c>
      <c r="D198" s="11">
        <f t="shared" si="202"/>
        <v>24.868860330902901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896.43330781749955</v>
      </c>
      <c r="H198" s="67">
        <f t="shared" si="192"/>
        <v>495.59109840965664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197.99999999999994</v>
      </c>
      <c r="O198" s="13">
        <f>N198*VLOOKUP('Données projet'!$B$9,Paramètres!$A$1:$I$89,3,0)*VLOOKUP('Données projet'!$B$9,Paramètres!$A$1:$I$89,5,0)</f>
        <v>123.55199999999995</v>
      </c>
      <c r="P198" s="13">
        <f t="shared" si="203"/>
        <v>32.502033262579566</v>
      </c>
      <c r="Q198" s="20">
        <f t="shared" si="162"/>
        <v>271.79410793232597</v>
      </c>
      <c r="R198" s="59">
        <f t="shared" si="191"/>
        <v>565.12744126565929</v>
      </c>
      <c r="S198" s="59">
        <f ca="1">AVERAGE(OFFSET($R$3,0,0,'Données projet'!$E$9+1,1))-AVERAGE(OFFSET($H$3,0,0,'Données projet'!$E$9+1,1))</f>
        <v>168.81286953191102</v>
      </c>
      <c r="T198" s="59">
        <f t="shared" si="204"/>
        <v>255.78677933103666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1.9294564604065829</v>
      </c>
      <c r="AA198" s="21">
        <f>EXP(-LN(2)/25)*AA197+(1-EXP(-LN(2)/25))/(LN(2)/25)*Calculateur!V198*Calculateur!X198*VLOOKUP('Données projet'!$B$9,Paramètres!$A$1:$I$89,3,0)*0.475*44/12</f>
        <v>0.7937893646837878</v>
      </c>
      <c r="AB198" s="21">
        <f>EXP(-LN(2)/2)*AB197+(1-EXP(-LN(2)/2))/(LN(2)/2)*V198*Y198*VLOOKUP('Données projet'!$B$9,Paramètres!$A$1:$I$89,3,0)*0.475*44/12</f>
        <v>2.8642388548652735E-22</v>
      </c>
      <c r="AC198" s="22">
        <f t="shared" si="163"/>
        <v>2.7232458250903706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435.00000000000023</v>
      </c>
      <c r="AJ198" s="13">
        <f>AI198*VLOOKUP('Données projet'!$B$10,Paramètres!$A$1:$I$89,3,0)*VLOOKUP('Données projet'!$B$10,Paramètres!$A$1:$I$89,5,0)</f>
        <v>260.13000000000017</v>
      </c>
      <c r="AK198" s="13">
        <f t="shared" si="164"/>
        <v>62.75008789651104</v>
      </c>
      <c r="AL198" s="20">
        <f t="shared" si="165"/>
        <v>562.349486419757</v>
      </c>
      <c r="AM198" s="59">
        <f t="shared" si="193"/>
        <v>855.68281975309037</v>
      </c>
      <c r="AN198" s="59">
        <f ca="1">AVERAGE(OFFSET($AM$3,0,0,'Données projet'!$E$10+1,1))-AVERAGE(OFFSET($H$3,0,0,'Données projet'!$E$10+1,1))</f>
        <v>247.08914525784144</v>
      </c>
      <c r="AO198" s="59">
        <f t="shared" si="205"/>
        <v>286.9617518796191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2.472695709866946</v>
      </c>
      <c r="AV198" s="21">
        <f>EXP(-LN(2)/25)*AV197+(1-EXP(-LN(2)/25))/(LN(2)/25)*Calculateur!AQ198*Calculateur!AS198*VLOOKUP('Données projet'!$B$10,Paramètres!$A$1:$I$89,3,0)*0.475*44/12</f>
        <v>0.75789764101698731</v>
      </c>
      <c r="AW198" s="21">
        <f>EXP(-LN(2)/2)*AW197+(1-EXP(-LN(2)/2))/(LN(2)/2)*AQ198*AT198*VLOOKUP('Données projet'!$B$10,Paramètres!$A$1:$I$89,3,0)*0.475*44/12</f>
        <v>2.6899738002062059E-20</v>
      </c>
      <c r="AX198" s="21">
        <f t="shared" si="166"/>
        <v>3.2305933508839333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318.99999999999994</v>
      </c>
      <c r="BE198" s="13">
        <f>BD198*VLOOKUP('Données projet'!$B$11,Paramètres!$A$1:$I$89,3,0)*VLOOKUP('Données projet'!$B$11,Paramètres!$A$1:$I$89,5,0)</f>
        <v>253.79639999999995</v>
      </c>
      <c r="BF198" s="13">
        <f t="shared" si="167"/>
        <v>61.398168322280704</v>
      </c>
      <c r="BG198" s="20">
        <f t="shared" si="168"/>
        <v>548.9638731613054</v>
      </c>
      <c r="BH198" s="59">
        <f t="shared" si="194"/>
        <v>842.29720649463866</v>
      </c>
      <c r="BI198" s="59">
        <f ca="1">AVERAGE(OFFSET($BH$3,0,0,'Données projet'!$E$11+1,1))-AVERAGE(OFFSET($H$3,0,0,'Données projet'!$E$11+1,1))</f>
        <v>280.45463274302153</v>
      </c>
      <c r="BJ198" s="59">
        <f t="shared" si="206"/>
        <v>276.06968650495287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4.1943526234169903</v>
      </c>
      <c r="BQ198" s="21">
        <f>EXP(-LN(2)/25)*BQ197+(1-EXP(-LN(2)/25))/(LN(2)/25)*Calculateur!BL198*Calculateur!BN198*VLOOKUP('Données projet'!$B$11,Paramètres!$A$1:$I$89,3,0)*0.475*44/12</f>
        <v>0.10542541592013778</v>
      </c>
      <c r="BR198" s="21">
        <f>EXP(-LN(2)/2)*BR197+(1-EXP(-LN(2)/2))/(LN(2)/2)*BL198*BO198*VLOOKUP('Données projet'!$B$11,Paramètres!$A$1:$I$89,3,0)*0.475*44/12</f>
        <v>3.00914772193989E-18</v>
      </c>
      <c r="BS198" s="22">
        <f t="shared" si="169"/>
        <v>4.2997780393371281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91.728000000000449</v>
      </c>
      <c r="D199" s="11">
        <f t="shared" si="202"/>
        <v>24.981514582386662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900.91555116228653</v>
      </c>
      <c r="H199" s="67">
        <f t="shared" si="192"/>
        <v>496.60240456432416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197.99999999999994</v>
      </c>
      <c r="O199" s="13">
        <f>N199*VLOOKUP('Données projet'!$B$9,Paramètres!$A$1:$I$89,3,0)*VLOOKUP('Données projet'!$B$9,Paramètres!$A$1:$I$89,5,0)</f>
        <v>123.55199999999995</v>
      </c>
      <c r="P199" s="13">
        <f t="shared" si="203"/>
        <v>32.502033262579566</v>
      </c>
      <c r="Q199" s="20">
        <f t="shared" si="162"/>
        <v>271.79410793232597</v>
      </c>
      <c r="R199" s="59">
        <f t="shared" si="191"/>
        <v>565.12744126565929</v>
      </c>
      <c r="S199" s="59">
        <f ca="1">AVERAGE(OFFSET($R$3,0,0,'Données projet'!$E$9+1,1))-AVERAGE(OFFSET($H$3,0,0,'Données projet'!$E$9+1,1))</f>
        <v>168.81286953191102</v>
      </c>
      <c r="T199" s="59">
        <f t="shared" si="204"/>
        <v>255.78677933103666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1.8916209960702461</v>
      </c>
      <c r="AA199" s="21">
        <f>EXP(-LN(2)/25)*AA198+(1-EXP(-LN(2)/25))/(LN(2)/25)*Calculateur!V199*Calculateur!X199*VLOOKUP('Données projet'!$B$9,Paramètres!$A$1:$I$89,3,0)*0.475*44/12</f>
        <v>0.77208315276294115</v>
      </c>
      <c r="AB199" s="21">
        <f>EXP(-LN(2)/2)*AB198+(1-EXP(-LN(2)/2))/(LN(2)/2)*V199*Y199*VLOOKUP('Données projet'!$B$9,Paramètres!$A$1:$I$89,3,0)*0.475*44/12</f>
        <v>2.0253227172132264E-22</v>
      </c>
      <c r="AC199" s="22">
        <f t="shared" si="163"/>
        <v>2.6637041488331872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435.00000000000023</v>
      </c>
      <c r="AJ199" s="13">
        <f>AI199*VLOOKUP('Données projet'!$B$10,Paramètres!$A$1:$I$89,3,0)*VLOOKUP('Données projet'!$B$10,Paramètres!$A$1:$I$89,5,0)</f>
        <v>260.13000000000017</v>
      </c>
      <c r="AK199" s="13">
        <f t="shared" si="164"/>
        <v>62.75008789651104</v>
      </c>
      <c r="AL199" s="20">
        <f t="shared" si="165"/>
        <v>562.349486419757</v>
      </c>
      <c r="AM199" s="59">
        <f t="shared" si="193"/>
        <v>855.68281975309037</v>
      </c>
      <c r="AN199" s="59">
        <f ca="1">AVERAGE(OFFSET($AM$3,0,0,'Données projet'!$E$10+1,1))-AVERAGE(OFFSET($H$3,0,0,'Données projet'!$E$10+1,1))</f>
        <v>247.08914525784144</v>
      </c>
      <c r="AO199" s="59">
        <f t="shared" si="205"/>
        <v>286.9617518796191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2.4242076551919163</v>
      </c>
      <c r="AV199" s="21">
        <f>EXP(-LN(2)/25)*AV198+(1-EXP(-LN(2)/25))/(LN(2)/25)*Calculateur!AQ199*Calculateur!AS199*VLOOKUP('Données projet'!$B$10,Paramètres!$A$1:$I$89,3,0)*0.475*44/12</f>
        <v>0.73717289016727305</v>
      </c>
      <c r="AW199" s="21">
        <f>EXP(-LN(2)/2)*AW198+(1-EXP(-LN(2)/2))/(LN(2)/2)*AQ199*AT199*VLOOKUP('Données projet'!$B$10,Paramètres!$A$1:$I$89,3,0)*0.475*44/12</f>
        <v>1.9020987153399556E-20</v>
      </c>
      <c r="AX199" s="21">
        <f t="shared" si="166"/>
        <v>3.1613805453591892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318.99999999999994</v>
      </c>
      <c r="BE199" s="13">
        <f>BD199*VLOOKUP('Données projet'!$B$11,Paramètres!$A$1:$I$89,3,0)*VLOOKUP('Données projet'!$B$11,Paramètres!$A$1:$I$89,5,0)</f>
        <v>253.79639999999995</v>
      </c>
      <c r="BF199" s="13">
        <f t="shared" si="167"/>
        <v>61.398168322280704</v>
      </c>
      <c r="BG199" s="20">
        <f t="shared" si="168"/>
        <v>548.9638731613054</v>
      </c>
      <c r="BH199" s="59">
        <f t="shared" si="194"/>
        <v>842.29720649463866</v>
      </c>
      <c r="BI199" s="59">
        <f ca="1">AVERAGE(OFFSET($BH$3,0,0,'Données projet'!$E$11+1,1))-AVERAGE(OFFSET($H$3,0,0,'Données projet'!$E$11+1,1))</f>
        <v>280.45463274302153</v>
      </c>
      <c r="BJ199" s="59">
        <f t="shared" si="206"/>
        <v>276.06968650495287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4.1121039267742718</v>
      </c>
      <c r="BQ199" s="21">
        <f>EXP(-LN(2)/25)*BQ198+(1-EXP(-LN(2)/25))/(LN(2)/25)*Calculateur!BL199*Calculateur!BN199*VLOOKUP('Données projet'!$B$11,Paramètres!$A$1:$I$89,3,0)*0.475*44/12</f>
        <v>0.10254255237771995</v>
      </c>
      <c r="BR199" s="21">
        <f>EXP(-LN(2)/2)*BR198+(1-EXP(-LN(2)/2))/(LN(2)/2)*BL199*BO199*VLOOKUP('Données projet'!$B$11,Paramètres!$A$1:$I$89,3,0)*0.475*44/12</f>
        <v>2.1277887597757477E-18</v>
      </c>
      <c r="BS199" s="22">
        <f t="shared" si="169"/>
        <v>4.214646479151992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92.196000000000453</v>
      </c>
      <c r="D200" s="11">
        <f t="shared" si="202"/>
        <v>25.094101950594609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905.39727821511985</v>
      </c>
      <c r="H200" s="67">
        <f t="shared" si="192"/>
        <v>497.6135942306197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197.99999999999994</v>
      </c>
      <c r="O200" s="13">
        <f>N200*VLOOKUP('Données projet'!$B$9,Paramètres!$A$1:$I$89,3,0)*VLOOKUP('Données projet'!$B$9,Paramètres!$A$1:$I$89,5,0)</f>
        <v>123.55199999999995</v>
      </c>
      <c r="P200" s="13">
        <f t="shared" si="203"/>
        <v>32.502033262579566</v>
      </c>
      <c r="Q200" s="20">
        <f t="shared" si="162"/>
        <v>271.79410793232597</v>
      </c>
      <c r="R200" s="59">
        <f t="shared" si="191"/>
        <v>565.12744126565929</v>
      </c>
      <c r="S200" s="59">
        <f ca="1">AVERAGE(OFFSET($R$3,0,0,'Données projet'!$E$9+1,1))-AVERAGE(OFFSET($H$3,0,0,'Données projet'!$E$9+1,1))</f>
        <v>168.81286953191102</v>
      </c>
      <c r="T200" s="59">
        <f t="shared" si="204"/>
        <v>255.78677933103666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1.8545274621121903</v>
      </c>
      <c r="AA200" s="21">
        <f>EXP(-LN(2)/25)*AA199+(1-EXP(-LN(2)/25))/(LN(2)/25)*Calculateur!V200*Calculateur!X200*VLOOKUP('Données projet'!$B$9,Paramètres!$A$1:$I$89,3,0)*0.475*44/12</f>
        <v>0.75097049834855012</v>
      </c>
      <c r="AB200" s="21">
        <f>EXP(-LN(2)/2)*AB199+(1-EXP(-LN(2)/2))/(LN(2)/2)*V200*Y200*VLOOKUP('Données projet'!$B$9,Paramètres!$A$1:$I$89,3,0)*0.475*44/12</f>
        <v>1.4321194274326367E-22</v>
      </c>
      <c r="AC200" s="22">
        <f t="shared" si="163"/>
        <v>2.6054979604607404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435.00000000000023</v>
      </c>
      <c r="AJ200" s="13">
        <f>AI200*VLOOKUP('Données projet'!$B$10,Paramètres!$A$1:$I$89,3,0)*VLOOKUP('Données projet'!$B$10,Paramètres!$A$1:$I$89,5,0)</f>
        <v>260.13000000000017</v>
      </c>
      <c r="AK200" s="13">
        <f t="shared" si="164"/>
        <v>62.75008789651104</v>
      </c>
      <c r="AL200" s="20">
        <f t="shared" si="165"/>
        <v>562.349486419757</v>
      </c>
      <c r="AM200" s="59">
        <f t="shared" si="193"/>
        <v>855.68281975309037</v>
      </c>
      <c r="AN200" s="59">
        <f ca="1">AVERAGE(OFFSET($AM$3,0,0,'Données projet'!$E$10+1,1))-AVERAGE(OFFSET($H$3,0,0,'Données projet'!$E$10+1,1))</f>
        <v>247.08914525784144</v>
      </c>
      <c r="AO200" s="59">
        <f t="shared" si="205"/>
        <v>286.9617518796191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2.3766704216942709</v>
      </c>
      <c r="AV200" s="21">
        <f>EXP(-LN(2)/25)*AV199+(1-EXP(-LN(2)/25))/(LN(2)/25)*Calculateur!AQ200*Calculateur!AS200*VLOOKUP('Données projet'!$B$10,Paramètres!$A$1:$I$89,3,0)*0.475*44/12</f>
        <v>0.71701485871941151</v>
      </c>
      <c r="AW200" s="21">
        <f>EXP(-LN(2)/2)*AW199+(1-EXP(-LN(2)/2))/(LN(2)/2)*AQ200*AT200*VLOOKUP('Données projet'!$B$10,Paramètres!$A$1:$I$89,3,0)*0.475*44/12</f>
        <v>1.3449869001031033E-20</v>
      </c>
      <c r="AX200" s="21">
        <f t="shared" si="166"/>
        <v>3.0936852804136823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318.99999999999994</v>
      </c>
      <c r="BE200" s="13">
        <f>BD200*VLOOKUP('Données projet'!$B$11,Paramètres!$A$1:$I$89,3,0)*VLOOKUP('Données projet'!$B$11,Paramètres!$A$1:$I$89,5,0)</f>
        <v>253.79639999999995</v>
      </c>
      <c r="BF200" s="13">
        <f t="shared" si="167"/>
        <v>61.398168322280704</v>
      </c>
      <c r="BG200" s="20">
        <f t="shared" si="168"/>
        <v>548.9638731613054</v>
      </c>
      <c r="BH200" s="59">
        <f t="shared" si="194"/>
        <v>842.29720649463866</v>
      </c>
      <c r="BI200" s="59">
        <f ca="1">AVERAGE(OFFSET($BH$3,0,0,'Données projet'!$E$11+1,1))-AVERAGE(OFFSET($H$3,0,0,'Données projet'!$E$11+1,1))</f>
        <v>280.45463274302153</v>
      </c>
      <c r="BJ200" s="59">
        <f t="shared" si="206"/>
        <v>276.06968650495287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4.0314680769059654</v>
      </c>
      <c r="BQ200" s="21">
        <f>EXP(-LN(2)/25)*BQ199+(1-EXP(-LN(2)/25))/(LN(2)/25)*Calculateur!BL200*Calculateur!BN200*VLOOKUP('Données projet'!$B$11,Paramètres!$A$1:$I$89,3,0)*0.475*44/12</f>
        <v>9.9738520890472734E-2</v>
      </c>
      <c r="BR200" s="21">
        <f>EXP(-LN(2)/2)*BR199+(1-EXP(-LN(2)/2))/(LN(2)/2)*BL200*BO200*VLOOKUP('Données projet'!$B$11,Paramètres!$A$1:$I$89,3,0)*0.475*44/12</f>
        <v>1.504573860969945E-18</v>
      </c>
      <c r="BS200" s="22">
        <f t="shared" si="169"/>
        <v>4.1312065977964378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92.664000000000456</v>
      </c>
      <c r="D201" s="11">
        <f t="shared" si="202"/>
        <v>25.206622814445883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909.87849190098939</v>
      </c>
      <c r="H201" s="67">
        <f t="shared" si="192"/>
        <v>498.62466806849403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197.99999999999994</v>
      </c>
      <c r="O201" s="13">
        <f>N201*VLOOKUP('Données projet'!$B$9,Paramètres!$A$1:$I$89,3,0)*VLOOKUP('Données projet'!$B$9,Paramètres!$A$1:$I$89,5,0)</f>
        <v>123.55199999999995</v>
      </c>
      <c r="P201" s="13">
        <f t="shared" si="203"/>
        <v>32.502033262579566</v>
      </c>
      <c r="Q201" s="20">
        <f t="shared" si="162"/>
        <v>271.79410793232597</v>
      </c>
      <c r="R201" s="59">
        <f t="shared" si="191"/>
        <v>565.12744126565929</v>
      </c>
      <c r="S201" s="59">
        <f ca="1">AVERAGE(OFFSET($R$3,0,0,'Données projet'!$E$9+1,1))-AVERAGE(OFFSET($H$3,0,0,'Données projet'!$E$9+1,1))</f>
        <v>168.81286953191102</v>
      </c>
      <c r="T201" s="59">
        <f t="shared" si="204"/>
        <v>255.78677933103666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1.8181613097302303</v>
      </c>
      <c r="AA201" s="21">
        <f>EXP(-LN(2)/25)*AA200+(1-EXP(-LN(2)/25))/(LN(2)/25)*Calculateur!V201*Calculateur!X201*VLOOKUP('Données projet'!$B$9,Paramètres!$A$1:$I$89,3,0)*0.475*44/12</f>
        <v>0.73043517057938689</v>
      </c>
      <c r="AB201" s="21">
        <f>EXP(-LN(2)/2)*AB200+(1-EXP(-LN(2)/2))/(LN(2)/2)*V201*Y201*VLOOKUP('Données projet'!$B$9,Paramètres!$A$1:$I$89,3,0)*0.475*44/12</f>
        <v>1.0126613586066132E-22</v>
      </c>
      <c r="AC201" s="22">
        <f t="shared" si="163"/>
        <v>2.5485964803096173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435.00000000000023</v>
      </c>
      <c r="AJ201" s="13">
        <f>AI201*VLOOKUP('Données projet'!$B$10,Paramètres!$A$1:$I$89,3,0)*VLOOKUP('Données projet'!$B$10,Paramètres!$A$1:$I$89,5,0)</f>
        <v>260.13000000000017</v>
      </c>
      <c r="AK201" s="13">
        <f t="shared" si="164"/>
        <v>62.75008789651104</v>
      </c>
      <c r="AL201" s="20">
        <f t="shared" si="165"/>
        <v>562.349486419757</v>
      </c>
      <c r="AM201" s="59">
        <f t="shared" si="193"/>
        <v>855.68281975309037</v>
      </c>
      <c r="AN201" s="59">
        <f ca="1">AVERAGE(OFFSET($AM$3,0,0,'Données projet'!$E$10+1,1))-AVERAGE(OFFSET($H$3,0,0,'Données projet'!$E$10+1,1))</f>
        <v>247.08914525784144</v>
      </c>
      <c r="AO201" s="59">
        <f t="shared" si="205"/>
        <v>286.9617518796191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2.330065364350665</v>
      </c>
      <c r="AV201" s="21">
        <f>EXP(-LN(2)/25)*AV200+(1-EXP(-LN(2)/25))/(LN(2)/25)*Calculateur!AQ201*Calculateur!AS201*VLOOKUP('Données projet'!$B$10,Paramètres!$A$1:$I$89,3,0)*0.475*44/12</f>
        <v>0.69740804970155656</v>
      </c>
      <c r="AW201" s="21">
        <f>EXP(-LN(2)/2)*AW200+(1-EXP(-LN(2)/2))/(LN(2)/2)*AQ201*AT201*VLOOKUP('Données projet'!$B$10,Paramètres!$A$1:$I$89,3,0)*0.475*44/12</f>
        <v>9.5104935766997795E-21</v>
      </c>
      <c r="AX201" s="21">
        <f t="shared" si="166"/>
        <v>3.0274734140522215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318.99999999999994</v>
      </c>
      <c r="BE201" s="13">
        <f>BD201*VLOOKUP('Données projet'!$B$11,Paramètres!$A$1:$I$89,3,0)*VLOOKUP('Données projet'!$B$11,Paramètres!$A$1:$I$89,5,0)</f>
        <v>253.79639999999995</v>
      </c>
      <c r="BF201" s="13">
        <f t="shared" si="167"/>
        <v>61.398168322280704</v>
      </c>
      <c r="BG201" s="20">
        <f t="shared" si="168"/>
        <v>548.9638731613054</v>
      </c>
      <c r="BH201" s="59">
        <f t="shared" si="194"/>
        <v>842.29720649463866</v>
      </c>
      <c r="BI201" s="59">
        <f ca="1">AVERAGE(OFFSET($BH$3,0,0,'Données projet'!$E$11+1,1))-AVERAGE(OFFSET($H$3,0,0,'Données projet'!$E$11+1,1))</f>
        <v>280.45463274302153</v>
      </c>
      <c r="BJ201" s="59">
        <f t="shared" si="206"/>
        <v>276.06968650495287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3.952413446870565</v>
      </c>
      <c r="BQ201" s="21">
        <f>EXP(-LN(2)/25)*BQ200+(1-EXP(-LN(2)/25))/(LN(2)/25)*Calculateur!BL201*Calculateur!BN201*VLOOKUP('Données projet'!$B$11,Paramètres!$A$1:$I$89,3,0)*0.475*44/12</f>
        <v>9.7011165791701895E-2</v>
      </c>
      <c r="BR201" s="21">
        <f>EXP(-LN(2)/2)*BR200+(1-EXP(-LN(2)/2))/(LN(2)/2)*BL201*BO201*VLOOKUP('Données projet'!$B$11,Paramètres!$A$1:$I$89,3,0)*0.475*44/12</f>
        <v>1.0638943798878739E-18</v>
      </c>
      <c r="BS201" s="22">
        <f t="shared" si="169"/>
        <v>4.0494246126622668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93.13200000000046</v>
      </c>
      <c r="D202" s="11">
        <f t="shared" si="202"/>
        <v>25.319077548810565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914.35919511362908</v>
      </c>
      <c r="H202" s="67">
        <f t="shared" si="192"/>
        <v>499.63562673084584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197.99999999999994</v>
      </c>
      <c r="O202" s="13">
        <f>N202*VLOOKUP('Données projet'!$B$9,Paramètres!$A$1:$I$89,3,0)*VLOOKUP('Données projet'!$B$9,Paramètres!$A$1:$I$89,5,0)</f>
        <v>123.55199999999995</v>
      </c>
      <c r="P202" s="13">
        <f t="shared" si="203"/>
        <v>32.502033262579566</v>
      </c>
      <c r="Q202" s="20">
        <f t="shared" si="162"/>
        <v>271.79410793232597</v>
      </c>
      <c r="R202" s="59">
        <f t="shared" si="191"/>
        <v>565.12744126565929</v>
      </c>
      <c r="S202" s="59">
        <f ca="1">AVERAGE(OFFSET($R$3,0,0,'Données projet'!$E$9+1,1))-AVERAGE(OFFSET($H$3,0,0,'Données projet'!$E$9+1,1))</f>
        <v>168.81286953191102</v>
      </c>
      <c r="T202" s="59">
        <f t="shared" si="204"/>
        <v>255.78677933103666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1.7825082754153179</v>
      </c>
      <c r="AA202" s="21">
        <f>EXP(-LN(2)/25)*AA201+(1-EXP(-LN(2)/25))/(LN(2)/25)*Calculateur!V202*Calculateur!X202*VLOOKUP('Données projet'!$B$9,Paramètres!$A$1:$I$89,3,0)*0.475*44/12</f>
        <v>0.71046138242797741</v>
      </c>
      <c r="AB202" s="21">
        <f>EXP(-LN(2)/2)*AB201+(1-EXP(-LN(2)/2))/(LN(2)/2)*V202*Y202*VLOOKUP('Données projet'!$B$9,Paramètres!$A$1:$I$89,3,0)*0.475*44/12</f>
        <v>7.1605971371631837E-23</v>
      </c>
      <c r="AC202" s="22">
        <f t="shared" si="163"/>
        <v>2.4929696578432954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435.00000000000023</v>
      </c>
      <c r="AJ202" s="13">
        <f>AI202*VLOOKUP('Données projet'!$B$10,Paramètres!$A$1:$I$89,3,0)*VLOOKUP('Données projet'!$B$10,Paramètres!$A$1:$I$89,5,0)</f>
        <v>260.13000000000017</v>
      </c>
      <c r="AK202" s="13">
        <f t="shared" si="164"/>
        <v>62.75008789651104</v>
      </c>
      <c r="AL202" s="20">
        <f t="shared" si="165"/>
        <v>562.349486419757</v>
      </c>
      <c r="AM202" s="59">
        <f t="shared" si="193"/>
        <v>855.68281975309037</v>
      </c>
      <c r="AN202" s="59">
        <f ca="1">AVERAGE(OFFSET($AM$3,0,0,'Données projet'!$E$10+1,1))-AVERAGE(OFFSET($H$3,0,0,'Données projet'!$E$10+1,1))</f>
        <v>247.08914525784144</v>
      </c>
      <c r="AO202" s="59">
        <f t="shared" si="205"/>
        <v>286.9617518796191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2.2843742037552888</v>
      </c>
      <c r="AV202" s="21">
        <f>EXP(-LN(2)/25)*AV201+(1-EXP(-LN(2)/25))/(LN(2)/25)*Calculateur!AQ202*Calculateur!AS202*VLOOKUP('Données projet'!$B$10,Paramètres!$A$1:$I$89,3,0)*0.475*44/12</f>
        <v>0.67833738990737213</v>
      </c>
      <c r="AW202" s="21">
        <f>EXP(-LN(2)/2)*AW201+(1-EXP(-LN(2)/2))/(LN(2)/2)*AQ202*AT202*VLOOKUP('Données projet'!$B$10,Paramètres!$A$1:$I$89,3,0)*0.475*44/12</f>
        <v>6.724934500515517E-21</v>
      </c>
      <c r="AX202" s="21">
        <f t="shared" si="166"/>
        <v>2.9627115936626609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318.99999999999994</v>
      </c>
      <c r="BE202" s="13">
        <f>BD202*VLOOKUP('Données projet'!$B$11,Paramètres!$A$1:$I$89,3,0)*VLOOKUP('Données projet'!$B$11,Paramètres!$A$1:$I$89,5,0)</f>
        <v>253.79639999999995</v>
      </c>
      <c r="BF202" s="13">
        <f t="shared" si="167"/>
        <v>61.398168322280704</v>
      </c>
      <c r="BG202" s="20">
        <f t="shared" si="168"/>
        <v>548.9638731613054</v>
      </c>
      <c r="BH202" s="59">
        <f t="shared" si="194"/>
        <v>842.29720649463866</v>
      </c>
      <c r="BI202" s="59">
        <f ca="1">AVERAGE(OFFSET($BH$3,0,0,'Données projet'!$E$11+1,1))-AVERAGE(OFFSET($H$3,0,0,'Données projet'!$E$11+1,1))</f>
        <v>280.45463274302153</v>
      </c>
      <c r="BJ202" s="59">
        <f t="shared" si="206"/>
        <v>276.06968650495287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3.8749090299115956</v>
      </c>
      <c r="BQ202" s="21">
        <f>EXP(-LN(2)/25)*BQ201+(1-EXP(-LN(2)/25))/(LN(2)/25)*Calculateur!BL202*Calculateur!BN202*VLOOKUP('Données projet'!$B$11,Paramètres!$A$1:$I$89,3,0)*0.475*44/12</f>
        <v>9.4358390361532318E-2</v>
      </c>
      <c r="BR202" s="21">
        <f>EXP(-LN(2)/2)*BR201+(1-EXP(-LN(2)/2))/(LN(2)/2)*BL202*BO202*VLOOKUP('Données projet'!$B$11,Paramètres!$A$1:$I$89,3,0)*0.475*44/12</f>
        <v>7.5228693048497251E-19</v>
      </c>
      <c r="BS202" s="22">
        <f t="shared" si="169"/>
        <v>3.9692674202731277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93.600000000000463</v>
      </c>
      <c r="D203" s="11">
        <f t="shared" si="202"/>
        <v>25.43146652457305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918.83939071600616</v>
      </c>
      <c r="H203" s="67">
        <f t="shared" si="192"/>
        <v>500.6464708636322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197.99999999999994</v>
      </c>
      <c r="O203" s="13">
        <f>N203*VLOOKUP('Données projet'!$B$9,Paramètres!$A$1:$I$89,3,0)*VLOOKUP('Données projet'!$B$9,Paramètres!$A$1:$I$89,5,0)</f>
        <v>123.55199999999995</v>
      </c>
      <c r="P203" s="13">
        <f t="shared" si="203"/>
        <v>32.502033262579566</v>
      </c>
      <c r="Q203" s="20">
        <f t="shared" si="162"/>
        <v>271.79410793232597</v>
      </c>
      <c r="R203" s="59">
        <f t="shared" si="191"/>
        <v>565.12744126565929</v>
      </c>
      <c r="S203" s="59">
        <f ca="1">AVERAGE(OFFSET($R$3,0,0,'Données projet'!$E$9+1,1))-AVERAGE(OFFSET($H$3,0,0,'Données projet'!$E$9+1,1))</f>
        <v>168.81286953191102</v>
      </c>
      <c r="T203" s="59">
        <f t="shared" si="204"/>
        <v>255.78677933103666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1.7475543753571172</v>
      </c>
      <c r="AA203" s="21">
        <f>EXP(-LN(2)/25)*AA202+(1-EXP(-LN(2)/25))/(LN(2)/25)*Calculateur!V203*Calculateur!X203*VLOOKUP('Données projet'!$B$9,Paramètres!$A$1:$I$89,3,0)*0.475*44/12</f>
        <v>0.69103377856394399</v>
      </c>
      <c r="AB203" s="21">
        <f>EXP(-LN(2)/2)*AB202+(1-EXP(-LN(2)/2))/(LN(2)/2)*V203*Y203*VLOOKUP('Données projet'!$B$9,Paramètres!$A$1:$I$89,3,0)*0.475*44/12</f>
        <v>5.063306793033066E-23</v>
      </c>
      <c r="AC203" s="22">
        <f t="shared" si="163"/>
        <v>2.438588153921061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435.00000000000023</v>
      </c>
      <c r="AJ203" s="13">
        <f>AI203*VLOOKUP('Données projet'!$B$10,Paramètres!$A$1:$I$89,3,0)*VLOOKUP('Données projet'!$B$10,Paramètres!$A$1:$I$89,5,0)</f>
        <v>260.13000000000017</v>
      </c>
      <c r="AK203" s="13">
        <f t="shared" si="164"/>
        <v>62.75008789651104</v>
      </c>
      <c r="AL203" s="20">
        <f t="shared" si="165"/>
        <v>562.349486419757</v>
      </c>
      <c r="AM203" s="59">
        <f t="shared" si="193"/>
        <v>855.68281975309037</v>
      </c>
      <c r="AN203" s="59">
        <f ca="1">AVERAGE(OFFSET($AM$3,0,0,'Données projet'!$E$10+1,1))-AVERAGE(OFFSET($H$3,0,0,'Données projet'!$E$10+1,1))</f>
        <v>247.08914525784144</v>
      </c>
      <c r="AO203" s="59">
        <f t="shared" si="205"/>
        <v>286.9617518796191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2.239579018950332</v>
      </c>
      <c r="AV203" s="21">
        <f>EXP(-LN(2)/25)*AV202+(1-EXP(-LN(2)/25))/(LN(2)/25)*Calculateur!AQ203*Calculateur!AS203*VLOOKUP('Données projet'!$B$10,Paramètres!$A$1:$I$89,3,0)*0.475*44/12</f>
        <v>0.65978821830814205</v>
      </c>
      <c r="AW203" s="21">
        <f>EXP(-LN(2)/2)*AW202+(1-EXP(-LN(2)/2))/(LN(2)/2)*AQ203*AT203*VLOOKUP('Données projet'!$B$10,Paramètres!$A$1:$I$89,3,0)*0.475*44/12</f>
        <v>4.7552467883498905E-21</v>
      </c>
      <c r="AX203" s="21">
        <f t="shared" si="166"/>
        <v>2.899367237258474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318.99999999999994</v>
      </c>
      <c r="BE203" s="13">
        <f>BD203*VLOOKUP('Données projet'!$B$11,Paramètres!$A$1:$I$89,3,0)*VLOOKUP('Données projet'!$B$11,Paramètres!$A$1:$I$89,5,0)</f>
        <v>253.79639999999995</v>
      </c>
      <c r="BF203" s="13">
        <f t="shared" si="167"/>
        <v>61.398168322280704</v>
      </c>
      <c r="BG203" s="20">
        <f t="shared" si="168"/>
        <v>548.9638731613054</v>
      </c>
      <c r="BH203" s="59">
        <f t="shared" si="194"/>
        <v>842.29720649463866</v>
      </c>
      <c r="BI203" s="59">
        <f ca="1">AVERAGE(OFFSET($BH$3,0,0,'Données projet'!$E$11+1,1))-AVERAGE(OFFSET($H$3,0,0,'Données projet'!$E$11+1,1))</f>
        <v>280.45463274302153</v>
      </c>
      <c r="BJ203" s="59">
        <f t="shared" si="206"/>
        <v>276.06968650495287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3.7989244272961651</v>
      </c>
      <c r="BQ203" s="21">
        <f>EXP(-LN(2)/25)*BQ202+(1-EXP(-LN(2)/25))/(LN(2)/25)*Calculateur!BL203*Calculateur!BN203*VLOOKUP('Données projet'!$B$11,Paramètres!$A$1:$I$89,3,0)*0.475*44/12</f>
        <v>9.1778155215004126E-2</v>
      </c>
      <c r="BR203" s="21">
        <f>EXP(-LN(2)/2)*BR202+(1-EXP(-LN(2)/2))/(LN(2)/2)*BL203*BO203*VLOOKUP('Données projet'!$B$11,Paramètres!$A$1:$I$89,3,0)*0.475*44/12</f>
        <v>5.3194718994393694E-19</v>
      </c>
      <c r="BS203" s="22">
        <f t="shared" si="169"/>
        <v>3.8907025825111692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3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1.3744389914333357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1.2855594921550282</v>
      </c>
      <c r="BA205" s="82">
        <f>EXP(LN('Données projet'!B88)/'Données projet'!A88)</f>
        <v>1.3208724756526424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88671875" style="4" bestFit="1" customWidth="1"/>
    <col min="4" max="4" width="40" style="4" bestFit="1" customWidth="1"/>
    <col min="5" max="5" width="11.886718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" thickBot="1" x14ac:dyDescent="0.3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3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3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3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3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" thickBot="1" x14ac:dyDescent="0.3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3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">
      <c r="A93" s="122" t="s">
        <v>208</v>
      </c>
    </row>
    <row r="94" spans="1:14" x14ac:dyDescent="0.3">
      <c r="A94" s="122" t="s">
        <v>209</v>
      </c>
    </row>
    <row r="95" spans="1:14" x14ac:dyDescent="0.3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C3" zoomScale="90" zoomScaleNormal="90" workbookViewId="0">
      <selection activeCell="D17" sqref="D17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5" t="str">
        <f>IF('Données projet'!$B$9="","",'Données projet'!$B$9)</f>
        <v>Mélèze d'Europe</v>
      </c>
      <c r="B6" s="146">
        <f>'Données projet'!D9</f>
        <v>2.5960000000000001</v>
      </c>
      <c r="C6" s="147">
        <f ca="1">IF(OR('Données projet'!B9="",'Données projet'!C9="",'Données projet'!C9=0%),0,Calculateur!S3)</f>
        <v>168.81286953191102</v>
      </c>
      <c r="D6" s="147">
        <f>IF(OR('Données projet'!B9="",'Données projet'!C9="",'Données projet'!C9=0%),0,Calculateur!T3)</f>
        <v>255.78677933103666</v>
      </c>
      <c r="E6" s="147">
        <f ca="1">MIN(C6,D6)</f>
        <v>168.81286953191102</v>
      </c>
      <c r="F6" s="147">
        <f ca="1">E6*B6</f>
        <v>438.23820930484101</v>
      </c>
      <c r="G6" s="147">
        <f ca="1">F6*(100%-'Données projet'!$C$24)*(100%-'Données projet'!$C$25)*(100%-'Données projet'!$C$26)*(100%-'Données projet'!$C$27)</f>
        <v>394.41438837435692</v>
      </c>
      <c r="H6" s="148">
        <f>IF(OR('Données projet'!B9="",'Données projet'!C9="",'Données projet'!C9=0%),0,AVERAGE(Calculateur!$AC$3:$AC$33)*B6)</f>
        <v>34.325946314942819</v>
      </c>
      <c r="I6" s="149">
        <f>H6*(100%-'Données projet'!$C$24)*(100%-'Données projet'!$C$25)*(100%-'Données projet'!$C$26)*(100%-'Données projet'!$C$27)</f>
        <v>30.893351683448536</v>
      </c>
      <c r="J6" s="150">
        <f>IF(OR('Données projet'!B9="",'Données projet'!C9="",'Données projet'!C9=0%),0,SUM(Calculateur!$V$3:$V$33)*VLOOKUP('Données projet'!$B$9,Paramètres!$A$1:$I$89,9,0)*B6)</f>
        <v>141.76756</v>
      </c>
      <c r="K6" s="151">
        <f>J6*(100%-'Données projet'!$C$24)*(100%-'Données projet'!$C$25)*(100%-'Données projet'!$C$26)*(100%-'Données projet'!$C$27)</f>
        <v>127.59080400000001</v>
      </c>
      <c r="L6" s="152">
        <f ca="1">G6+I6+K6</f>
        <v>552.89854405780545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3" t="str">
        <f>IF('Données projet'!$B$10="","",'Données projet'!$B$10)</f>
        <v>Pin laricio</v>
      </c>
      <c r="B7" s="154">
        <f>'Données projet'!D10</f>
        <v>1.4159999999999999</v>
      </c>
      <c r="C7" s="147">
        <f ca="1">IF(OR('Données projet'!B10="",'Données projet'!C10="",'Données projet'!C10=0%),0,Calculateur!AN3)</f>
        <v>247.08914525784144</v>
      </c>
      <c r="D7" s="147">
        <f>IF(OR('Données projet'!B10="",'Données projet'!C10="",'Données projet'!C10=0%),0,Calculateur!AO3)</f>
        <v>286.9617518796191</v>
      </c>
      <c r="E7" s="147">
        <f t="shared" ref="E7:E15" ca="1" si="0">MIN(C7,D7)</f>
        <v>247.08914525784144</v>
      </c>
      <c r="F7" s="147">
        <f t="shared" ref="F7:F15" ca="1" si="1">E7*B7</f>
        <v>349.87822968510346</v>
      </c>
      <c r="G7" s="147">
        <f ca="1">F7*(100%-'Données projet'!$C$24)*(100%-'Données projet'!$C$25)*(100%-'Données projet'!$C$26)*(100%-'Données projet'!$C$27)</f>
        <v>314.89040671659313</v>
      </c>
      <c r="H7" s="155">
        <f>IF(OR('Données projet'!B10="",'Données projet'!C10="",'Données projet'!C10=0%),0,AVERAGE(Calculateur!$AX$3:$AX$33)*B7)</f>
        <v>11.175724774208179</v>
      </c>
      <c r="I7" s="149">
        <f>H7*(100%-'Données projet'!$C$24)*(100%-'Données projet'!$C$25)*(100%-'Données projet'!$C$26)*(100%-'Données projet'!$C$27)</f>
        <v>10.058152296787361</v>
      </c>
      <c r="J7" s="150">
        <f>IF(OR('Données projet'!B10="",'Données projet'!C10="",'Données projet'!C10=0%),0,SUM(Calculateur!$AQ$3:$AQ$33)*VLOOKUP('Données projet'!$B$10,Paramètres!$A$1:$I$89,9,0)*B7)</f>
        <v>85.243199999999987</v>
      </c>
      <c r="K7" s="151">
        <f>J7*(100%-'Données projet'!$C$24)*(100%-'Données projet'!$C$25)*(100%-'Données projet'!$C$26)*(100%-'Données projet'!$C$27)</f>
        <v>76.718879999999984</v>
      </c>
      <c r="L7" s="152">
        <f t="shared" ref="L7:L15" ca="1" si="2">G7+I7+K7</f>
        <v>401.66743901338043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3" t="str">
        <f>IF('Données projet'!$B$11="","",'Données projet'!$B$11)</f>
        <v>Erable sycomore</v>
      </c>
      <c r="B8" s="154">
        <f>'Données projet'!D11</f>
        <v>0.70799999999999996</v>
      </c>
      <c r="C8" s="147">
        <f ca="1">IF(OR('Données projet'!B11="",'Données projet'!C11="",'Données projet'!C11=0%),0,Calculateur!BI3)</f>
        <v>280.45463274302153</v>
      </c>
      <c r="D8" s="147">
        <f>IF(OR('Données projet'!B11="",'Données projet'!C11="",'Données projet'!C11=0%),0,Calculateur!BJ3)</f>
        <v>276.06968650495287</v>
      </c>
      <c r="E8" s="147">
        <f t="shared" ca="1" si="0"/>
        <v>276.06968650495287</v>
      </c>
      <c r="F8" s="147">
        <f t="shared" ca="1" si="1"/>
        <v>195.45733804550662</v>
      </c>
      <c r="G8" s="147">
        <f ca="1">F8*(100%-'Données projet'!$C$24)*(100%-'Données projet'!$C$25)*(100%-'Données projet'!$C$26)*(100%-'Données projet'!$C$27)</f>
        <v>175.91160424095597</v>
      </c>
      <c r="H8" s="155">
        <f>IF(OR('Données projet'!B11="",'Données projet'!C11="",'Données projet'!C11=0%),0,AVERAGE(Calculateur!$BS$3:$BS$33)*B8)</f>
        <v>1.4838219869460112</v>
      </c>
      <c r="I8" s="149">
        <f>H8*(100%-'Données projet'!$C$24)*(100%-'Données projet'!$C$25)*(100%-'Données projet'!$C$26)*(100%-'Données projet'!$C$27)</f>
        <v>1.3354397882514102</v>
      </c>
      <c r="J8" s="150">
        <f>IF(OR('Données projet'!B11="",'Données projet'!C11="",'Données projet'!C11=0%),0,SUM(Calculateur!$BL$3:$BL$33)*VLOOKUP('Données projet'!$B$11,Paramètres!$A$1:$I$89,9,0)*B8)</f>
        <v>24.248999999999999</v>
      </c>
      <c r="K8" s="151">
        <f>J8*(100%-'Données projet'!$C$24)*(100%-'Données projet'!$C$25)*(100%-'Données projet'!$C$26)*(100%-'Données projet'!$C$27)</f>
        <v>21.824099999999998</v>
      </c>
      <c r="L8" s="152">
        <f t="shared" ca="1" si="2"/>
        <v>199.07114402920737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9"/>
      <c r="B16" s="213"/>
      <c r="C16" s="214"/>
      <c r="D16" s="23"/>
      <c r="E16" s="23"/>
      <c r="F16" s="165">
        <f t="shared" ref="F16:L16" ca="1" si="3">SUM(F6:F15)</f>
        <v>983.57377703545114</v>
      </c>
      <c r="G16" s="166">
        <f t="shared" ca="1" si="3"/>
        <v>885.21639933190602</v>
      </c>
      <c r="H16" s="167">
        <f t="shared" si="3"/>
        <v>46.985493076097008</v>
      </c>
      <c r="I16" s="167">
        <f t="shared" si="3"/>
        <v>42.286943768487312</v>
      </c>
      <c r="J16" s="168">
        <f t="shared" si="3"/>
        <v>251.25976</v>
      </c>
      <c r="K16" s="168">
        <f t="shared" si="3"/>
        <v>226.13378399999999</v>
      </c>
      <c r="L16" s="169">
        <f t="shared" ca="1" si="3"/>
        <v>1153.6371271003932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70" t="str">
        <f>A6</f>
        <v>Mélèze d'Europe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70" t="str">
        <f>A7</f>
        <v>Pin laricio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70" t="str">
        <f>A8</f>
        <v>Erable sycomore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N3" zoomScale="80" zoomScaleNormal="80" workbookViewId="0">
      <selection activeCell="E63" sqref="E63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5546875" style="1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58" t="s">
        <v>315</v>
      </c>
      <c r="I4" s="258"/>
      <c r="K4" s="300" t="s">
        <v>253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2" t="s">
        <v>310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Mélèze d'Europe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3984.2481687891982</v>
      </c>
      <c r="U10" s="178">
        <f>'Données projet'!D9</f>
        <v>2.5960000000000001</v>
      </c>
      <c r="V10" s="177">
        <f>U10*T10</f>
        <v>10343.108246176758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Pin laricio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2015.2030373224288</v>
      </c>
      <c r="U11" s="178">
        <f>'Données projet'!D10</f>
        <v>1.4159999999999999</v>
      </c>
      <c r="V11" s="177">
        <f t="shared" ref="V11" si="0">U11*T11</f>
        <v>2853.5275008485592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Erable sycomore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1504.8114755249499</v>
      </c>
      <c r="U12" s="178">
        <f>'Données projet'!D11</f>
        <v>0.70799999999999996</v>
      </c>
      <c r="V12" s="177">
        <f t="shared" ref="V12:V19" si="1">U12*T12</f>
        <v>1065.4065246716643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4" t="str">
        <f>IF('Données projet'!$B$9="","",'Données projet'!$B$9)</f>
        <v>Mélèze d'Europe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30"/>
      <c r="G15" s="303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3"/>
      <c r="H16" s="190"/>
      <c r="I16" s="191"/>
      <c r="J16" s="202"/>
      <c r="K16" s="208"/>
      <c r="L16" s="300" t="s">
        <v>254</v>
      </c>
      <c r="M16" s="301"/>
      <c r="N16" s="2">
        <v>45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303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45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3"/>
      <c r="J18" s="202"/>
      <c r="K18" s="208"/>
      <c r="L18" s="260" t="s">
        <v>255</v>
      </c>
      <c r="M18" s="262"/>
      <c r="N18" s="192">
        <v>45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03"/>
      <c r="H19" s="212" t="s">
        <v>178</v>
      </c>
      <c r="I19" s="212" t="s">
        <v>287</v>
      </c>
      <c r="J19" s="93"/>
      <c r="K19" s="173"/>
      <c r="L19" s="300" t="s">
        <v>288</v>
      </c>
      <c r="M19" s="301"/>
      <c r="N19" s="179">
        <f>N17*N18</f>
        <v>2025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3"/>
      <c r="H20" s="190">
        <v>1</v>
      </c>
      <c r="I20" s="191">
        <v>7178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2</v>
      </c>
      <c r="I21" s="191">
        <v>684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3</v>
      </c>
      <c r="I22" s="191">
        <v>794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80">
        <f>'Données projet'!A36</f>
        <v>15</v>
      </c>
      <c r="B23" s="181">
        <f>'Données projet'!D36</f>
        <v>21</v>
      </c>
      <c r="C23" s="193">
        <f>10*(1+12.8%)</f>
        <v>11.280000000000001</v>
      </c>
      <c r="D23" s="182">
        <f>B23*C23</f>
        <v>236.88000000000002</v>
      </c>
      <c r="E23" s="193">
        <f>75+(D23*12%)</f>
        <v>103.4256</v>
      </c>
      <c r="F23" s="230"/>
      <c r="H23" s="190">
        <v>4</v>
      </c>
      <c r="I23" s="191">
        <v>904</v>
      </c>
      <c r="K23" s="208"/>
      <c r="L23" s="302" t="s">
        <v>260</v>
      </c>
      <c r="M23" s="302"/>
      <c r="N23" s="302"/>
      <c r="O23" s="23"/>
      <c r="P23" s="23"/>
      <c r="Q23" s="234"/>
      <c r="R23" s="23"/>
      <c r="S23" s="36" t="s">
        <v>264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-27977.69918573619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80">
        <f>'Données projet'!A37</f>
        <v>18</v>
      </c>
      <c r="B24" s="181">
        <f>'Données projet'!D37</f>
        <v>25</v>
      </c>
      <c r="C24" s="193">
        <f>30*(1+12.8%)</f>
        <v>33.840000000000003</v>
      </c>
      <c r="D24" s="182">
        <f t="shared" ref="D24:D42" si="2">B24*C24</f>
        <v>846.00000000000011</v>
      </c>
      <c r="E24" s="193">
        <f t="shared" ref="E24:E29" si="3">75+(D24*12%)</f>
        <v>176.52</v>
      </c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1318.6634112898507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80">
        <f>'Données projet'!A38</f>
        <v>21</v>
      </c>
      <c r="B25" s="181">
        <f>'Données projet'!D38</f>
        <v>30</v>
      </c>
      <c r="C25" s="193">
        <f>40*(1+12.8%)</f>
        <v>45.120000000000005</v>
      </c>
      <c r="D25" s="182">
        <f t="shared" si="2"/>
        <v>1353.6000000000001</v>
      </c>
      <c r="E25" s="193">
        <f t="shared" si="3"/>
        <v>237.43200000000002</v>
      </c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299">
        <f ca="1">T23-T24</f>
        <v>-29296.36259702604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80">
        <f>'Données projet'!A39</f>
        <v>27</v>
      </c>
      <c r="B26" s="181">
        <f>'Données projet'!D39</f>
        <v>51</v>
      </c>
      <c r="C26" s="193">
        <f>50*(1+12.8%)</f>
        <v>56.400000000000006</v>
      </c>
      <c r="D26" s="182">
        <f t="shared" si="2"/>
        <v>2876.4</v>
      </c>
      <c r="E26" s="193">
        <f t="shared" si="3"/>
        <v>420.16800000000001</v>
      </c>
      <c r="F26" s="233"/>
      <c r="G26" s="229"/>
      <c r="H26" s="190"/>
      <c r="I26" s="191"/>
      <c r="K26" s="208"/>
      <c r="L26" s="286" t="s">
        <v>258</v>
      </c>
      <c r="M26" s="287"/>
      <c r="N26" s="287"/>
      <c r="O26" s="287"/>
      <c r="P26" s="288"/>
      <c r="Q26" s="234"/>
      <c r="R26" s="23"/>
      <c r="S26" s="186" t="s">
        <v>265</v>
      </c>
      <c r="T26" s="296" t="str">
        <f ca="1">IF(T25&lt;0,"Votre projet est additionnel","Votre projet n'est pas additionnel")</f>
        <v>Votre projet est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80">
        <f>'Données projet'!A40</f>
        <v>33</v>
      </c>
      <c r="B27" s="181">
        <f>'Données projet'!D40</f>
        <v>63</v>
      </c>
      <c r="C27" s="193">
        <f>60*(1+12.8%)</f>
        <v>67.680000000000007</v>
      </c>
      <c r="D27" s="182">
        <f t="shared" si="2"/>
        <v>4263.84</v>
      </c>
      <c r="E27" s="193">
        <f t="shared" si="3"/>
        <v>586.66079999999999</v>
      </c>
      <c r="F27" s="233"/>
      <c r="G27" s="229"/>
      <c r="H27" s="190"/>
      <c r="I27" s="191"/>
      <c r="K27" s="208"/>
      <c r="L27" s="289"/>
      <c r="M27" s="290"/>
      <c r="N27" s="290"/>
      <c r="O27" s="290"/>
      <c r="P27" s="291"/>
      <c r="Q27" s="234"/>
      <c r="R27" s="23"/>
      <c r="S27" s="295" t="s">
        <v>267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80">
        <f>'Données projet'!A41</f>
        <v>39</v>
      </c>
      <c r="B28" s="181">
        <f>'Données projet'!D41</f>
        <v>67</v>
      </c>
      <c r="C28" s="193">
        <f>75*(1+12.8%)</f>
        <v>84.600000000000009</v>
      </c>
      <c r="D28" s="182">
        <f t="shared" si="2"/>
        <v>5668.2000000000007</v>
      </c>
      <c r="E28" s="193">
        <f t="shared" si="3"/>
        <v>755.18400000000008</v>
      </c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80">
        <f>'Données projet'!A42</f>
        <v>45</v>
      </c>
      <c r="B29" s="181">
        <f>'Données projet'!D42</f>
        <v>67</v>
      </c>
      <c r="C29" s="193">
        <f>75*(1+12.8%)</f>
        <v>84.600000000000009</v>
      </c>
      <c r="D29" s="182">
        <f t="shared" si="2"/>
        <v>5668.2000000000007</v>
      </c>
      <c r="E29" s="193">
        <f t="shared" si="3"/>
        <v>755.18400000000008</v>
      </c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80">
        <f>'Données projet'!A43</f>
        <v>0</v>
      </c>
      <c r="B30" s="181">
        <f>'Données projet'!D43</f>
        <v>0</v>
      </c>
      <c r="C30" s="193"/>
      <c r="D30" s="182">
        <f t="shared" si="2"/>
        <v>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4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4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4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4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4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4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4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4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4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4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4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4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4" t="str">
        <f>IF('Données projet'!$B$10="","",'Données projet'!$B$10)</f>
        <v>Pin laricio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4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4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4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4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4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4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4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4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4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80">
        <f>'Données projet'!A62</f>
        <v>20</v>
      </c>
      <c r="B54" s="181">
        <f>'Données projet'!D62</f>
        <v>42</v>
      </c>
      <c r="C54" s="191">
        <f>12*(1+12.8%)</f>
        <v>13.536000000000001</v>
      </c>
      <c r="D54" s="179">
        <f>B54*C54</f>
        <v>568.51200000000006</v>
      </c>
      <c r="E54" s="193">
        <f>75+(D54*12%)</f>
        <v>143.22144</v>
      </c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4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80">
        <f>'Données projet'!A63</f>
        <v>25</v>
      </c>
      <c r="B55" s="181">
        <f>'Données projet'!D63</f>
        <v>49</v>
      </c>
      <c r="C55" s="191">
        <f>20*(1+12.8%)</f>
        <v>22.560000000000002</v>
      </c>
      <c r="D55" s="179">
        <f t="shared" ref="D55:D73" si="5">B55*C55</f>
        <v>1105.44</v>
      </c>
      <c r="E55" s="193">
        <f t="shared" ref="E55:E63" si="6">75+(D55*12%)</f>
        <v>207.65280000000001</v>
      </c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4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80">
        <f>'Données projet'!A64</f>
        <v>30</v>
      </c>
      <c r="B56" s="181">
        <f>'Données projet'!D64</f>
        <v>49</v>
      </c>
      <c r="C56" s="191">
        <f>30*(1+12.8%)</f>
        <v>33.840000000000003</v>
      </c>
      <c r="D56" s="179">
        <f t="shared" si="5"/>
        <v>1658.16</v>
      </c>
      <c r="E56" s="193">
        <f t="shared" si="6"/>
        <v>273.97919999999999</v>
      </c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4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80">
        <f>'Données projet'!A65</f>
        <v>35</v>
      </c>
      <c r="B57" s="181">
        <f>'Données projet'!D65</f>
        <v>49</v>
      </c>
      <c r="C57" s="191">
        <f>37*(1+12.8%)</f>
        <v>41.736000000000004</v>
      </c>
      <c r="D57" s="179">
        <f t="shared" si="5"/>
        <v>2045.0640000000003</v>
      </c>
      <c r="E57" s="193">
        <f t="shared" si="6"/>
        <v>320.40768000000003</v>
      </c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4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80">
        <f>'Données projet'!A66</f>
        <v>40</v>
      </c>
      <c r="B58" s="181">
        <f>'Données projet'!D66</f>
        <v>49</v>
      </c>
      <c r="C58" s="191">
        <f>40*(1+12.8%)</f>
        <v>45.120000000000005</v>
      </c>
      <c r="D58" s="179">
        <f t="shared" si="5"/>
        <v>2210.88</v>
      </c>
      <c r="E58" s="193">
        <f t="shared" si="6"/>
        <v>340.30560000000003</v>
      </c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4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80">
        <f>'Données projet'!A67</f>
        <v>45</v>
      </c>
      <c r="B59" s="181">
        <f>'Données projet'!D67</f>
        <v>49</v>
      </c>
      <c r="C59" s="191">
        <f>45*(1+12.8%)</f>
        <v>50.760000000000005</v>
      </c>
      <c r="D59" s="179">
        <f t="shared" si="5"/>
        <v>2487.2400000000002</v>
      </c>
      <c r="E59" s="193">
        <f t="shared" si="6"/>
        <v>373.46880000000004</v>
      </c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4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80">
        <f>'Données projet'!A68</f>
        <v>50</v>
      </c>
      <c r="B60" s="181">
        <f>'Données projet'!D68</f>
        <v>45</v>
      </c>
      <c r="C60" s="191">
        <f t="shared" ref="C60" si="7">45*(1+12.8%)</f>
        <v>50.760000000000005</v>
      </c>
      <c r="D60" s="179">
        <f t="shared" si="5"/>
        <v>2284.2000000000003</v>
      </c>
      <c r="E60" s="193">
        <f t="shared" si="6"/>
        <v>349.10400000000004</v>
      </c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4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80">
        <f>'Données projet'!A69</f>
        <v>55</v>
      </c>
      <c r="B61" s="181">
        <f>'Données projet'!D69</f>
        <v>38</v>
      </c>
      <c r="C61" s="191">
        <f>50*(1+12.8%)</f>
        <v>56.400000000000006</v>
      </c>
      <c r="D61" s="179">
        <f t="shared" si="5"/>
        <v>2143.2000000000003</v>
      </c>
      <c r="E61" s="193">
        <f t="shared" si="6"/>
        <v>332.18400000000003</v>
      </c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4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80">
        <f>'Données projet'!A70</f>
        <v>60</v>
      </c>
      <c r="B62" s="181">
        <f>'Données projet'!D70</f>
        <v>33</v>
      </c>
      <c r="C62" s="191">
        <f>50*(1+12.8%)</f>
        <v>56.400000000000006</v>
      </c>
      <c r="D62" s="179">
        <f t="shared" si="5"/>
        <v>1861.2000000000003</v>
      </c>
      <c r="E62" s="193">
        <f t="shared" si="6"/>
        <v>298.34400000000005</v>
      </c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4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80">
        <f>'Données projet'!A71</f>
        <v>0</v>
      </c>
      <c r="B63" s="181">
        <f>'Données projet'!D71</f>
        <v>0</v>
      </c>
      <c r="C63" s="191"/>
      <c r="D63" s="179">
        <f t="shared" si="5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4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80">
        <f>'Données projet'!A72</f>
        <v>0</v>
      </c>
      <c r="B64" s="181">
        <f>'Données projet'!D72</f>
        <v>0</v>
      </c>
      <c r="C64" s="191"/>
      <c r="D64" s="179">
        <f t="shared" si="5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4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80">
        <f>'Données projet'!A73</f>
        <v>0</v>
      </c>
      <c r="B65" s="181">
        <f>'Données projet'!D73</f>
        <v>0</v>
      </c>
      <c r="C65" s="191"/>
      <c r="D65" s="179">
        <f t="shared" si="5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8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80">
        <f>'Données projet'!A74</f>
        <v>0</v>
      </c>
      <c r="B66" s="181">
        <f>'Données projet'!D74</f>
        <v>0</v>
      </c>
      <c r="C66" s="191"/>
      <c r="D66" s="179">
        <f t="shared" si="5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8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80">
        <f>'Données projet'!A75</f>
        <v>0</v>
      </c>
      <c r="B67" s="181">
        <f>'Données projet'!D75</f>
        <v>0</v>
      </c>
      <c r="C67" s="191"/>
      <c r="D67" s="179">
        <f t="shared" si="5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8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80">
        <f>'Données projet'!A76</f>
        <v>0</v>
      </c>
      <c r="B68" s="181">
        <f>'Données projet'!D76</f>
        <v>0</v>
      </c>
      <c r="C68" s="191"/>
      <c r="D68" s="179">
        <f t="shared" si="5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8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80">
        <f>'Données projet'!A77</f>
        <v>0</v>
      </c>
      <c r="B69" s="181">
        <f>'Données projet'!D77</f>
        <v>0</v>
      </c>
      <c r="C69" s="191"/>
      <c r="D69" s="179">
        <f t="shared" si="5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8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80">
        <f>'Données projet'!A78</f>
        <v>0</v>
      </c>
      <c r="B70" s="181">
        <f>'Données projet'!D78</f>
        <v>0</v>
      </c>
      <c r="C70" s="191"/>
      <c r="D70" s="179">
        <f t="shared" si="5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8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80">
        <f>'Données projet'!A79</f>
        <v>0</v>
      </c>
      <c r="B71" s="181">
        <f>'Données projet'!D79</f>
        <v>0</v>
      </c>
      <c r="C71" s="191"/>
      <c r="D71" s="179">
        <f t="shared" si="5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8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80">
        <f>'Données projet'!A80</f>
        <v>0</v>
      </c>
      <c r="B72" s="181">
        <f>'Données projet'!D80</f>
        <v>0</v>
      </c>
      <c r="C72" s="191"/>
      <c r="D72" s="179">
        <f t="shared" si="5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8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80">
        <f>'Données projet'!A81</f>
        <v>0</v>
      </c>
      <c r="B73" s="181">
        <f>'Données projet'!D81</f>
        <v>0</v>
      </c>
      <c r="C73" s="191"/>
      <c r="D73" s="179">
        <f t="shared" si="5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8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8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8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4" t="str">
        <f>IF('Données projet'!B11="","",'Données projet'!B11)</f>
        <v>Erable sycomore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8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8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8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 t="str">
        <f>IF(O78+1&lt;=MIN('Données projet'!$E$9:$E$18),O78+1,"STOP")</f>
        <v>STOP</v>
      </c>
      <c r="P79" s="185" t="e">
        <f t="shared" si="8"/>
        <v>#VALUE!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8"/>
        <v>#VALUE!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8"/>
        <v>#VALUE!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8"/>
        <v>#VALUE!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8"/>
        <v>#VALUE!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8"/>
        <v>#VALUE!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80">
        <f>'Données projet'!A88</f>
        <v>15</v>
      </c>
      <c r="B85" s="181">
        <f>'Données projet'!D88</f>
        <v>32</v>
      </c>
      <c r="C85" s="191">
        <f>7.6*(1+12.8%)</f>
        <v>8.5728000000000009</v>
      </c>
      <c r="D85" s="179">
        <f>B85*C85</f>
        <v>274.32960000000003</v>
      </c>
      <c r="E85" s="193">
        <f>75+(D85*12%)</f>
        <v>107.91955200000001</v>
      </c>
      <c r="F85" s="232"/>
      <c r="G85" s="205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8"/>
        <v>#VALUE!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80">
        <f>'Données projet'!A89</f>
        <v>20</v>
      </c>
      <c r="B86" s="181">
        <f>'Données projet'!D89</f>
        <v>35</v>
      </c>
      <c r="C86" s="191">
        <f>13.2*(1+12.8%)</f>
        <v>14.889600000000002</v>
      </c>
      <c r="D86" s="179">
        <f t="shared" ref="D86:D104" si="9">B86*C86</f>
        <v>521.13600000000008</v>
      </c>
      <c r="E86" s="193">
        <f t="shared" ref="E86:E98" si="10">75+(D86*12%)</f>
        <v>137.53632000000002</v>
      </c>
      <c r="F86" s="232"/>
      <c r="G86" s="205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8"/>
        <v>#VALUE!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80">
        <f>'Données projet'!A90</f>
        <v>25</v>
      </c>
      <c r="B87" s="181">
        <f>'Données projet'!D90</f>
        <v>35</v>
      </c>
      <c r="C87" s="191">
        <f>18.8*(1+12.8%)</f>
        <v>21.206400000000002</v>
      </c>
      <c r="D87" s="179">
        <f t="shared" si="9"/>
        <v>742.22400000000005</v>
      </c>
      <c r="E87" s="193">
        <f t="shared" si="10"/>
        <v>164.06688</v>
      </c>
      <c r="F87" s="232"/>
      <c r="G87" s="205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8"/>
        <v>#VALUE!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80">
        <f>'Données projet'!A91</f>
        <v>30</v>
      </c>
      <c r="B88" s="181">
        <f>'Données projet'!D91</f>
        <v>35</v>
      </c>
      <c r="C88" s="191">
        <f>30.28*(1+12.8%)</f>
        <v>34.155840000000005</v>
      </c>
      <c r="D88" s="179">
        <f t="shared" si="9"/>
        <v>1195.4544000000001</v>
      </c>
      <c r="E88" s="193">
        <f t="shared" si="10"/>
        <v>218.45452800000001</v>
      </c>
      <c r="F88" s="232"/>
      <c r="G88" s="205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8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80">
        <f>'Données projet'!A92</f>
        <v>35</v>
      </c>
      <c r="B89" s="181">
        <f>'Données projet'!D92</f>
        <v>35</v>
      </c>
      <c r="C89" s="191">
        <f t="shared" ref="C89:C90" si="11">30.28*(1+12.8%)</f>
        <v>34.155840000000005</v>
      </c>
      <c r="D89" s="179">
        <f t="shared" si="9"/>
        <v>1195.4544000000001</v>
      </c>
      <c r="E89" s="193">
        <f t="shared" si="10"/>
        <v>218.45452800000001</v>
      </c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8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80">
        <f>'Données projet'!A93</f>
        <v>40</v>
      </c>
      <c r="B90" s="181">
        <f>'Données projet'!D93</f>
        <v>35</v>
      </c>
      <c r="C90" s="191">
        <f t="shared" si="11"/>
        <v>34.155840000000005</v>
      </c>
      <c r="D90" s="179">
        <f t="shared" si="9"/>
        <v>1195.4544000000001</v>
      </c>
      <c r="E90" s="193">
        <f t="shared" si="10"/>
        <v>218.45452800000001</v>
      </c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8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80">
        <f>'Données projet'!A94</f>
        <v>45</v>
      </c>
      <c r="B91" s="181">
        <f>'Données projet'!D94</f>
        <v>24</v>
      </c>
      <c r="C91" s="191">
        <f>40*(1+12.8%)</f>
        <v>45.120000000000005</v>
      </c>
      <c r="D91" s="179">
        <f t="shared" si="9"/>
        <v>1082.8800000000001</v>
      </c>
      <c r="E91" s="193">
        <f t="shared" si="10"/>
        <v>204.94560000000001</v>
      </c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8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80">
        <f>'Données projet'!A95</f>
        <v>50</v>
      </c>
      <c r="B92" s="181">
        <f>'Données projet'!D95</f>
        <v>19</v>
      </c>
      <c r="C92" s="191">
        <f>40*(1+12.8%)</f>
        <v>45.120000000000005</v>
      </c>
      <c r="D92" s="179">
        <f t="shared" si="9"/>
        <v>857.28000000000009</v>
      </c>
      <c r="E92" s="193">
        <f t="shared" si="10"/>
        <v>177.87360000000001</v>
      </c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8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80">
        <f>'Données projet'!A96</f>
        <v>55</v>
      </c>
      <c r="B93" s="181">
        <f>'Données projet'!D96</f>
        <v>16</v>
      </c>
      <c r="C93" s="191">
        <f>55*(1+12.8%)</f>
        <v>62.040000000000006</v>
      </c>
      <c r="D93" s="179">
        <f t="shared" si="9"/>
        <v>992.6400000000001</v>
      </c>
      <c r="E93" s="193">
        <f t="shared" si="10"/>
        <v>194.11680000000001</v>
      </c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8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80">
        <f>'Données projet'!A97</f>
        <v>60</v>
      </c>
      <c r="B94" s="181">
        <f>'Données projet'!D97</f>
        <v>14</v>
      </c>
      <c r="C94" s="191">
        <f>55*(1+12.8%)</f>
        <v>62.040000000000006</v>
      </c>
      <c r="D94" s="179">
        <f t="shared" si="9"/>
        <v>868.56000000000006</v>
      </c>
      <c r="E94" s="193">
        <f t="shared" si="10"/>
        <v>179.22719999999998</v>
      </c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8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80">
        <f>'Données projet'!A98</f>
        <v>65</v>
      </c>
      <c r="B95" s="181">
        <f>'Données projet'!D98</f>
        <v>13</v>
      </c>
      <c r="C95" s="191">
        <f>60*(1+12.8%)</f>
        <v>67.680000000000007</v>
      </c>
      <c r="D95" s="179">
        <f t="shared" si="9"/>
        <v>879.84000000000015</v>
      </c>
      <c r="E95" s="193">
        <f t="shared" si="10"/>
        <v>180.58080000000001</v>
      </c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8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80">
        <f>'Données projet'!A99</f>
        <v>70</v>
      </c>
      <c r="B96" s="181">
        <f>'Données projet'!D99</f>
        <v>13</v>
      </c>
      <c r="C96" s="191">
        <f>60*(1+12.8%)</f>
        <v>67.680000000000007</v>
      </c>
      <c r="D96" s="179">
        <f t="shared" si="9"/>
        <v>879.84000000000015</v>
      </c>
      <c r="E96" s="193">
        <f t="shared" si="10"/>
        <v>180.58080000000001</v>
      </c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8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80">
        <f>'Données projet'!A100</f>
        <v>75</v>
      </c>
      <c r="B97" s="181">
        <f>'Données projet'!D100</f>
        <v>12</v>
      </c>
      <c r="C97" s="191">
        <f>60*(1+12.8%)</f>
        <v>67.680000000000007</v>
      </c>
      <c r="D97" s="179">
        <f t="shared" si="9"/>
        <v>812.16000000000008</v>
      </c>
      <c r="E97" s="193">
        <f t="shared" si="10"/>
        <v>172.45920000000001</v>
      </c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12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80">
        <f>'Données projet'!A101</f>
        <v>80</v>
      </c>
      <c r="B98" s="181">
        <f>'Données projet'!D101</f>
        <v>11</v>
      </c>
      <c r="C98" s="191">
        <f>60*(1+12.8%)</f>
        <v>67.680000000000007</v>
      </c>
      <c r="D98" s="179">
        <f t="shared" si="9"/>
        <v>744.48</v>
      </c>
      <c r="E98" s="193">
        <f t="shared" si="10"/>
        <v>164.33760000000001</v>
      </c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12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80">
        <f>'Données projet'!A102</f>
        <v>0</v>
      </c>
      <c r="B99" s="181">
        <f>'Données projet'!D102</f>
        <v>0</v>
      </c>
      <c r="C99" s="191"/>
      <c r="D99" s="179">
        <f t="shared" si="9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12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80">
        <f>'Données projet'!A103</f>
        <v>0</v>
      </c>
      <c r="B100" s="181">
        <f>'Données projet'!D103</f>
        <v>0</v>
      </c>
      <c r="C100" s="191"/>
      <c r="D100" s="179">
        <f t="shared" si="9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12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80">
        <f>'Données projet'!A104</f>
        <v>0</v>
      </c>
      <c r="B101" s="181">
        <f>'Données projet'!D104</f>
        <v>0</v>
      </c>
      <c r="C101" s="191"/>
      <c r="D101" s="179">
        <f t="shared" si="9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12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80">
        <f>'Données projet'!A105</f>
        <v>0</v>
      </c>
      <c r="B102" s="181">
        <f>'Données projet'!D105</f>
        <v>0</v>
      </c>
      <c r="C102" s="191"/>
      <c r="D102" s="179">
        <f t="shared" si="9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12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80">
        <f>'Données projet'!A106</f>
        <v>0</v>
      </c>
      <c r="B103" s="181">
        <f>'Données projet'!D106</f>
        <v>0</v>
      </c>
      <c r="C103" s="191"/>
      <c r="D103" s="179">
        <f t="shared" si="9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12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80">
        <f>'Données projet'!A107</f>
        <v>0</v>
      </c>
      <c r="B104" s="181">
        <f>'Données projet'!D107</f>
        <v>0</v>
      </c>
      <c r="C104" s="191"/>
      <c r="D104" s="179">
        <f t="shared" si="9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12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12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12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12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12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12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12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12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12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12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12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12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12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13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12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80">
        <f>'Données projet'!A116</f>
        <v>0</v>
      </c>
      <c r="B118" s="181">
        <f>'Données projet'!D116</f>
        <v>0</v>
      </c>
      <c r="C118" s="191"/>
      <c r="D118" s="179">
        <f t="shared" si="13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12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80">
        <f>'Données projet'!A117</f>
        <v>0</v>
      </c>
      <c r="B119" s="181">
        <f>'Données projet'!D117</f>
        <v>0</v>
      </c>
      <c r="C119" s="191"/>
      <c r="D119" s="179">
        <f t="shared" si="13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12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80">
        <f>'Données projet'!A118</f>
        <v>0</v>
      </c>
      <c r="B120" s="181">
        <f>'Données projet'!D118</f>
        <v>0</v>
      </c>
      <c r="C120" s="191"/>
      <c r="D120" s="179">
        <f t="shared" si="13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12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80">
        <f>'Données projet'!A119</f>
        <v>0</v>
      </c>
      <c r="B121" s="181">
        <f>'Données projet'!D119</f>
        <v>0</v>
      </c>
      <c r="C121" s="191"/>
      <c r="D121" s="179">
        <f t="shared" si="13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12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80">
        <f>'Données projet'!A120</f>
        <v>0</v>
      </c>
      <c r="B122" s="181">
        <f>'Données projet'!D120</f>
        <v>0</v>
      </c>
      <c r="C122" s="191"/>
      <c r="D122" s="179">
        <f t="shared" si="13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12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80">
        <f>'Données projet'!A121</f>
        <v>0</v>
      </c>
      <c r="B123" s="181">
        <f>'Données projet'!D121</f>
        <v>0</v>
      </c>
      <c r="C123" s="191"/>
      <c r="D123" s="179">
        <f t="shared" si="13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12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80">
        <f>'Données projet'!A122</f>
        <v>0</v>
      </c>
      <c r="B124" s="181">
        <f>'Données projet'!D122</f>
        <v>0</v>
      </c>
      <c r="C124" s="191"/>
      <c r="D124" s="179">
        <f t="shared" si="13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12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80">
        <f>'Données projet'!A123</f>
        <v>0</v>
      </c>
      <c r="B125" s="181">
        <f>'Données projet'!D123</f>
        <v>0</v>
      </c>
      <c r="C125" s="191"/>
      <c r="D125" s="179">
        <f t="shared" si="13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12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80">
        <f>'Données projet'!A124</f>
        <v>0</v>
      </c>
      <c r="B126" s="181">
        <f>'Données projet'!D124</f>
        <v>0</v>
      </c>
      <c r="C126" s="191"/>
      <c r="D126" s="179">
        <f t="shared" si="13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12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80">
        <f>'Données projet'!A125</f>
        <v>0</v>
      </c>
      <c r="B127" s="181">
        <f>'Données projet'!D125</f>
        <v>0</v>
      </c>
      <c r="C127" s="191"/>
      <c r="D127" s="179">
        <f t="shared" si="13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12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80">
        <f>'Données projet'!A126</f>
        <v>0</v>
      </c>
      <c r="B128" s="181">
        <f>'Données projet'!D126</f>
        <v>0</v>
      </c>
      <c r="C128" s="191"/>
      <c r="D128" s="179">
        <f t="shared" si="13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12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80">
        <f>'Données projet'!A127</f>
        <v>0</v>
      </c>
      <c r="B129" s="181">
        <f>'Données projet'!D127</f>
        <v>0</v>
      </c>
      <c r="C129" s="191"/>
      <c r="D129" s="179">
        <f t="shared" si="13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14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80">
        <f>'Données projet'!A128</f>
        <v>0</v>
      </c>
      <c r="B130" s="181">
        <f>'Données projet'!D128</f>
        <v>0</v>
      </c>
      <c r="C130" s="191"/>
      <c r="D130" s="179">
        <f t="shared" si="13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14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80">
        <f>'Données projet'!A129</f>
        <v>0</v>
      </c>
      <c r="B131" s="181">
        <f>'Données projet'!D129</f>
        <v>0</v>
      </c>
      <c r="C131" s="191"/>
      <c r="D131" s="179">
        <f t="shared" si="13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14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80">
        <f>'Données projet'!A130</f>
        <v>0</v>
      </c>
      <c r="B132" s="181">
        <f>'Données projet'!D130</f>
        <v>0</v>
      </c>
      <c r="C132" s="191"/>
      <c r="D132" s="179">
        <f t="shared" si="13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14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80">
        <f>'Données projet'!A131</f>
        <v>0</v>
      </c>
      <c r="B133" s="181">
        <f>'Données projet'!D131</f>
        <v>0</v>
      </c>
      <c r="C133" s="191"/>
      <c r="D133" s="179">
        <f t="shared" si="13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80">
        <f>'Données projet'!A132</f>
        <v>0</v>
      </c>
      <c r="B134" s="181">
        <f>'Données projet'!D132</f>
        <v>0</v>
      </c>
      <c r="C134" s="191"/>
      <c r="D134" s="179">
        <f t="shared" si="13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80">
        <f>'Données projet'!A133</f>
        <v>0</v>
      </c>
      <c r="B135" s="181">
        <f>'Données projet'!D133</f>
        <v>0</v>
      </c>
      <c r="C135" s="191"/>
      <c r="D135" s="179">
        <f t="shared" si="13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5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5">
        <f>'Données projet'!D142</f>
        <v>0</v>
      </c>
      <c r="C149" s="191"/>
      <c r="D149" s="182">
        <f t="shared" si="15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5">
        <f>'Données projet'!D143</f>
        <v>0</v>
      </c>
      <c r="C150" s="191"/>
      <c r="D150" s="182">
        <f t="shared" si="15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5">
        <f>'Données projet'!D144</f>
        <v>0</v>
      </c>
      <c r="C151" s="191"/>
      <c r="D151" s="182">
        <f t="shared" si="15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5">
        <f>'Données projet'!D145</f>
        <v>0</v>
      </c>
      <c r="C152" s="191"/>
      <c r="D152" s="182">
        <f t="shared" si="15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5">
        <f>'Données projet'!D146</f>
        <v>0</v>
      </c>
      <c r="C153" s="191"/>
      <c r="D153" s="182">
        <f t="shared" si="15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5">
        <f>'Données projet'!D147</f>
        <v>0</v>
      </c>
      <c r="C154" s="191"/>
      <c r="D154" s="182">
        <f t="shared" si="15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5">
        <f>'Données projet'!D148</f>
        <v>0</v>
      </c>
      <c r="C155" s="191"/>
      <c r="D155" s="182">
        <f t="shared" si="15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5">
        <f>'Données projet'!D149</f>
        <v>0</v>
      </c>
      <c r="C156" s="191"/>
      <c r="D156" s="182">
        <f t="shared" si="15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5">
        <f>'Données projet'!D150</f>
        <v>0</v>
      </c>
      <c r="C157" s="191"/>
      <c r="D157" s="182">
        <f t="shared" si="15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5">
        <f>'Données projet'!D151</f>
        <v>0</v>
      </c>
      <c r="C158" s="191"/>
      <c r="D158" s="182">
        <f t="shared" si="15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5">
        <f>'Données projet'!D152</f>
        <v>0</v>
      </c>
      <c r="C159" s="191"/>
      <c r="D159" s="182">
        <f t="shared" si="15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5">
        <f>'Données projet'!D153</f>
        <v>0</v>
      </c>
      <c r="C160" s="191"/>
      <c r="D160" s="182">
        <f t="shared" si="15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5">
        <f>'Données projet'!D154</f>
        <v>0</v>
      </c>
      <c r="C161" s="191"/>
      <c r="D161" s="182">
        <f t="shared" si="15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5">
        <f>'Données projet'!D155</f>
        <v>0</v>
      </c>
      <c r="C162" s="191"/>
      <c r="D162" s="182">
        <f t="shared" si="15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5">
        <f>'Données projet'!D156</f>
        <v>0</v>
      </c>
      <c r="C163" s="191"/>
      <c r="D163" s="182">
        <f t="shared" si="15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5">
        <f>'Données projet'!D157</f>
        <v>0</v>
      </c>
      <c r="C164" s="191"/>
      <c r="D164" s="182">
        <f t="shared" si="15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5">
        <f>'Données projet'!D158</f>
        <v>0</v>
      </c>
      <c r="C165" s="191"/>
      <c r="D165" s="182">
        <f t="shared" si="15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5">
        <f>'Données projet'!D159</f>
        <v>0</v>
      </c>
      <c r="C166" s="191"/>
      <c r="D166" s="182">
        <f t="shared" si="15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6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80">
        <f>'Données projet'!A168</f>
        <v>0</v>
      </c>
      <c r="B180" s="181">
        <f>'Données projet'!D168</f>
        <v>0</v>
      </c>
      <c r="C180" s="193"/>
      <c r="D180" s="179">
        <f t="shared" si="16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80">
        <f>'Données projet'!A169</f>
        <v>0</v>
      </c>
      <c r="B181" s="181">
        <f>'Données projet'!D169</f>
        <v>0</v>
      </c>
      <c r="C181" s="193"/>
      <c r="D181" s="179">
        <f t="shared" si="16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80">
        <f>'Données projet'!A170</f>
        <v>0</v>
      </c>
      <c r="B182" s="181">
        <f>'Données projet'!D170</f>
        <v>0</v>
      </c>
      <c r="C182" s="193"/>
      <c r="D182" s="179">
        <f t="shared" si="16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80">
        <f>'Données projet'!A171</f>
        <v>0</v>
      </c>
      <c r="B183" s="181">
        <f>'Données projet'!D171</f>
        <v>0</v>
      </c>
      <c r="C183" s="193"/>
      <c r="D183" s="179">
        <f t="shared" si="16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80">
        <f>'Données projet'!A172</f>
        <v>0</v>
      </c>
      <c r="B184" s="181">
        <f>'Données projet'!D172</f>
        <v>0</v>
      </c>
      <c r="C184" s="193"/>
      <c r="D184" s="179">
        <f t="shared" si="16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80">
        <f>'Données projet'!A173</f>
        <v>0</v>
      </c>
      <c r="B185" s="181">
        <f>'Données projet'!D173</f>
        <v>0</v>
      </c>
      <c r="C185" s="193"/>
      <c r="D185" s="179">
        <f t="shared" si="16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80">
        <f>'Données projet'!A174</f>
        <v>0</v>
      </c>
      <c r="B186" s="181">
        <f>'Données projet'!D174</f>
        <v>0</v>
      </c>
      <c r="C186" s="193"/>
      <c r="D186" s="179">
        <f t="shared" si="16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80">
        <f>'Données projet'!A175</f>
        <v>0</v>
      </c>
      <c r="B187" s="181">
        <f>'Données projet'!D175</f>
        <v>0</v>
      </c>
      <c r="C187" s="193"/>
      <c r="D187" s="179">
        <f t="shared" si="16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80">
        <f>'Données projet'!A176</f>
        <v>0</v>
      </c>
      <c r="B188" s="181">
        <f>'Données projet'!D176</f>
        <v>0</v>
      </c>
      <c r="C188" s="193"/>
      <c r="D188" s="179">
        <f t="shared" si="16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80">
        <f>'Données projet'!A177</f>
        <v>0</v>
      </c>
      <c r="B189" s="181">
        <f>'Données projet'!D177</f>
        <v>0</v>
      </c>
      <c r="C189" s="193"/>
      <c r="D189" s="179">
        <f t="shared" si="16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80">
        <f>'Données projet'!A178</f>
        <v>0</v>
      </c>
      <c r="B190" s="181">
        <f>'Données projet'!D178</f>
        <v>0</v>
      </c>
      <c r="C190" s="193"/>
      <c r="D190" s="179">
        <f t="shared" si="16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80">
        <f>'Données projet'!A179</f>
        <v>0</v>
      </c>
      <c r="B191" s="181">
        <f>'Données projet'!D179</f>
        <v>0</v>
      </c>
      <c r="C191" s="193"/>
      <c r="D191" s="179">
        <f t="shared" si="16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80">
        <f>'Données projet'!A180</f>
        <v>0</v>
      </c>
      <c r="B192" s="181">
        <f>'Données projet'!D180</f>
        <v>0</v>
      </c>
      <c r="C192" s="193"/>
      <c r="D192" s="179">
        <f t="shared" si="16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80">
        <f>'Données projet'!A181</f>
        <v>0</v>
      </c>
      <c r="B193" s="181">
        <f>'Données projet'!D181</f>
        <v>0</v>
      </c>
      <c r="C193" s="193"/>
      <c r="D193" s="179">
        <f t="shared" si="16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80">
        <f>'Données projet'!A182</f>
        <v>0</v>
      </c>
      <c r="B194" s="181">
        <f>'Données projet'!D182</f>
        <v>0</v>
      </c>
      <c r="C194" s="193"/>
      <c r="D194" s="179">
        <f t="shared" si="16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80">
        <f>'Données projet'!A183</f>
        <v>0</v>
      </c>
      <c r="B195" s="181">
        <f>'Données projet'!D183</f>
        <v>0</v>
      </c>
      <c r="C195" s="193"/>
      <c r="D195" s="179">
        <f t="shared" si="16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80">
        <f>'Données projet'!A184</f>
        <v>0</v>
      </c>
      <c r="B196" s="181">
        <f>'Données projet'!D184</f>
        <v>0</v>
      </c>
      <c r="C196" s="193"/>
      <c r="D196" s="179">
        <f t="shared" si="16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80">
        <f>'Données projet'!A185</f>
        <v>0</v>
      </c>
      <c r="B197" s="181">
        <f>'Données projet'!D185</f>
        <v>0</v>
      </c>
      <c r="C197" s="193"/>
      <c r="D197" s="179">
        <f t="shared" si="16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7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80">
        <f>'Données projet'!A194</f>
        <v>0</v>
      </c>
      <c r="B211" s="181">
        <f>'Données projet'!D194</f>
        <v>0</v>
      </c>
      <c r="C211" s="193"/>
      <c r="D211" s="179">
        <f t="shared" si="17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80">
        <f>'Données projet'!A195</f>
        <v>0</v>
      </c>
      <c r="B212" s="181">
        <f>'Données projet'!D195</f>
        <v>0</v>
      </c>
      <c r="C212" s="193"/>
      <c r="D212" s="179">
        <f t="shared" si="17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80">
        <f>'Données projet'!A196</f>
        <v>0</v>
      </c>
      <c r="B213" s="181">
        <f>'Données projet'!D196</f>
        <v>0</v>
      </c>
      <c r="C213" s="193"/>
      <c r="D213" s="179">
        <f t="shared" si="17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80">
        <f>'Données projet'!A197</f>
        <v>0</v>
      </c>
      <c r="B214" s="181">
        <f>'Données projet'!D197</f>
        <v>0</v>
      </c>
      <c r="C214" s="193"/>
      <c r="D214" s="179">
        <f t="shared" si="17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80">
        <f>'Données projet'!A198</f>
        <v>0</v>
      </c>
      <c r="B215" s="181">
        <f>'Données projet'!D198</f>
        <v>0</v>
      </c>
      <c r="C215" s="193"/>
      <c r="D215" s="179">
        <f t="shared" si="17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80">
        <f>'Données projet'!A199</f>
        <v>0</v>
      </c>
      <c r="B216" s="181">
        <f>'Données projet'!D199</f>
        <v>0</v>
      </c>
      <c r="C216" s="193"/>
      <c r="D216" s="179">
        <f t="shared" si="17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80">
        <f>'Données projet'!A200</f>
        <v>0</v>
      </c>
      <c r="B217" s="181">
        <f>'Données projet'!D200</f>
        <v>0</v>
      </c>
      <c r="C217" s="193"/>
      <c r="D217" s="179">
        <f t="shared" si="17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80">
        <f>'Données projet'!A201</f>
        <v>0</v>
      </c>
      <c r="B218" s="181">
        <f>'Données projet'!D201</f>
        <v>0</v>
      </c>
      <c r="C218" s="193"/>
      <c r="D218" s="179">
        <f t="shared" si="17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80">
        <f>'Données projet'!A202</f>
        <v>0</v>
      </c>
      <c r="B219" s="181">
        <f>'Données projet'!D202</f>
        <v>0</v>
      </c>
      <c r="C219" s="193"/>
      <c r="D219" s="179">
        <f t="shared" si="17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80">
        <f>'Données projet'!A203</f>
        <v>0</v>
      </c>
      <c r="B220" s="181">
        <f>'Données projet'!D203</f>
        <v>0</v>
      </c>
      <c r="C220" s="193"/>
      <c r="D220" s="179">
        <f t="shared" si="17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80">
        <f>'Données projet'!A204</f>
        <v>0</v>
      </c>
      <c r="B221" s="181">
        <f>'Données projet'!D204</f>
        <v>0</v>
      </c>
      <c r="C221" s="193"/>
      <c r="D221" s="179">
        <f t="shared" si="17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80">
        <f>'Données projet'!A205</f>
        <v>0</v>
      </c>
      <c r="B222" s="181">
        <f>'Données projet'!D205</f>
        <v>0</v>
      </c>
      <c r="C222" s="193"/>
      <c r="D222" s="179">
        <f t="shared" si="17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80">
        <f>'Données projet'!A206</f>
        <v>0</v>
      </c>
      <c r="B223" s="181">
        <f>'Données projet'!D206</f>
        <v>0</v>
      </c>
      <c r="C223" s="193"/>
      <c r="D223" s="179">
        <f t="shared" si="17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80">
        <f>'Données projet'!A207</f>
        <v>0</v>
      </c>
      <c r="B224" s="181">
        <f>'Données projet'!D207</f>
        <v>0</v>
      </c>
      <c r="C224" s="193"/>
      <c r="D224" s="179">
        <f t="shared" si="17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80">
        <f>'Données projet'!A208</f>
        <v>0</v>
      </c>
      <c r="B225" s="181">
        <f>'Données projet'!D208</f>
        <v>0</v>
      </c>
      <c r="C225" s="193"/>
      <c r="D225" s="179">
        <f t="shared" si="17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80">
        <f>'Données projet'!A209</f>
        <v>0</v>
      </c>
      <c r="B226" s="181">
        <f>'Données projet'!D209</f>
        <v>0</v>
      </c>
      <c r="C226" s="193"/>
      <c r="D226" s="179">
        <f t="shared" si="17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80">
        <f>'Données projet'!A210</f>
        <v>0</v>
      </c>
      <c r="B227" s="181">
        <f>'Données projet'!D210</f>
        <v>0</v>
      </c>
      <c r="C227" s="193"/>
      <c r="D227" s="179">
        <f t="shared" si="17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80">
        <f>'Données projet'!A211</f>
        <v>0</v>
      </c>
      <c r="B228" s="181">
        <f>'Données projet'!D211</f>
        <v>0</v>
      </c>
      <c r="C228" s="193"/>
      <c r="D228" s="179">
        <f t="shared" si="17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8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80">
        <f>'Données projet'!A220</f>
        <v>0</v>
      </c>
      <c r="B242" s="181">
        <f>'Données projet'!D220</f>
        <v>0</v>
      </c>
      <c r="C242" s="193"/>
      <c r="D242" s="179">
        <f t="shared" si="18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80">
        <f>'Données projet'!A221</f>
        <v>0</v>
      </c>
      <c r="B243" s="181">
        <f>'Données projet'!D221</f>
        <v>0</v>
      </c>
      <c r="C243" s="193"/>
      <c r="D243" s="179">
        <f t="shared" si="18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80">
        <f>'Données projet'!A222</f>
        <v>0</v>
      </c>
      <c r="B244" s="181">
        <f>'Données projet'!D222</f>
        <v>0</v>
      </c>
      <c r="C244" s="193"/>
      <c r="D244" s="179">
        <f t="shared" si="18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80">
        <f>'Données projet'!A223</f>
        <v>0</v>
      </c>
      <c r="B245" s="181">
        <f>'Données projet'!D223</f>
        <v>0</v>
      </c>
      <c r="C245" s="193"/>
      <c r="D245" s="179">
        <f t="shared" si="18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80">
        <f>'Données projet'!A224</f>
        <v>0</v>
      </c>
      <c r="B246" s="181">
        <f>'Données projet'!D224</f>
        <v>0</v>
      </c>
      <c r="C246" s="193"/>
      <c r="D246" s="179">
        <f t="shared" si="18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80">
        <f>'Données projet'!A225</f>
        <v>0</v>
      </c>
      <c r="B247" s="181">
        <f>'Données projet'!D225</f>
        <v>0</v>
      </c>
      <c r="C247" s="193"/>
      <c r="D247" s="179">
        <f t="shared" si="18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80">
        <f>'Données projet'!A226</f>
        <v>0</v>
      </c>
      <c r="B248" s="181">
        <f>'Données projet'!D226</f>
        <v>0</v>
      </c>
      <c r="C248" s="193"/>
      <c r="D248" s="179">
        <f t="shared" si="18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80">
        <f>'Données projet'!A227</f>
        <v>0</v>
      </c>
      <c r="B249" s="181">
        <f>'Données projet'!D227</f>
        <v>0</v>
      </c>
      <c r="C249" s="193"/>
      <c r="D249" s="179">
        <f t="shared" si="18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80">
        <f>'Données projet'!A228</f>
        <v>0</v>
      </c>
      <c r="B250" s="181">
        <f>'Données projet'!D228</f>
        <v>0</v>
      </c>
      <c r="C250" s="193"/>
      <c r="D250" s="179">
        <f t="shared" si="18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80">
        <f>'Données projet'!A229</f>
        <v>0</v>
      </c>
      <c r="B251" s="181">
        <f>'Données projet'!D229</f>
        <v>0</v>
      </c>
      <c r="C251" s="193"/>
      <c r="D251" s="179">
        <f t="shared" si="18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80">
        <f>'Données projet'!A230</f>
        <v>0</v>
      </c>
      <c r="B252" s="181">
        <f>'Données projet'!D230</f>
        <v>0</v>
      </c>
      <c r="C252" s="193"/>
      <c r="D252" s="179">
        <f t="shared" si="18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80">
        <f>'Données projet'!A231</f>
        <v>0</v>
      </c>
      <c r="B253" s="181">
        <f>'Données projet'!D231</f>
        <v>0</v>
      </c>
      <c r="C253" s="193"/>
      <c r="D253" s="179">
        <f t="shared" si="18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80">
        <f>'Données projet'!A232</f>
        <v>0</v>
      </c>
      <c r="B254" s="181">
        <f>'Données projet'!D232</f>
        <v>0</v>
      </c>
      <c r="C254" s="193"/>
      <c r="D254" s="179">
        <f t="shared" si="18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80">
        <f>'Données projet'!A233</f>
        <v>0</v>
      </c>
      <c r="B255" s="181">
        <f>'Données projet'!D233</f>
        <v>0</v>
      </c>
      <c r="C255" s="193"/>
      <c r="D255" s="179">
        <f t="shared" si="18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80">
        <f>'Données projet'!A234</f>
        <v>0</v>
      </c>
      <c r="B256" s="181">
        <f>'Données projet'!D234</f>
        <v>0</v>
      </c>
      <c r="C256" s="193"/>
      <c r="D256" s="179">
        <f t="shared" si="18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80">
        <f>'Données projet'!A235</f>
        <v>0</v>
      </c>
      <c r="B257" s="181">
        <f>'Données projet'!D235</f>
        <v>0</v>
      </c>
      <c r="C257" s="193"/>
      <c r="D257" s="179">
        <f t="shared" si="18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80">
        <f>'Données projet'!A236</f>
        <v>0</v>
      </c>
      <c r="B258" s="181">
        <f>'Données projet'!D236</f>
        <v>0</v>
      </c>
      <c r="C258" s="193"/>
      <c r="D258" s="179">
        <f t="shared" si="18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80">
        <f>'Données projet'!A237</f>
        <v>0</v>
      </c>
      <c r="B259" s="181">
        <f>'Données projet'!D237</f>
        <v>0</v>
      </c>
      <c r="C259" s="193"/>
      <c r="D259" s="179">
        <f t="shared" si="18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9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80">
        <f>'Données projet'!A246</f>
        <v>0</v>
      </c>
      <c r="B273" s="181">
        <f>'Données projet'!D246</f>
        <v>0</v>
      </c>
      <c r="C273" s="193"/>
      <c r="D273" s="179">
        <f t="shared" si="19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80">
        <f>'Données projet'!A247</f>
        <v>0</v>
      </c>
      <c r="B274" s="181">
        <f>'Données projet'!D247</f>
        <v>0</v>
      </c>
      <c r="C274" s="193"/>
      <c r="D274" s="179">
        <f t="shared" si="19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80">
        <f>'Données projet'!A248</f>
        <v>0</v>
      </c>
      <c r="B275" s="181">
        <f>'Données projet'!D248</f>
        <v>0</v>
      </c>
      <c r="C275" s="193"/>
      <c r="D275" s="179">
        <f t="shared" si="19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80">
        <f>'Données projet'!A249</f>
        <v>0</v>
      </c>
      <c r="B276" s="181">
        <f>'Données projet'!D249</f>
        <v>0</v>
      </c>
      <c r="C276" s="193"/>
      <c r="D276" s="179">
        <f t="shared" si="19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80">
        <f>'Données projet'!A250</f>
        <v>0</v>
      </c>
      <c r="B277" s="181">
        <f>'Données projet'!D250</f>
        <v>0</v>
      </c>
      <c r="C277" s="193"/>
      <c r="D277" s="179">
        <f t="shared" si="19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80">
        <f>'Données projet'!A251</f>
        <v>0</v>
      </c>
      <c r="B278" s="181">
        <f>'Données projet'!D251</f>
        <v>0</v>
      </c>
      <c r="C278" s="193"/>
      <c r="D278" s="179">
        <f t="shared" si="19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80">
        <f>'Données projet'!A252</f>
        <v>0</v>
      </c>
      <c r="B279" s="181">
        <f>'Données projet'!D252</f>
        <v>0</v>
      </c>
      <c r="C279" s="193"/>
      <c r="D279" s="179">
        <f t="shared" si="19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80">
        <f>'Données projet'!A253</f>
        <v>0</v>
      </c>
      <c r="B280" s="181">
        <f>'Données projet'!D253</f>
        <v>0</v>
      </c>
      <c r="C280" s="193"/>
      <c r="D280" s="179">
        <f t="shared" si="19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80">
        <f>'Données projet'!A254</f>
        <v>0</v>
      </c>
      <c r="B281" s="181">
        <f>'Données projet'!D254</f>
        <v>0</v>
      </c>
      <c r="C281" s="193"/>
      <c r="D281" s="179">
        <f t="shared" si="19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80">
        <f>'Données projet'!A255</f>
        <v>0</v>
      </c>
      <c r="B282" s="181">
        <f>'Données projet'!D255</f>
        <v>0</v>
      </c>
      <c r="C282" s="193"/>
      <c r="D282" s="179">
        <f t="shared" si="19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80">
        <f>'Données projet'!A256</f>
        <v>0</v>
      </c>
      <c r="B283" s="181">
        <f>'Données projet'!D256</f>
        <v>0</v>
      </c>
      <c r="C283" s="193"/>
      <c r="D283" s="179">
        <f t="shared" si="19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80">
        <f>'Données projet'!A257</f>
        <v>0</v>
      </c>
      <c r="B284" s="181">
        <f>'Données projet'!D257</f>
        <v>0</v>
      </c>
      <c r="C284" s="193"/>
      <c r="D284" s="179">
        <f t="shared" si="19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80">
        <f>'Données projet'!A258</f>
        <v>0</v>
      </c>
      <c r="B285" s="181">
        <f>'Données projet'!D258</f>
        <v>0</v>
      </c>
      <c r="C285" s="193"/>
      <c r="D285" s="179">
        <f t="shared" si="19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80">
        <f>'Données projet'!A259</f>
        <v>0</v>
      </c>
      <c r="B286" s="181">
        <f>'Données projet'!D259</f>
        <v>0</v>
      </c>
      <c r="C286" s="193"/>
      <c r="D286" s="179">
        <f t="shared" si="19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80">
        <f>'Données projet'!A260</f>
        <v>0</v>
      </c>
      <c r="B287" s="181">
        <f>'Données projet'!D260</f>
        <v>0</v>
      </c>
      <c r="C287" s="193"/>
      <c r="D287" s="179">
        <f t="shared" si="19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80">
        <f>'Données projet'!A261</f>
        <v>0</v>
      </c>
      <c r="B288" s="181">
        <f>'Données projet'!D261</f>
        <v>0</v>
      </c>
      <c r="C288" s="193"/>
      <c r="D288" s="179">
        <f t="shared" si="19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80">
        <f>'Données projet'!A262</f>
        <v>0</v>
      </c>
      <c r="B289" s="181">
        <f>'Données projet'!D262</f>
        <v>0</v>
      </c>
      <c r="C289" s="193"/>
      <c r="D289" s="179">
        <f t="shared" si="19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80">
        <f>'Données projet'!A263</f>
        <v>0</v>
      </c>
      <c r="B290" s="181">
        <f>'Données projet'!D263</f>
        <v>0</v>
      </c>
      <c r="C290" s="193"/>
      <c r="D290" s="179">
        <f t="shared" si="19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20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80">
        <f>'Données projet'!A272</f>
        <v>0</v>
      </c>
      <c r="B304" s="181">
        <f>'Données projet'!D272</f>
        <v>0</v>
      </c>
      <c r="C304" s="191"/>
      <c r="D304" s="182">
        <f t="shared" si="20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80">
        <f>'Données projet'!A273</f>
        <v>0</v>
      </c>
      <c r="B305" s="181">
        <f>'Données projet'!D273</f>
        <v>0</v>
      </c>
      <c r="C305" s="191"/>
      <c r="D305" s="182">
        <f t="shared" si="20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80">
        <f>'Données projet'!A274</f>
        <v>0</v>
      </c>
      <c r="B306" s="181">
        <f>'Données projet'!D274</f>
        <v>0</v>
      </c>
      <c r="C306" s="191"/>
      <c r="D306" s="182">
        <f t="shared" si="20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80">
        <f>'Données projet'!A275</f>
        <v>0</v>
      </c>
      <c r="B307" s="181">
        <f>'Données projet'!D275</f>
        <v>0</v>
      </c>
      <c r="C307" s="191"/>
      <c r="D307" s="182">
        <f t="shared" si="20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80">
        <f>'Données projet'!A276</f>
        <v>0</v>
      </c>
      <c r="B308" s="181">
        <f>'Données projet'!D276</f>
        <v>0</v>
      </c>
      <c r="C308" s="191"/>
      <c r="D308" s="182">
        <f t="shared" si="20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80">
        <f>'Données projet'!A277</f>
        <v>0</v>
      </c>
      <c r="B309" s="181">
        <f>'Données projet'!D277</f>
        <v>0</v>
      </c>
      <c r="C309" s="191"/>
      <c r="D309" s="182">
        <f t="shared" si="20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80">
        <f>'Données projet'!A278</f>
        <v>0</v>
      </c>
      <c r="B310" s="181">
        <f>'Données projet'!D278</f>
        <v>0</v>
      </c>
      <c r="C310" s="191"/>
      <c r="D310" s="182">
        <f t="shared" si="20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80">
        <f>'Données projet'!A279</f>
        <v>0</v>
      </c>
      <c r="B311" s="181">
        <f>'Données projet'!D279</f>
        <v>0</v>
      </c>
      <c r="C311" s="191"/>
      <c r="D311" s="182">
        <f t="shared" si="20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80">
        <f>'Données projet'!A280</f>
        <v>0</v>
      </c>
      <c r="B312" s="181">
        <f>'Données projet'!D280</f>
        <v>0</v>
      </c>
      <c r="C312" s="191"/>
      <c r="D312" s="182">
        <f t="shared" si="20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80">
        <f>'Données projet'!A281</f>
        <v>0</v>
      </c>
      <c r="B313" s="181">
        <f>'Données projet'!D281</f>
        <v>0</v>
      </c>
      <c r="C313" s="191"/>
      <c r="D313" s="182">
        <f t="shared" si="20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80">
        <f>'Données projet'!A282</f>
        <v>0</v>
      </c>
      <c r="B314" s="181">
        <f>'Données projet'!D282</f>
        <v>0</v>
      </c>
      <c r="C314" s="191"/>
      <c r="D314" s="182">
        <f t="shared" si="20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80">
        <f>'Données projet'!A283</f>
        <v>0</v>
      </c>
      <c r="B315" s="181">
        <f>'Données projet'!D283</f>
        <v>0</v>
      </c>
      <c r="C315" s="191"/>
      <c r="D315" s="182">
        <f t="shared" si="20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80">
        <f>'Données projet'!A284</f>
        <v>0</v>
      </c>
      <c r="B316" s="181">
        <f>'Données projet'!D284</f>
        <v>0</v>
      </c>
      <c r="C316" s="191"/>
      <c r="D316" s="182">
        <f t="shared" si="20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80">
        <f>'Données projet'!A285</f>
        <v>0</v>
      </c>
      <c r="B317" s="181">
        <f>'Données projet'!D285</f>
        <v>0</v>
      </c>
      <c r="C317" s="191"/>
      <c r="D317" s="182">
        <f t="shared" si="20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80">
        <f>'Données projet'!A286</f>
        <v>0</v>
      </c>
      <c r="B318" s="181">
        <f>'Données projet'!D286</f>
        <v>0</v>
      </c>
      <c r="C318" s="191"/>
      <c r="D318" s="182">
        <f t="shared" si="20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80">
        <f>'Données projet'!A287</f>
        <v>0</v>
      </c>
      <c r="B319" s="181">
        <f>'Données projet'!D287</f>
        <v>0</v>
      </c>
      <c r="C319" s="191"/>
      <c r="D319" s="182">
        <f t="shared" si="20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80">
        <f>'Données projet'!A288</f>
        <v>0</v>
      </c>
      <c r="B320" s="181">
        <f>'Données projet'!D288</f>
        <v>0</v>
      </c>
      <c r="C320" s="191"/>
      <c r="D320" s="182">
        <f t="shared" si="20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80">
        <f>'Données projet'!A289</f>
        <v>0</v>
      </c>
      <c r="B321" s="181">
        <f>'Données projet'!D289</f>
        <v>0</v>
      </c>
      <c r="C321" s="196"/>
      <c r="D321" s="182">
        <f t="shared" si="20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Emilie Parthuisot</cp:lastModifiedBy>
  <dcterms:created xsi:type="dcterms:W3CDTF">2021-02-01T08:22:39Z</dcterms:created>
  <dcterms:modified xsi:type="dcterms:W3CDTF">2025-03-28T16:36:29Z</dcterms:modified>
</cp:coreProperties>
</file>